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80" windowHeight="1170"/>
  </bookViews>
  <sheets>
    <sheet name="Смета по ТСН-2001_3" sheetId="8" r:id="rId1"/>
    <sheet name="Source" sheetId="1" state="hidden" r:id="rId2"/>
    <sheet name="SourceObSm" sheetId="2" state="hidden" r:id="rId3"/>
    <sheet name="SmtRes" sheetId="3" state="hidden" r:id="rId4"/>
    <sheet name="EtalonRes" sheetId="4" state="hidden" r:id="rId5"/>
  </sheets>
  <definedNames>
    <definedName name="_xlnm.Print_Titles" localSheetId="0">'Смета по ТСН-2001_3'!$20:$20</definedName>
    <definedName name="_xlnm.Print_Area" localSheetId="0">'Смета по ТСН-2001_3'!$A$1:$K$143</definedName>
  </definedNames>
  <calcPr calcId="145621"/>
</workbook>
</file>

<file path=xl/calcChain.xml><?xml version="1.0" encoding="utf-8"?>
<calcChain xmlns="http://schemas.openxmlformats.org/spreadsheetml/2006/main">
  <c r="H147" i="8" l="1"/>
  <c r="H144" i="8"/>
  <c r="C141" i="8"/>
  <c r="C140" i="8"/>
  <c r="I139" i="8"/>
  <c r="I138" i="8"/>
  <c r="I15" i="8"/>
  <c r="I135" i="8"/>
  <c r="I134" i="8"/>
  <c r="H130" i="8"/>
  <c r="G130" i="8"/>
  <c r="E130" i="8"/>
  <c r="E129" i="8"/>
  <c r="E128" i="8"/>
  <c r="I127" i="8"/>
  <c r="H127" i="8"/>
  <c r="G127" i="8"/>
  <c r="F127" i="8"/>
  <c r="E126" i="8"/>
  <c r="D126" i="8"/>
  <c r="A126" i="8"/>
  <c r="H124" i="8"/>
  <c r="G124" i="8"/>
  <c r="E124" i="8"/>
  <c r="E123" i="8"/>
  <c r="E122" i="8"/>
  <c r="I121" i="8"/>
  <c r="H121" i="8"/>
  <c r="G121" i="8"/>
  <c r="F121" i="8"/>
  <c r="E120" i="8"/>
  <c r="D120" i="8"/>
  <c r="A120" i="8"/>
  <c r="I118" i="8"/>
  <c r="H118" i="8"/>
  <c r="G118" i="8"/>
  <c r="F118" i="8"/>
  <c r="E118" i="8"/>
  <c r="D118" i="8"/>
  <c r="B118" i="8"/>
  <c r="A118" i="8"/>
  <c r="I116" i="8"/>
  <c r="H116" i="8"/>
  <c r="G116" i="8"/>
  <c r="F116" i="8"/>
  <c r="E116" i="8"/>
  <c r="D116" i="8"/>
  <c r="B116" i="8"/>
  <c r="A116" i="8"/>
  <c r="H114" i="8"/>
  <c r="G114" i="8"/>
  <c r="E114" i="8"/>
  <c r="E113" i="8"/>
  <c r="E112" i="8"/>
  <c r="I111" i="8"/>
  <c r="H111" i="8"/>
  <c r="G111" i="8"/>
  <c r="F111" i="8"/>
  <c r="E110" i="8"/>
  <c r="D110" i="8"/>
  <c r="A110" i="8"/>
  <c r="A109" i="8"/>
  <c r="I107" i="8"/>
  <c r="I106" i="8"/>
  <c r="H102" i="8"/>
  <c r="G102" i="8"/>
  <c r="E102" i="8"/>
  <c r="E101" i="8"/>
  <c r="E100" i="8"/>
  <c r="E99" i="8"/>
  <c r="I98" i="8"/>
  <c r="H98" i="8"/>
  <c r="G98" i="8"/>
  <c r="F98" i="8"/>
  <c r="I97" i="8"/>
  <c r="H97" i="8"/>
  <c r="G97" i="8"/>
  <c r="F97" i="8"/>
  <c r="I96" i="8"/>
  <c r="H96" i="8"/>
  <c r="G96" i="8"/>
  <c r="F96" i="8"/>
  <c r="I95" i="8"/>
  <c r="H95" i="8"/>
  <c r="G95" i="8"/>
  <c r="F95" i="8"/>
  <c r="D93" i="8"/>
  <c r="A93" i="8"/>
  <c r="H91" i="8"/>
  <c r="G91" i="8"/>
  <c r="E91" i="8"/>
  <c r="E90" i="8"/>
  <c r="E89" i="8"/>
  <c r="E88" i="8"/>
  <c r="I87" i="8"/>
  <c r="H87" i="8"/>
  <c r="G87" i="8"/>
  <c r="F87" i="8"/>
  <c r="I86" i="8"/>
  <c r="H86" i="8"/>
  <c r="G86" i="8"/>
  <c r="F86" i="8"/>
  <c r="I85" i="8"/>
  <c r="H85" i="8"/>
  <c r="G85" i="8"/>
  <c r="F85" i="8"/>
  <c r="I84" i="8"/>
  <c r="H84" i="8"/>
  <c r="G84" i="8"/>
  <c r="F84" i="8"/>
  <c r="D82" i="8"/>
  <c r="A82" i="8"/>
  <c r="I80" i="8"/>
  <c r="H80" i="8"/>
  <c r="G80" i="8"/>
  <c r="F80" i="8"/>
  <c r="E80" i="8"/>
  <c r="D80" i="8"/>
  <c r="B80" i="8"/>
  <c r="A80" i="8"/>
  <c r="H78" i="8"/>
  <c r="G78" i="8"/>
  <c r="E78" i="8"/>
  <c r="E77" i="8"/>
  <c r="E76" i="8"/>
  <c r="E75" i="8"/>
  <c r="I74" i="8"/>
  <c r="H74" i="8"/>
  <c r="G74" i="8"/>
  <c r="F74" i="8"/>
  <c r="I73" i="8"/>
  <c r="H73" i="8"/>
  <c r="G73" i="8"/>
  <c r="F73" i="8"/>
  <c r="I72" i="8"/>
  <c r="H72" i="8"/>
  <c r="G72" i="8"/>
  <c r="F72" i="8"/>
  <c r="I71" i="8"/>
  <c r="H71" i="8"/>
  <c r="G71" i="8"/>
  <c r="F71" i="8"/>
  <c r="E70" i="8"/>
  <c r="D70" i="8"/>
  <c r="A70" i="8"/>
  <c r="I68" i="8"/>
  <c r="H68" i="8"/>
  <c r="G68" i="8"/>
  <c r="F68" i="8"/>
  <c r="E68" i="8"/>
  <c r="D68" i="8"/>
  <c r="B68" i="8"/>
  <c r="A68" i="8"/>
  <c r="H66" i="8"/>
  <c r="G66" i="8"/>
  <c r="E66" i="8"/>
  <c r="E65" i="8"/>
  <c r="E64" i="8"/>
  <c r="I63" i="8"/>
  <c r="H63" i="8"/>
  <c r="G63" i="8"/>
  <c r="F63" i="8"/>
  <c r="I62" i="8"/>
  <c r="H62" i="8"/>
  <c r="G62" i="8"/>
  <c r="F62" i="8"/>
  <c r="E61" i="8"/>
  <c r="D61" i="8"/>
  <c r="A61" i="8"/>
  <c r="I59" i="8"/>
  <c r="H59" i="8"/>
  <c r="G59" i="8"/>
  <c r="F59" i="8"/>
  <c r="E59" i="8"/>
  <c r="D59" i="8"/>
  <c r="B59" i="8"/>
  <c r="A59" i="8"/>
  <c r="H57" i="8"/>
  <c r="G57" i="8"/>
  <c r="E57" i="8"/>
  <c r="E56" i="8"/>
  <c r="E55" i="8"/>
  <c r="E54" i="8"/>
  <c r="I53" i="8"/>
  <c r="H53" i="8"/>
  <c r="G53" i="8"/>
  <c r="F53" i="8"/>
  <c r="I52" i="8"/>
  <c r="H52" i="8"/>
  <c r="G52" i="8"/>
  <c r="F52" i="8"/>
  <c r="I51" i="8"/>
  <c r="H51" i="8"/>
  <c r="G51" i="8"/>
  <c r="F51" i="8"/>
  <c r="I50" i="8"/>
  <c r="H50" i="8"/>
  <c r="G50" i="8"/>
  <c r="F50" i="8"/>
  <c r="E49" i="8"/>
  <c r="D49" i="8"/>
  <c r="A49" i="8"/>
  <c r="B48" i="8"/>
  <c r="H45" i="8"/>
  <c r="G45" i="8"/>
  <c r="E45" i="8"/>
  <c r="E44" i="8"/>
  <c r="E43" i="8"/>
  <c r="E42" i="8"/>
  <c r="I41" i="8"/>
  <c r="H41" i="8"/>
  <c r="G41" i="8"/>
  <c r="F41" i="8"/>
  <c r="I40" i="8"/>
  <c r="H40" i="8"/>
  <c r="G40" i="8"/>
  <c r="F40" i="8"/>
  <c r="I39" i="8"/>
  <c r="H39" i="8"/>
  <c r="G39" i="8"/>
  <c r="F39" i="8"/>
  <c r="I38" i="8"/>
  <c r="H38" i="8"/>
  <c r="G38" i="8"/>
  <c r="F38" i="8"/>
  <c r="E37" i="8"/>
  <c r="D37" i="8"/>
  <c r="A37" i="8"/>
  <c r="B36" i="8"/>
  <c r="I33" i="8"/>
  <c r="H33" i="8"/>
  <c r="G33" i="8"/>
  <c r="F33" i="8"/>
  <c r="E33" i="8"/>
  <c r="D33" i="8"/>
  <c r="B33" i="8"/>
  <c r="A33" i="8"/>
  <c r="H31" i="8"/>
  <c r="G31" i="8"/>
  <c r="E31" i="8"/>
  <c r="E30" i="8"/>
  <c r="E29" i="8"/>
  <c r="E28" i="8"/>
  <c r="I27" i="8"/>
  <c r="H27" i="8"/>
  <c r="G27" i="8"/>
  <c r="F27" i="8"/>
  <c r="I26" i="8"/>
  <c r="H26" i="8"/>
  <c r="G26" i="8"/>
  <c r="F26" i="8"/>
  <c r="I25" i="8"/>
  <c r="H25" i="8"/>
  <c r="G25" i="8"/>
  <c r="F25" i="8"/>
  <c r="I24" i="8"/>
  <c r="H24" i="8"/>
  <c r="G24" i="8"/>
  <c r="F24" i="8"/>
  <c r="E23" i="8"/>
  <c r="D23" i="8"/>
  <c r="A23" i="8"/>
  <c r="A22" i="8"/>
  <c r="A6" i="8"/>
  <c r="A3" i="8"/>
  <c r="A1" i="8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" i="3"/>
  <c r="CX1" i="3"/>
  <c r="CY1" i="3"/>
  <c r="CZ1" i="3"/>
  <c r="DA1" i="3"/>
  <c r="DB1" i="3"/>
  <c r="DC1" i="3"/>
  <c r="A2" i="3"/>
  <c r="CX2" i="3"/>
  <c r="CY2" i="3"/>
  <c r="CZ2" i="3"/>
  <c r="DA2" i="3"/>
  <c r="DB2" i="3"/>
  <c r="DC2" i="3"/>
  <c r="A3" i="3"/>
  <c r="CX3" i="3"/>
  <c r="CY3" i="3"/>
  <c r="CZ3" i="3"/>
  <c r="DA3" i="3"/>
  <c r="DB3" i="3"/>
  <c r="DC3" i="3"/>
  <c r="A4" i="3"/>
  <c r="CX4" i="3"/>
  <c r="CY4" i="3"/>
  <c r="CZ4" i="3"/>
  <c r="DA4" i="3"/>
  <c r="DB4" i="3"/>
  <c r="DC4" i="3"/>
  <c r="A5" i="3"/>
  <c r="CX5" i="3"/>
  <c r="CY5" i="3"/>
  <c r="CZ5" i="3"/>
  <c r="DA5" i="3"/>
  <c r="DB5" i="3"/>
  <c r="DC5" i="3"/>
  <c r="A6" i="3"/>
  <c r="CX6" i="3"/>
  <c r="CY6" i="3"/>
  <c r="CZ6" i="3"/>
  <c r="DA6" i="3"/>
  <c r="DB6" i="3"/>
  <c r="DC6" i="3"/>
  <c r="A7" i="3"/>
  <c r="CX7" i="3"/>
  <c r="CY7" i="3"/>
  <c r="CZ7" i="3"/>
  <c r="DA7" i="3"/>
  <c r="DB7" i="3"/>
  <c r="DC7" i="3"/>
  <c r="A8" i="3"/>
  <c r="CX8" i="3"/>
  <c r="CY8" i="3"/>
  <c r="CZ8" i="3"/>
  <c r="DA8" i="3"/>
  <c r="DB8" i="3"/>
  <c r="DC8" i="3"/>
  <c r="A9" i="3"/>
  <c r="CX9" i="3"/>
  <c r="CY9" i="3"/>
  <c r="CZ9" i="3"/>
  <c r="DA9" i="3"/>
  <c r="DB9" i="3"/>
  <c r="DC9" i="3"/>
  <c r="A10" i="3"/>
  <c r="CY10" i="3"/>
  <c r="CZ10" i="3"/>
  <c r="DA10" i="3"/>
  <c r="DB10" i="3"/>
  <c r="DC10" i="3"/>
  <c r="A11" i="3"/>
  <c r="CY11" i="3"/>
  <c r="CZ11" i="3"/>
  <c r="DA11" i="3"/>
  <c r="DB11" i="3"/>
  <c r="DC11" i="3"/>
  <c r="A12" i="3"/>
  <c r="CX12" i="3"/>
  <c r="CY12" i="3"/>
  <c r="CZ12" i="3"/>
  <c r="DA12" i="3"/>
  <c r="DB12" i="3"/>
  <c r="DC12" i="3"/>
  <c r="A13" i="3"/>
  <c r="CX13" i="3"/>
  <c r="CY13" i="3"/>
  <c r="CZ13" i="3"/>
  <c r="DA13" i="3"/>
  <c r="DB13" i="3"/>
  <c r="DC13" i="3"/>
  <c r="A14" i="3"/>
  <c r="CX14" i="3"/>
  <c r="CY14" i="3"/>
  <c r="CZ14" i="3"/>
  <c r="DA14" i="3"/>
  <c r="DB14" i="3"/>
  <c r="DC14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AC28" i="1"/>
  <c r="P28" i="1"/>
  <c r="AE28" i="1"/>
  <c r="R28" i="1"/>
  <c r="AF28" i="1"/>
  <c r="AG28" i="1"/>
  <c r="CU28" i="1" s="1"/>
  <c r="T28" i="1" s="1"/>
  <c r="AH28" i="1"/>
  <c r="AI28" i="1"/>
  <c r="CW28" i="1" s="1"/>
  <c r="V28" i="1" s="1"/>
  <c r="AJ28" i="1"/>
  <c r="CQ28" i="1"/>
  <c r="CR28" i="1"/>
  <c r="CS28" i="1"/>
  <c r="CV28" i="1"/>
  <c r="U28" i="1" s="1"/>
  <c r="CX28" i="1"/>
  <c r="W28" i="1" s="1"/>
  <c r="FR28" i="1"/>
  <c r="GL28" i="1"/>
  <c r="GN28" i="1"/>
  <c r="GP28" i="1"/>
  <c r="GV28" i="1"/>
  <c r="HC28" i="1"/>
  <c r="GX28" i="1" s="1"/>
  <c r="AC29" i="1"/>
  <c r="P29" i="1" s="1"/>
  <c r="AE29" i="1"/>
  <c r="AF29" i="1"/>
  <c r="AG29" i="1"/>
  <c r="CU29" i="1"/>
  <c r="T29" i="1" s="1"/>
  <c r="AH29" i="1"/>
  <c r="CV29" i="1" s="1"/>
  <c r="U29" i="1" s="1"/>
  <c r="AI29" i="1"/>
  <c r="CW29" i="1"/>
  <c r="V29" i="1" s="1"/>
  <c r="AJ29" i="1"/>
  <c r="CX29" i="1" s="1"/>
  <c r="W29" i="1" s="1"/>
  <c r="CR29" i="1"/>
  <c r="CT29" i="1"/>
  <c r="GL29" i="1"/>
  <c r="GN29" i="1"/>
  <c r="GO29" i="1"/>
  <c r="GP29" i="1"/>
  <c r="GV29" i="1"/>
  <c r="HC29" i="1"/>
  <c r="GX29" i="1" s="1"/>
  <c r="C31" i="1"/>
  <c r="D31" i="1"/>
  <c r="AC31" i="1"/>
  <c r="P31" i="1" s="1"/>
  <c r="AE31" i="1"/>
  <c r="Q31" i="1"/>
  <c r="AF31" i="1"/>
  <c r="AG31" i="1"/>
  <c r="CU31" i="1" s="1"/>
  <c r="T31" i="1" s="1"/>
  <c r="AH31" i="1"/>
  <c r="CV31" i="1"/>
  <c r="U31" i="1" s="1"/>
  <c r="AI31" i="1"/>
  <c r="AJ31" i="1"/>
  <c r="CX31" i="1"/>
  <c r="W31" i="1" s="1"/>
  <c r="CQ31" i="1"/>
  <c r="CR31" i="1"/>
  <c r="CS31" i="1"/>
  <c r="CW31" i="1"/>
  <c r="V31" i="1" s="1"/>
  <c r="FR31" i="1"/>
  <c r="GL31" i="1"/>
  <c r="GN31" i="1"/>
  <c r="GP31" i="1"/>
  <c r="GV31" i="1"/>
  <c r="HC31" i="1"/>
  <c r="GX31" i="1" s="1"/>
  <c r="C33" i="1"/>
  <c r="D33" i="1"/>
  <c r="AC33" i="1"/>
  <c r="AE33" i="1"/>
  <c r="AF33" i="1"/>
  <c r="AG33" i="1"/>
  <c r="CU33" i="1"/>
  <c r="T33" i="1" s="1"/>
  <c r="AH33" i="1"/>
  <c r="AI33" i="1"/>
  <c r="CW33" i="1"/>
  <c r="V33" i="1" s="1"/>
  <c r="AJ33" i="1"/>
  <c r="CX33" i="1" s="1"/>
  <c r="W33" i="1" s="1"/>
  <c r="CV33" i="1"/>
  <c r="U33" i="1" s="1"/>
  <c r="FR33" i="1"/>
  <c r="GL33" i="1"/>
  <c r="GN33" i="1"/>
  <c r="GP33" i="1"/>
  <c r="GV33" i="1"/>
  <c r="HC33" i="1" s="1"/>
  <c r="GX33" i="1" s="1"/>
  <c r="AC34" i="1"/>
  <c r="P34" i="1" s="1"/>
  <c r="AE34" i="1"/>
  <c r="Q34" i="1" s="1"/>
  <c r="AF34" i="1"/>
  <c r="AG34" i="1"/>
  <c r="AH34" i="1"/>
  <c r="CV34" i="1" s="1"/>
  <c r="U34" i="1" s="1"/>
  <c r="AI34" i="1"/>
  <c r="AJ34" i="1"/>
  <c r="CX34" i="1" s="1"/>
  <c r="W34" i="1" s="1"/>
  <c r="CQ34" i="1"/>
  <c r="CR34" i="1"/>
  <c r="CU34" i="1"/>
  <c r="T34" i="1" s="1"/>
  <c r="CW34" i="1"/>
  <c r="V34" i="1" s="1"/>
  <c r="GL34" i="1"/>
  <c r="GN34" i="1"/>
  <c r="GO34" i="1"/>
  <c r="GP34" i="1"/>
  <c r="GV34" i="1"/>
  <c r="HC34" i="1"/>
  <c r="GX34" i="1" s="1"/>
  <c r="C35" i="1"/>
  <c r="D35" i="1"/>
  <c r="AC35" i="1"/>
  <c r="AE35" i="1"/>
  <c r="AF35" i="1"/>
  <c r="S35" i="1" s="1"/>
  <c r="AG35" i="1"/>
  <c r="CU35" i="1"/>
  <c r="T35" i="1" s="1"/>
  <c r="AH35" i="1"/>
  <c r="AI35" i="1"/>
  <c r="CW35" i="1"/>
  <c r="V35" i="1" s="1"/>
  <c r="AJ35" i="1"/>
  <c r="CX35" i="1" s="1"/>
  <c r="W35" i="1" s="1"/>
  <c r="CV35" i="1"/>
  <c r="U35" i="1" s="1"/>
  <c r="FR35" i="1"/>
  <c r="GL35" i="1"/>
  <c r="GN35" i="1"/>
  <c r="GP35" i="1"/>
  <c r="GV35" i="1"/>
  <c r="HC35" i="1" s="1"/>
  <c r="GX35" i="1" s="1"/>
  <c r="C36" i="1"/>
  <c r="D36" i="1"/>
  <c r="AC36" i="1"/>
  <c r="P36" i="1" s="1"/>
  <c r="AE36" i="1"/>
  <c r="R36" i="1" s="1"/>
  <c r="GK36" i="1" s="1"/>
  <c r="AF36" i="1"/>
  <c r="AG36" i="1"/>
  <c r="AH36" i="1"/>
  <c r="CV36" i="1" s="1"/>
  <c r="U36" i="1" s="1"/>
  <c r="AI36" i="1"/>
  <c r="AJ36" i="1"/>
  <c r="CX36" i="1" s="1"/>
  <c r="W36" i="1" s="1"/>
  <c r="CQ36" i="1"/>
  <c r="CR36" i="1"/>
  <c r="CU36" i="1"/>
  <c r="T36" i="1" s="1"/>
  <c r="CW36" i="1"/>
  <c r="V36" i="1" s="1"/>
  <c r="FR36" i="1"/>
  <c r="GL36" i="1"/>
  <c r="GN36" i="1"/>
  <c r="GP36" i="1"/>
  <c r="GV36" i="1"/>
  <c r="GX36" i="1"/>
  <c r="HC36" i="1"/>
  <c r="C37" i="1"/>
  <c r="D37" i="1"/>
  <c r="AC37" i="1"/>
  <c r="AE37" i="1"/>
  <c r="AF37" i="1"/>
  <c r="S37" i="1" s="1"/>
  <c r="AG37" i="1"/>
  <c r="CU37" i="1"/>
  <c r="T37" i="1" s="1"/>
  <c r="AH37" i="1"/>
  <c r="CV37" i="1" s="1"/>
  <c r="U37" i="1" s="1"/>
  <c r="AI37" i="1"/>
  <c r="CW37" i="1"/>
  <c r="V37" i="1" s="1"/>
  <c r="AJ37" i="1"/>
  <c r="CX37" i="1" s="1"/>
  <c r="W37" i="1" s="1"/>
  <c r="CR37" i="1"/>
  <c r="CT37" i="1"/>
  <c r="FR37" i="1"/>
  <c r="GL37" i="1"/>
  <c r="GN37" i="1"/>
  <c r="GP37" i="1"/>
  <c r="GV37" i="1"/>
  <c r="HC37" i="1" s="1"/>
  <c r="GX37" i="1" s="1"/>
  <c r="C38" i="1"/>
  <c r="D38" i="1"/>
  <c r="AC38" i="1"/>
  <c r="P38" i="1" s="1"/>
  <c r="AE38" i="1"/>
  <c r="Q38" i="1"/>
  <c r="AF38" i="1"/>
  <c r="S38" i="1"/>
  <c r="AG38" i="1"/>
  <c r="AH38" i="1"/>
  <c r="CV38" i="1" s="1"/>
  <c r="U38" i="1" s="1"/>
  <c r="AI38" i="1"/>
  <c r="AJ38" i="1"/>
  <c r="CX38" i="1" s="1"/>
  <c r="W38" i="1" s="1"/>
  <c r="CR38" i="1"/>
  <c r="CS38" i="1"/>
  <c r="CU38" i="1"/>
  <c r="T38" i="1" s="1"/>
  <c r="CW38" i="1"/>
  <c r="V38" i="1" s="1"/>
  <c r="CY38" i="1"/>
  <c r="X38" i="1" s="1"/>
  <c r="FR38" i="1"/>
  <c r="GL38" i="1"/>
  <c r="GN38" i="1"/>
  <c r="GP38" i="1"/>
  <c r="GV38" i="1"/>
  <c r="HC38" i="1"/>
  <c r="GX38" i="1" s="1"/>
  <c r="AC39" i="1"/>
  <c r="P39" i="1" s="1"/>
  <c r="AE39" i="1"/>
  <c r="AF39" i="1"/>
  <c r="AG39" i="1"/>
  <c r="CU39" i="1" s="1"/>
  <c r="T39" i="1" s="1"/>
  <c r="AH39" i="1"/>
  <c r="AI39" i="1"/>
  <c r="CW39" i="1" s="1"/>
  <c r="V39" i="1" s="1"/>
  <c r="AJ39" i="1"/>
  <c r="CR39" i="1"/>
  <c r="CT39" i="1"/>
  <c r="CV39" i="1"/>
  <c r="U39" i="1" s="1"/>
  <c r="CX39" i="1"/>
  <c r="W39" i="1" s="1"/>
  <c r="GL39" i="1"/>
  <c r="GN39" i="1"/>
  <c r="GO39" i="1"/>
  <c r="GP39" i="1"/>
  <c r="GV39" i="1"/>
  <c r="HC39" i="1" s="1"/>
  <c r="GX39" i="1" s="1"/>
  <c r="C40" i="1"/>
  <c r="D40" i="1"/>
  <c r="R40" i="1"/>
  <c r="GK40" i="1" s="1"/>
  <c r="AC40" i="1"/>
  <c r="P40" i="1" s="1"/>
  <c r="AE40" i="1"/>
  <c r="Q40" i="1"/>
  <c r="AF40" i="1"/>
  <c r="S40" i="1"/>
  <c r="AG40" i="1"/>
  <c r="AH40" i="1"/>
  <c r="CV40" i="1" s="1"/>
  <c r="U40" i="1" s="1"/>
  <c r="AI40" i="1"/>
  <c r="AJ40" i="1"/>
  <c r="CX40" i="1" s="1"/>
  <c r="W40" i="1" s="1"/>
  <c r="CR40" i="1"/>
  <c r="CS40" i="1"/>
  <c r="CU40" i="1"/>
  <c r="T40" i="1" s="1"/>
  <c r="CW40" i="1"/>
  <c r="V40" i="1" s="1"/>
  <c r="FR40" i="1"/>
  <c r="GL40" i="1"/>
  <c r="GN40" i="1"/>
  <c r="GP40" i="1"/>
  <c r="GV40" i="1"/>
  <c r="HC40" i="1"/>
  <c r="GX40" i="1" s="1"/>
  <c r="AC41" i="1"/>
  <c r="P41" i="1" s="1"/>
  <c r="AE41" i="1"/>
  <c r="AF41" i="1"/>
  <c r="AG41" i="1"/>
  <c r="CU41" i="1" s="1"/>
  <c r="T41" i="1" s="1"/>
  <c r="AH41" i="1"/>
  <c r="AI41" i="1"/>
  <c r="CW41" i="1" s="1"/>
  <c r="V41" i="1" s="1"/>
  <c r="AJ41" i="1"/>
  <c r="CR41" i="1"/>
  <c r="CT41" i="1"/>
  <c r="CV41" i="1"/>
  <c r="U41" i="1" s="1"/>
  <c r="CX41" i="1"/>
  <c r="W41" i="1" s="1"/>
  <c r="GL41" i="1"/>
  <c r="BZ45" i="1" s="1"/>
  <c r="GN41" i="1"/>
  <c r="GO41" i="1"/>
  <c r="GP41" i="1"/>
  <c r="GV41" i="1"/>
  <c r="HC41" i="1" s="1"/>
  <c r="GX41" i="1" s="1"/>
  <c r="C42" i="1"/>
  <c r="D42" i="1"/>
  <c r="I42" i="1"/>
  <c r="CX10" i="3"/>
  <c r="AC42" i="1"/>
  <c r="P42" i="1" s="1"/>
  <c r="AE42" i="1"/>
  <c r="R42" i="1" s="1"/>
  <c r="AF42" i="1"/>
  <c r="AG42" i="1"/>
  <c r="CU42" i="1" s="1"/>
  <c r="T42" i="1" s="1"/>
  <c r="AH42" i="1"/>
  <c r="AI42" i="1"/>
  <c r="CW42" i="1" s="1"/>
  <c r="V42" i="1" s="1"/>
  <c r="AJ42" i="1"/>
  <c r="CR42" i="1"/>
  <c r="CT42" i="1"/>
  <c r="CV42" i="1"/>
  <c r="U42" i="1" s="1"/>
  <c r="CX42" i="1"/>
  <c r="W42" i="1" s="1"/>
  <c r="FR42" i="1"/>
  <c r="GL42" i="1"/>
  <c r="GN42" i="1"/>
  <c r="CB45" i="1" s="1"/>
  <c r="GP42" i="1"/>
  <c r="GV42" i="1"/>
  <c r="HC42" i="1" s="1"/>
  <c r="GX42" i="1" s="1"/>
  <c r="C43" i="1"/>
  <c r="D43" i="1"/>
  <c r="I43" i="1"/>
  <c r="CX11" i="3"/>
  <c r="AC43" i="1"/>
  <c r="P43" i="1" s="1"/>
  <c r="AE43" i="1"/>
  <c r="R43" i="1" s="1"/>
  <c r="AF43" i="1"/>
  <c r="AG43" i="1"/>
  <c r="CU43" i="1" s="1"/>
  <c r="T43" i="1" s="1"/>
  <c r="AH43" i="1"/>
  <c r="AI43" i="1"/>
  <c r="CW43" i="1" s="1"/>
  <c r="V43" i="1" s="1"/>
  <c r="AJ43" i="1"/>
  <c r="CR43" i="1"/>
  <c r="CT43" i="1"/>
  <c r="CV43" i="1"/>
  <c r="U43" i="1" s="1"/>
  <c r="CX43" i="1"/>
  <c r="W43" i="1" s="1"/>
  <c r="FR43" i="1"/>
  <c r="GL43" i="1"/>
  <c r="GN43" i="1"/>
  <c r="GP43" i="1"/>
  <c r="GV43" i="1"/>
  <c r="HC43" i="1" s="1"/>
  <c r="GX43" i="1" s="1"/>
  <c r="B45" i="1"/>
  <c r="B26" i="1"/>
  <c r="C45" i="1"/>
  <c r="C26" i="1"/>
  <c r="D45" i="1"/>
  <c r="D26" i="1"/>
  <c r="F45" i="1"/>
  <c r="F26" i="1"/>
  <c r="G45" i="1"/>
  <c r="G26" i="1"/>
  <c r="BX45" i="1"/>
  <c r="AO45" i="1" s="1"/>
  <c r="BX26" i="1"/>
  <c r="CD45" i="1"/>
  <c r="AU45" i="1" s="1"/>
  <c r="CD26" i="1"/>
  <c r="CK45" i="1"/>
  <c r="CK26" i="1"/>
  <c r="CL45" i="1"/>
  <c r="BC45" i="1" s="1"/>
  <c r="CL26" i="1"/>
  <c r="D74" i="1"/>
  <c r="E76" i="1"/>
  <c r="Z76" i="1"/>
  <c r="AA76" i="1"/>
  <c r="AM76" i="1"/>
  <c r="AN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FA76" i="1"/>
  <c r="FB76" i="1"/>
  <c r="FC76" i="1"/>
  <c r="FD76" i="1"/>
  <c r="FE76" i="1"/>
  <c r="FF76" i="1"/>
  <c r="FG76" i="1"/>
  <c r="FH76" i="1"/>
  <c r="FI76" i="1"/>
  <c r="FJ76" i="1"/>
  <c r="FK76" i="1"/>
  <c r="FL76" i="1"/>
  <c r="FM76" i="1"/>
  <c r="FN76" i="1"/>
  <c r="FO76" i="1"/>
  <c r="FP76" i="1"/>
  <c r="FQ76" i="1"/>
  <c r="FR76" i="1"/>
  <c r="FS76" i="1"/>
  <c r="FT76" i="1"/>
  <c r="FU76" i="1"/>
  <c r="FV76" i="1"/>
  <c r="FW76" i="1"/>
  <c r="FX76" i="1"/>
  <c r="FY76" i="1"/>
  <c r="FZ76" i="1"/>
  <c r="GA76" i="1"/>
  <c r="GB76" i="1"/>
  <c r="GC76" i="1"/>
  <c r="GD76" i="1"/>
  <c r="GE76" i="1"/>
  <c r="GF76" i="1"/>
  <c r="GG76" i="1"/>
  <c r="GH76" i="1"/>
  <c r="GI76" i="1"/>
  <c r="GJ76" i="1"/>
  <c r="GK76" i="1"/>
  <c r="GL76" i="1"/>
  <c r="GM76" i="1"/>
  <c r="GN76" i="1"/>
  <c r="GO76" i="1"/>
  <c r="GP76" i="1"/>
  <c r="GQ76" i="1"/>
  <c r="GR76" i="1"/>
  <c r="GS76" i="1"/>
  <c r="GT76" i="1"/>
  <c r="GU76" i="1"/>
  <c r="GV76" i="1"/>
  <c r="GW76" i="1"/>
  <c r="GX76" i="1"/>
  <c r="C78" i="1"/>
  <c r="D78" i="1"/>
  <c r="P78" i="1"/>
  <c r="AC78" i="1"/>
  <c r="AE78" i="1"/>
  <c r="R78" i="1" s="1"/>
  <c r="AF78" i="1"/>
  <c r="S78" i="1" s="1"/>
  <c r="AG78" i="1"/>
  <c r="CU78" i="1" s="1"/>
  <c r="T78" i="1" s="1"/>
  <c r="AH78" i="1"/>
  <c r="CV78" i="1"/>
  <c r="U78" i="1" s="1"/>
  <c r="AI78" i="1"/>
  <c r="CW78" i="1" s="1"/>
  <c r="V78" i="1" s="1"/>
  <c r="AJ78" i="1"/>
  <c r="CX78" i="1"/>
  <c r="W78" i="1" s="1"/>
  <c r="CQ78" i="1"/>
  <c r="CS78" i="1"/>
  <c r="FR78" i="1"/>
  <c r="GL78" i="1"/>
  <c r="GN78" i="1"/>
  <c r="GP78" i="1"/>
  <c r="GV78" i="1"/>
  <c r="GX78" i="1"/>
  <c r="HC78" i="1"/>
  <c r="S79" i="1"/>
  <c r="CY79" i="1" s="1"/>
  <c r="X79" i="1" s="1"/>
  <c r="AC79" i="1"/>
  <c r="P79" i="1"/>
  <c r="AE79" i="1"/>
  <c r="Q79" i="1"/>
  <c r="AF79" i="1"/>
  <c r="AG79" i="1"/>
  <c r="CU79" i="1" s="1"/>
  <c r="T79" i="1" s="1"/>
  <c r="AH79" i="1"/>
  <c r="AI79" i="1"/>
  <c r="CW79" i="1" s="1"/>
  <c r="V79" i="1" s="1"/>
  <c r="AJ79" i="1"/>
  <c r="CR79" i="1"/>
  <c r="CT79" i="1"/>
  <c r="CV79" i="1"/>
  <c r="U79" i="1" s="1"/>
  <c r="CX79" i="1"/>
  <c r="W79" i="1" s="1"/>
  <c r="CZ79" i="1"/>
  <c r="Y79" i="1" s="1"/>
  <c r="GL79" i="1"/>
  <c r="GN79" i="1"/>
  <c r="GO79" i="1"/>
  <c r="GP79" i="1"/>
  <c r="GV79" i="1"/>
  <c r="HC79" i="1" s="1"/>
  <c r="GX79" i="1" s="1"/>
  <c r="R80" i="1"/>
  <c r="GK80" i="1" s="1"/>
  <c r="AC80" i="1"/>
  <c r="P80" i="1" s="1"/>
  <c r="AE80" i="1"/>
  <c r="Q80" i="1"/>
  <c r="AF80" i="1"/>
  <c r="S80" i="1"/>
  <c r="AG80" i="1"/>
  <c r="AH80" i="1"/>
  <c r="CV80" i="1" s="1"/>
  <c r="U80" i="1" s="1"/>
  <c r="AI80" i="1"/>
  <c r="AJ80" i="1"/>
  <c r="CX80" i="1" s="1"/>
  <c r="W80" i="1" s="1"/>
  <c r="CR80" i="1"/>
  <c r="CS80" i="1"/>
  <c r="CU80" i="1"/>
  <c r="T80" i="1" s="1"/>
  <c r="CW80" i="1"/>
  <c r="V80" i="1" s="1"/>
  <c r="GL80" i="1"/>
  <c r="GN80" i="1"/>
  <c r="CB84" i="1" s="1"/>
  <c r="GO80" i="1"/>
  <c r="GP80" i="1"/>
  <c r="GV80" i="1"/>
  <c r="GX80" i="1"/>
  <c r="HC80" i="1"/>
  <c r="C81" i="1"/>
  <c r="D81" i="1"/>
  <c r="S81" i="1"/>
  <c r="CY81" i="1" s="1"/>
  <c r="X81" i="1" s="1"/>
  <c r="AC81" i="1"/>
  <c r="P81" i="1"/>
  <c r="CP81" i="1" s="1"/>
  <c r="O81" i="1" s="1"/>
  <c r="AE81" i="1"/>
  <c r="Q81" i="1"/>
  <c r="AF81" i="1"/>
  <c r="AG81" i="1"/>
  <c r="CU81" i="1" s="1"/>
  <c r="T81" i="1" s="1"/>
  <c r="AH81" i="1"/>
  <c r="AI81" i="1"/>
  <c r="CW81" i="1" s="1"/>
  <c r="V81" i="1" s="1"/>
  <c r="AJ81" i="1"/>
  <c r="CR81" i="1"/>
  <c r="CT81" i="1"/>
  <c r="CV81" i="1"/>
  <c r="U81" i="1" s="1"/>
  <c r="CX81" i="1"/>
  <c r="W81" i="1" s="1"/>
  <c r="CZ81" i="1"/>
  <c r="Y81" i="1" s="1"/>
  <c r="FR81" i="1"/>
  <c r="GL81" i="1"/>
  <c r="GN81" i="1"/>
  <c r="GO81" i="1"/>
  <c r="GV81" i="1"/>
  <c r="HC81" i="1" s="1"/>
  <c r="GX81" i="1" s="1"/>
  <c r="C82" i="1"/>
  <c r="D82" i="1"/>
  <c r="R82" i="1"/>
  <c r="GK82" i="1" s="1"/>
  <c r="AC82" i="1"/>
  <c r="P82" i="1" s="1"/>
  <c r="CP82" i="1" s="1"/>
  <c r="O82" i="1" s="1"/>
  <c r="AE82" i="1"/>
  <c r="Q82" i="1"/>
  <c r="AF82" i="1"/>
  <c r="S82" i="1"/>
  <c r="AG82" i="1"/>
  <c r="AH82" i="1"/>
  <c r="CV82" i="1" s="1"/>
  <c r="U82" i="1" s="1"/>
  <c r="AI82" i="1"/>
  <c r="AJ82" i="1"/>
  <c r="CX82" i="1" s="1"/>
  <c r="W82" i="1" s="1"/>
  <c r="CR82" i="1"/>
  <c r="CS82" i="1"/>
  <c r="CU82" i="1"/>
  <c r="T82" i="1" s="1"/>
  <c r="CW82" i="1"/>
  <c r="V82" i="1" s="1"/>
  <c r="FR82" i="1"/>
  <c r="GL82" i="1"/>
  <c r="GN82" i="1"/>
  <c r="GO82" i="1"/>
  <c r="GV82" i="1"/>
  <c r="HC82" i="1"/>
  <c r="GX82" i="1" s="1"/>
  <c r="B84" i="1"/>
  <c r="B76" i="1"/>
  <c r="C84" i="1"/>
  <c r="C76" i="1"/>
  <c r="D84" i="1"/>
  <c r="D76" i="1"/>
  <c r="F84" i="1"/>
  <c r="F76" i="1"/>
  <c r="G84" i="1"/>
  <c r="G76" i="1"/>
  <c r="BX84" i="1"/>
  <c r="BZ84" i="1"/>
  <c r="CG84" i="1" s="1"/>
  <c r="AX84" i="1" s="1"/>
  <c r="CK84" i="1"/>
  <c r="BB84" i="1" s="1"/>
  <c r="CK76" i="1"/>
  <c r="CL84" i="1"/>
  <c r="B113" i="1"/>
  <c r="B22" i="1" s="1"/>
  <c r="C113" i="1"/>
  <c r="C22" i="1" s="1"/>
  <c r="D113" i="1"/>
  <c r="D22" i="1" s="1"/>
  <c r="F113" i="1"/>
  <c r="F22" i="1" s="1"/>
  <c r="G113" i="1"/>
  <c r="G22" i="1" s="1"/>
  <c r="B142" i="1"/>
  <c r="B18" i="1" s="1"/>
  <c r="C142" i="1"/>
  <c r="C18" i="1" s="1"/>
  <c r="D142" i="1"/>
  <c r="D18" i="1" s="1"/>
  <c r="F142" i="1"/>
  <c r="F18" i="1" s="1"/>
  <c r="G142" i="1"/>
  <c r="G18" i="1" s="1"/>
  <c r="CL76" i="1"/>
  <c r="BC84" i="1"/>
  <c r="BX76" i="1"/>
  <c r="AO84" i="1"/>
  <c r="CY82" i="1"/>
  <c r="X82" i="1" s="1"/>
  <c r="CZ82" i="1"/>
  <c r="Y82" i="1" s="1"/>
  <c r="CY80" i="1"/>
  <c r="X80" i="1" s="1"/>
  <c r="CZ80" i="1"/>
  <c r="Y80" i="1" s="1"/>
  <c r="BZ76" i="1"/>
  <c r="CP79" i="1"/>
  <c r="O79" i="1" s="1"/>
  <c r="FR79" i="1"/>
  <c r="CT82" i="1"/>
  <c r="CS81" i="1"/>
  <c r="CQ81" i="1"/>
  <c r="AD81" i="1"/>
  <c r="AB81" i="1"/>
  <c r="R81" i="1"/>
  <c r="GK81" i="1"/>
  <c r="CT80" i="1"/>
  <c r="CS79" i="1"/>
  <c r="CQ79" i="1"/>
  <c r="AD79" i="1"/>
  <c r="AB79" i="1"/>
  <c r="R79" i="1"/>
  <c r="CT78" i="1"/>
  <c r="CZ40" i="1"/>
  <c r="Y40" i="1"/>
  <c r="CY40" i="1"/>
  <c r="X40" i="1"/>
  <c r="Q43" i="1"/>
  <c r="Q42" i="1"/>
  <c r="Q41" i="1"/>
  <c r="Q39" i="1"/>
  <c r="P37" i="1"/>
  <c r="CQ37" i="1"/>
  <c r="S36" i="1"/>
  <c r="CT36" i="1"/>
  <c r="R35" i="1"/>
  <c r="GK35" i="1" s="1"/>
  <c r="AD35" i="1"/>
  <c r="AB35" i="1" s="1"/>
  <c r="CS35" i="1"/>
  <c r="Q35" i="1"/>
  <c r="S34" i="1"/>
  <c r="CT34" i="1"/>
  <c r="R33" i="1"/>
  <c r="GK33" i="1"/>
  <c r="AD33" i="1"/>
  <c r="CS33" i="1"/>
  <c r="Q33" i="1"/>
  <c r="FR29" i="1"/>
  <c r="BB45" i="1"/>
  <c r="BB26" i="1" s="1"/>
  <c r="CS43" i="1"/>
  <c r="CQ43" i="1"/>
  <c r="AD43" i="1"/>
  <c r="AB43" i="1" s="1"/>
  <c r="CS42" i="1"/>
  <c r="CQ42" i="1"/>
  <c r="AD42" i="1"/>
  <c r="AB42" i="1" s="1"/>
  <c r="CS41" i="1"/>
  <c r="CQ41" i="1"/>
  <c r="AD41" i="1"/>
  <c r="AB41" i="1" s="1"/>
  <c r="CT40" i="1"/>
  <c r="CS39" i="1"/>
  <c r="CQ39" i="1"/>
  <c r="AD39" i="1"/>
  <c r="AB39" i="1"/>
  <c r="CT38" i="1"/>
  <c r="R38" i="1"/>
  <c r="GK38" i="1" s="1"/>
  <c r="R37" i="1"/>
  <c r="GK37" i="1"/>
  <c r="AD37" i="1"/>
  <c r="AB37" i="1"/>
  <c r="CS37" i="1"/>
  <c r="Q37" i="1"/>
  <c r="CP37" i="1" s="1"/>
  <c r="CR35" i="1"/>
  <c r="P35" i="1"/>
  <c r="CP35" i="1" s="1"/>
  <c r="O35" i="1" s="1"/>
  <c r="CQ35" i="1"/>
  <c r="CR33" i="1"/>
  <c r="P33" i="1"/>
  <c r="AB33" i="1"/>
  <c r="CQ33" i="1"/>
  <c r="S31" i="1"/>
  <c r="CT31" i="1"/>
  <c r="CS29" i="1"/>
  <c r="CQ29" i="1"/>
  <c r="AD29" i="1"/>
  <c r="AB29" i="1"/>
  <c r="R29" i="1"/>
  <c r="Q28" i="1"/>
  <c r="AD28" i="1"/>
  <c r="AB28" i="1" s="1"/>
  <c r="GK29" i="1"/>
  <c r="AC45" i="1"/>
  <c r="F58" i="1"/>
  <c r="O37" i="1"/>
  <c r="GK79" i="1"/>
  <c r="GM79" i="1"/>
  <c r="CG76" i="1"/>
  <c r="CZ31" i="1"/>
  <c r="Y31" i="1"/>
  <c r="CY31" i="1"/>
  <c r="X31" i="1" s="1"/>
  <c r="CZ34" i="1"/>
  <c r="Y34" i="1"/>
  <c r="CY34" i="1"/>
  <c r="X34" i="1"/>
  <c r="CZ36" i="1"/>
  <c r="Y36" i="1" s="1"/>
  <c r="CY36" i="1"/>
  <c r="X36" i="1" s="1"/>
  <c r="AO76" i="1"/>
  <c r="F88" i="1"/>
  <c r="AO113" i="1"/>
  <c r="BC76" i="1"/>
  <c r="F100" i="1"/>
  <c r="BC113" i="1"/>
  <c r="BC142" i="1" s="1"/>
  <c r="BC22" i="1"/>
  <c r="AO142" i="1"/>
  <c r="AX76" i="1"/>
  <c r="F91" i="1"/>
  <c r="AC26" i="1"/>
  <c r="P45" i="1"/>
  <c r="CE45" i="1"/>
  <c r="P26" i="1"/>
  <c r="F48" i="1"/>
  <c r="CE26" i="1"/>
  <c r="AV45" i="1"/>
  <c r="AO18" i="1"/>
  <c r="F146" i="1"/>
  <c r="BC18" i="1"/>
  <c r="F158" i="1"/>
  <c r="AV26" i="1"/>
  <c r="F50" i="1"/>
  <c r="F129" i="1" l="1"/>
  <c r="AO22" i="1"/>
  <c r="F117" i="1"/>
  <c r="R59" i="8"/>
  <c r="T59" i="8"/>
  <c r="R37" i="8"/>
  <c r="J42" i="8" s="1"/>
  <c r="J25" i="8"/>
  <c r="J53" i="8"/>
  <c r="T118" i="8"/>
  <c r="T126" i="8"/>
  <c r="J129" i="8" s="1"/>
  <c r="BB76" i="1"/>
  <c r="F97" i="1"/>
  <c r="T120" i="8"/>
  <c r="J123" i="8" s="1"/>
  <c r="K124" i="8"/>
  <c r="GM81" i="1"/>
  <c r="GP81" i="1"/>
  <c r="R120" i="8"/>
  <c r="J122" i="8" s="1"/>
  <c r="AS84" i="1"/>
  <c r="CB76" i="1"/>
  <c r="J118" i="8"/>
  <c r="FR80" i="1"/>
  <c r="AC84" i="1"/>
  <c r="CP80" i="1"/>
  <c r="O80" i="1" s="1"/>
  <c r="GM80" i="1" s="1"/>
  <c r="CJ84" i="1"/>
  <c r="K114" i="8"/>
  <c r="AH84" i="1"/>
  <c r="AG84" i="1"/>
  <c r="GK78" i="1"/>
  <c r="AE84" i="1"/>
  <c r="BC26" i="1"/>
  <c r="F61" i="1"/>
  <c r="AU26" i="1"/>
  <c r="F64" i="1"/>
  <c r="AO26" i="1"/>
  <c r="F49" i="1"/>
  <c r="J98" i="8"/>
  <c r="J87" i="8"/>
  <c r="J80" i="8"/>
  <c r="FR41" i="1"/>
  <c r="J68" i="8"/>
  <c r="FR39" i="1"/>
  <c r="K66" i="8"/>
  <c r="J63" i="8"/>
  <c r="CP38" i="1"/>
  <c r="O38" i="1" s="1"/>
  <c r="CZ37" i="1"/>
  <c r="Y37" i="1" s="1"/>
  <c r="CY37" i="1"/>
  <c r="X37" i="1" s="1"/>
  <c r="J59" i="8"/>
  <c r="FR34" i="1"/>
  <c r="CP34" i="1"/>
  <c r="O34" i="1" s="1"/>
  <c r="K57" i="8"/>
  <c r="CJ45" i="1"/>
  <c r="AJ45" i="1"/>
  <c r="T37" i="8"/>
  <c r="J43" i="8" s="1"/>
  <c r="BY45" i="1"/>
  <c r="BY84" i="1"/>
  <c r="R118" i="8"/>
  <c r="R126" i="8"/>
  <c r="J128" i="8" s="1"/>
  <c r="K130" i="8"/>
  <c r="GP82" i="1"/>
  <c r="GM82" i="1"/>
  <c r="T116" i="8"/>
  <c r="R116" i="8"/>
  <c r="AJ84" i="1"/>
  <c r="AI84" i="1"/>
  <c r="J111" i="8"/>
  <c r="CY78" i="1"/>
  <c r="X78" i="1" s="1"/>
  <c r="AF84" i="1"/>
  <c r="CZ78" i="1"/>
  <c r="Y78" i="1" s="1"/>
  <c r="K102" i="8"/>
  <c r="J97" i="8"/>
  <c r="GK43" i="1"/>
  <c r="CB26" i="1"/>
  <c r="AS45" i="1"/>
  <c r="K91" i="8"/>
  <c r="J86" i="8"/>
  <c r="GK42" i="1"/>
  <c r="BZ26" i="1"/>
  <c r="AQ45" i="1"/>
  <c r="CG45" i="1"/>
  <c r="K78" i="8"/>
  <c r="J74" i="8"/>
  <c r="CP40" i="1"/>
  <c r="O40" i="1" s="1"/>
  <c r="R61" i="8"/>
  <c r="J64" i="8" s="1"/>
  <c r="CY35" i="1"/>
  <c r="X35" i="1" s="1"/>
  <c r="GM35" i="1" s="1"/>
  <c r="CZ35" i="1"/>
  <c r="Y35" i="1" s="1"/>
  <c r="K45" i="8"/>
  <c r="J41" i="8"/>
  <c r="CP31" i="1"/>
  <c r="O31" i="1" s="1"/>
  <c r="AH45" i="1"/>
  <c r="AI45" i="1"/>
  <c r="AG45" i="1"/>
  <c r="BB113" i="1"/>
  <c r="J38" i="8"/>
  <c r="J51" i="8"/>
  <c r="J52" i="8"/>
  <c r="J96" i="8"/>
  <c r="AQ84" i="1"/>
  <c r="A133" i="8"/>
  <c r="CQ82" i="1"/>
  <c r="Q126" i="8"/>
  <c r="S126" i="8"/>
  <c r="U126" i="8"/>
  <c r="V126" i="8"/>
  <c r="AD82" i="1"/>
  <c r="AB82" i="1" s="1"/>
  <c r="S120" i="8"/>
  <c r="Q120" i="8"/>
  <c r="V120" i="8"/>
  <c r="U120" i="8"/>
  <c r="CQ80" i="1"/>
  <c r="Q118" i="8"/>
  <c r="S118" i="8"/>
  <c r="U118" i="8"/>
  <c r="V118" i="8"/>
  <c r="AD80" i="1"/>
  <c r="AB80" i="1" s="1"/>
  <c r="Q116" i="8"/>
  <c r="S116" i="8"/>
  <c r="U116" i="8"/>
  <c r="V116" i="8"/>
  <c r="CR78" i="1"/>
  <c r="Q78" i="1"/>
  <c r="A105" i="8"/>
  <c r="Q93" i="8"/>
  <c r="S93" i="8"/>
  <c r="S43" i="1"/>
  <c r="C94" i="8"/>
  <c r="E93" i="8"/>
  <c r="S82" i="8"/>
  <c r="Q82" i="8"/>
  <c r="S42" i="1"/>
  <c r="CP42" i="1" s="1"/>
  <c r="O42" i="1" s="1"/>
  <c r="E82" i="8"/>
  <c r="C83" i="8"/>
  <c r="Q80" i="8"/>
  <c r="S80" i="8"/>
  <c r="R41" i="1"/>
  <c r="GK41" i="1" s="1"/>
  <c r="S41" i="1"/>
  <c r="CQ40" i="1"/>
  <c r="S70" i="8"/>
  <c r="Q70" i="8"/>
  <c r="V70" i="8"/>
  <c r="J77" i="8" s="1"/>
  <c r="U70" i="8"/>
  <c r="AD40" i="1"/>
  <c r="AB40" i="1" s="1"/>
  <c r="Q68" i="8"/>
  <c r="S68" i="8"/>
  <c r="R39" i="1"/>
  <c r="GK39" i="1" s="1"/>
  <c r="S39" i="1"/>
  <c r="CP39" i="1" s="1"/>
  <c r="O39" i="1" s="1"/>
  <c r="CQ38" i="1"/>
  <c r="CZ38" i="1"/>
  <c r="Y38" i="1" s="1"/>
  <c r="Q61" i="8"/>
  <c r="S61" i="8"/>
  <c r="U61" i="8"/>
  <c r="V61" i="8"/>
  <c r="AD38" i="1"/>
  <c r="AB38" i="1" s="1"/>
  <c r="CS36" i="1"/>
  <c r="Q36" i="1"/>
  <c r="CP36" i="1" s="1"/>
  <c r="O36" i="1" s="1"/>
  <c r="CT35" i="1"/>
  <c r="CS34" i="1"/>
  <c r="CT33" i="1"/>
  <c r="V49" i="8"/>
  <c r="J56" i="8" s="1"/>
  <c r="U49" i="8"/>
  <c r="S33" i="1"/>
  <c r="Q37" i="8"/>
  <c r="S37" i="8"/>
  <c r="U37" i="8"/>
  <c r="V37" i="8"/>
  <c r="J44" i="8" s="1"/>
  <c r="AD31" i="1"/>
  <c r="AB31" i="1" s="1"/>
  <c r="R31" i="1"/>
  <c r="U33" i="8"/>
  <c r="V33" i="8"/>
  <c r="Q29" i="1"/>
  <c r="AD45" i="1" s="1"/>
  <c r="S23" i="8"/>
  <c r="Q23" i="8"/>
  <c r="S28" i="1"/>
  <c r="CT28" i="1"/>
  <c r="J85" i="8"/>
  <c r="R70" i="8"/>
  <c r="J75" i="8" s="1"/>
  <c r="T70" i="8"/>
  <c r="J76" i="8" s="1"/>
  <c r="A137" i="8"/>
  <c r="J127" i="8"/>
  <c r="J121" i="8"/>
  <c r="J116" i="8"/>
  <c r="Q110" i="8"/>
  <c r="S110" i="8"/>
  <c r="U110" i="8"/>
  <c r="V110" i="8"/>
  <c r="AD78" i="1"/>
  <c r="AB78" i="1" s="1"/>
  <c r="U93" i="8"/>
  <c r="V93" i="8"/>
  <c r="J101" i="8" s="1"/>
  <c r="V82" i="8"/>
  <c r="J90" i="8" s="1"/>
  <c r="U82" i="8"/>
  <c r="U80" i="8"/>
  <c r="V80" i="8"/>
  <c r="J71" i="8"/>
  <c r="J72" i="8"/>
  <c r="J73" i="8"/>
  <c r="U68" i="8"/>
  <c r="V68" i="8"/>
  <c r="J62" i="8"/>
  <c r="AD36" i="1"/>
  <c r="AB36" i="1" s="1"/>
  <c r="S59" i="8"/>
  <c r="Q59" i="8"/>
  <c r="V59" i="8"/>
  <c r="U59" i="8"/>
  <c r="AD34" i="1"/>
  <c r="AB34" i="1" s="1"/>
  <c r="R34" i="1"/>
  <c r="GK34" i="1" s="1"/>
  <c r="S49" i="8"/>
  <c r="Q49" i="8"/>
  <c r="J39" i="8"/>
  <c r="Q33" i="8"/>
  <c r="S33" i="8"/>
  <c r="S29" i="1"/>
  <c r="J33" i="8"/>
  <c r="K31" i="8"/>
  <c r="J26" i="8"/>
  <c r="GK28" i="1"/>
  <c r="J27" i="8"/>
  <c r="V23" i="8"/>
  <c r="J30" i="8" s="1"/>
  <c r="U23" i="8"/>
  <c r="GM36" i="1" l="1"/>
  <c r="GO36" i="1"/>
  <c r="Q45" i="1"/>
  <c r="AD26" i="1"/>
  <c r="CY29" i="1"/>
  <c r="X29" i="1" s="1"/>
  <c r="CZ29" i="1"/>
  <c r="Y29" i="1" s="1"/>
  <c r="P79" i="8"/>
  <c r="I79" i="8"/>
  <c r="K79" i="8" s="1"/>
  <c r="P117" i="8"/>
  <c r="I117" i="8"/>
  <c r="K117" i="8" s="1"/>
  <c r="I125" i="8"/>
  <c r="K125" i="8" s="1"/>
  <c r="P125" i="8"/>
  <c r="P131" i="8"/>
  <c r="I131" i="8"/>
  <c r="K131" i="8" s="1"/>
  <c r="CY41" i="1"/>
  <c r="X41" i="1" s="1"/>
  <c r="CZ41" i="1"/>
  <c r="Y41" i="1" s="1"/>
  <c r="J95" i="8"/>
  <c r="CY43" i="1"/>
  <c r="X43" i="1" s="1"/>
  <c r="CZ43" i="1"/>
  <c r="Y43" i="1" s="1"/>
  <c r="F126" i="1"/>
  <c r="BB22" i="1"/>
  <c r="BB142" i="1"/>
  <c r="AI26" i="1"/>
  <c r="V45" i="1"/>
  <c r="CG26" i="1"/>
  <c r="AX45" i="1"/>
  <c r="AS26" i="1"/>
  <c r="F62" i="1"/>
  <c r="AS113" i="1"/>
  <c r="AF76" i="1"/>
  <c r="S84" i="1"/>
  <c r="V84" i="1"/>
  <c r="AI76" i="1"/>
  <c r="BY76" i="1"/>
  <c r="CI84" i="1"/>
  <c r="AP84" i="1"/>
  <c r="AJ26" i="1"/>
  <c r="W45" i="1"/>
  <c r="GM34" i="1"/>
  <c r="R84" i="1"/>
  <c r="AE76" i="1"/>
  <c r="AG76" i="1"/>
  <c r="T84" i="1"/>
  <c r="BA84" i="1"/>
  <c r="CJ76" i="1"/>
  <c r="AC76" i="1"/>
  <c r="CE84" i="1"/>
  <c r="CF84" i="1"/>
  <c r="CH84" i="1"/>
  <c r="P84" i="1"/>
  <c r="CD84" i="1"/>
  <c r="GO35" i="1"/>
  <c r="P34" i="8"/>
  <c r="I34" i="8"/>
  <c r="K34" i="8" s="1"/>
  <c r="J24" i="8"/>
  <c r="CY28" i="1"/>
  <c r="X28" i="1" s="1"/>
  <c r="CZ28" i="1"/>
  <c r="Y28" i="1" s="1"/>
  <c r="AF45" i="1"/>
  <c r="CP29" i="1"/>
  <c r="O29" i="1" s="1"/>
  <c r="GM29" i="1" s="1"/>
  <c r="J40" i="8"/>
  <c r="GK31" i="1"/>
  <c r="GM31" i="1" s="1"/>
  <c r="AE45" i="1"/>
  <c r="J50" i="8"/>
  <c r="CY33" i="1"/>
  <c r="X33" i="1" s="1"/>
  <c r="CZ33" i="1"/>
  <c r="Y33" i="1" s="1"/>
  <c r="CP33" i="1"/>
  <c r="O33" i="1" s="1"/>
  <c r="T61" i="8"/>
  <c r="J65" i="8" s="1"/>
  <c r="P67" i="8" s="1"/>
  <c r="CY39" i="1"/>
  <c r="X39" i="1" s="1"/>
  <c r="CZ39" i="1"/>
  <c r="Y39" i="1" s="1"/>
  <c r="J84" i="8"/>
  <c r="CY42" i="1"/>
  <c r="X42" i="1" s="1"/>
  <c r="CZ42" i="1"/>
  <c r="Y42" i="1" s="1"/>
  <c r="CP78" i="1"/>
  <c r="O78" i="1" s="1"/>
  <c r="AD84" i="1"/>
  <c r="F94" i="1"/>
  <c r="AQ76" i="1"/>
  <c r="I46" i="8"/>
  <c r="K46" i="8" s="1"/>
  <c r="P46" i="8"/>
  <c r="AG26" i="1"/>
  <c r="T45" i="1"/>
  <c r="U45" i="1"/>
  <c r="AH26" i="1"/>
  <c r="GM40" i="1"/>
  <c r="GO40" i="1"/>
  <c r="AQ26" i="1"/>
  <c r="F55" i="1"/>
  <c r="AQ113" i="1"/>
  <c r="T110" i="8"/>
  <c r="J113" i="8" s="1"/>
  <c r="AL84" i="1"/>
  <c r="R110" i="8"/>
  <c r="J112" i="8" s="1"/>
  <c r="AK84" i="1"/>
  <c r="P115" i="8"/>
  <c r="I115" i="8"/>
  <c r="K115" i="8" s="1"/>
  <c r="AJ76" i="1"/>
  <c r="W84" i="1"/>
  <c r="AP45" i="1"/>
  <c r="CI45" i="1"/>
  <c r="CF45" i="1"/>
  <c r="BY26" i="1"/>
  <c r="CH45" i="1"/>
  <c r="CJ26" i="1"/>
  <c r="BA45" i="1"/>
  <c r="I60" i="8"/>
  <c r="K60" i="8" s="1"/>
  <c r="P60" i="8"/>
  <c r="GO37" i="1"/>
  <c r="GM37" i="1"/>
  <c r="GM38" i="1"/>
  <c r="GO38" i="1"/>
  <c r="P69" i="8"/>
  <c r="I69" i="8"/>
  <c r="K69" i="8" s="1"/>
  <c r="CP41" i="1"/>
  <c r="O41" i="1" s="1"/>
  <c r="GM41" i="1" s="1"/>
  <c r="P81" i="8"/>
  <c r="I81" i="8"/>
  <c r="K81" i="8" s="1"/>
  <c r="CP43" i="1"/>
  <c r="O43" i="1" s="1"/>
  <c r="AH76" i="1"/>
  <c r="U84" i="1"/>
  <c r="P119" i="8"/>
  <c r="I119" i="8"/>
  <c r="K119" i="8" s="1"/>
  <c r="AS76" i="1"/>
  <c r="F101" i="1"/>
  <c r="CP28" i="1"/>
  <c r="O28" i="1" s="1"/>
  <c r="GM28" i="1" l="1"/>
  <c r="AB45" i="1"/>
  <c r="GO28" i="1"/>
  <c r="AZ45" i="1"/>
  <c r="CI26" i="1"/>
  <c r="F108" i="1"/>
  <c r="W76" i="1"/>
  <c r="X84" i="1"/>
  <c r="AK76" i="1"/>
  <c r="F123" i="1"/>
  <c r="AQ22" i="1"/>
  <c r="AQ142" i="1"/>
  <c r="F67" i="1"/>
  <c r="U26" i="1"/>
  <c r="U113" i="1"/>
  <c r="AB84" i="1"/>
  <c r="GM78" i="1"/>
  <c r="CA84" i="1" s="1"/>
  <c r="GO78" i="1"/>
  <c r="CC84" i="1" s="1"/>
  <c r="R82" i="8"/>
  <c r="J88" i="8" s="1"/>
  <c r="R68" i="8"/>
  <c r="T49" i="8"/>
  <c r="J55" i="8" s="1"/>
  <c r="AE26" i="1"/>
  <c r="R45" i="1"/>
  <c r="T23" i="8"/>
  <c r="J29" i="8" s="1"/>
  <c r="AL45" i="1"/>
  <c r="F87" i="1"/>
  <c r="P76" i="1"/>
  <c r="P113" i="1"/>
  <c r="AW84" i="1"/>
  <c r="CF76" i="1"/>
  <c r="F104" i="1"/>
  <c r="BA76" i="1"/>
  <c r="F98" i="1"/>
  <c r="R76" i="1"/>
  <c r="AZ84" i="1"/>
  <c r="CI76" i="1"/>
  <c r="S76" i="1"/>
  <c r="F99" i="1"/>
  <c r="AS22" i="1"/>
  <c r="F130" i="1"/>
  <c r="AS142" i="1"/>
  <c r="GO31" i="1"/>
  <c r="T93" i="8"/>
  <c r="J100" i="8" s="1"/>
  <c r="T80" i="8"/>
  <c r="I67" i="8"/>
  <c r="K67" i="8" s="1"/>
  <c r="T33" i="8"/>
  <c r="GO42" i="1"/>
  <c r="U76" i="1"/>
  <c r="F106" i="1"/>
  <c r="GO43" i="1"/>
  <c r="GM43" i="1"/>
  <c r="BA26" i="1"/>
  <c r="BA113" i="1"/>
  <c r="F65" i="1"/>
  <c r="AY45" i="1"/>
  <c r="CH26" i="1"/>
  <c r="CF26" i="1"/>
  <c r="AW45" i="1"/>
  <c r="F54" i="1"/>
  <c r="AP26" i="1"/>
  <c r="AP113" i="1"/>
  <c r="I133" i="8"/>
  <c r="Y84" i="1"/>
  <c r="AL76" i="1"/>
  <c r="T26" i="1"/>
  <c r="F66" i="1"/>
  <c r="T113" i="1"/>
  <c r="Q84" i="1"/>
  <c r="AD76" i="1"/>
  <c r="T82" i="8"/>
  <c r="J89" i="8" s="1"/>
  <c r="T68" i="8"/>
  <c r="GM33" i="1"/>
  <c r="GO33" i="1"/>
  <c r="R49" i="8"/>
  <c r="J54" i="8" s="1"/>
  <c r="I58" i="8"/>
  <c r="K58" i="8" s="1"/>
  <c r="S45" i="1"/>
  <c r="AF26" i="1"/>
  <c r="R23" i="8"/>
  <c r="J28" i="8" s="1"/>
  <c r="P32" i="8" s="1"/>
  <c r="AK45" i="1"/>
  <c r="I32" i="8"/>
  <c r="K32" i="8" s="1"/>
  <c r="CD76" i="1"/>
  <c r="AU84" i="1"/>
  <c r="AY84" i="1"/>
  <c r="CH76" i="1"/>
  <c r="AV84" i="1"/>
  <c r="CE76" i="1"/>
  <c r="T76" i="1"/>
  <c r="F105" i="1"/>
  <c r="F69" i="1"/>
  <c r="W26" i="1"/>
  <c r="W113" i="1"/>
  <c r="AP76" i="1"/>
  <c r="F93" i="1"/>
  <c r="F107" i="1"/>
  <c r="V76" i="1"/>
  <c r="F52" i="1"/>
  <c r="AX26" i="1"/>
  <c r="AX113" i="1"/>
  <c r="V26" i="1"/>
  <c r="V113" i="1"/>
  <c r="F68" i="1"/>
  <c r="BB18" i="1"/>
  <c r="F155" i="1"/>
  <c r="R93" i="8"/>
  <c r="J99" i="8" s="1"/>
  <c r="P103" i="8"/>
  <c r="R80" i="8"/>
  <c r="R33" i="8"/>
  <c r="GM42" i="1"/>
  <c r="GM39" i="1"/>
  <c r="F57" i="1"/>
  <c r="Q26" i="1"/>
  <c r="Q113" i="1"/>
  <c r="I103" i="8" l="1"/>
  <c r="K103" i="8" s="1"/>
  <c r="P58" i="8"/>
  <c r="I92" i="8"/>
  <c r="K92" i="8" s="1"/>
  <c r="W22" i="1"/>
  <c r="F137" i="1"/>
  <c r="W142" i="1"/>
  <c r="F89" i="1"/>
  <c r="AV76" i="1"/>
  <c r="AV113" i="1"/>
  <c r="AY76" i="1"/>
  <c r="F92" i="1"/>
  <c r="F134" i="1"/>
  <c r="T22" i="1"/>
  <c r="T142" i="1"/>
  <c r="F110" i="1"/>
  <c r="Y76" i="1"/>
  <c r="AW26" i="1"/>
  <c r="AW113" i="1"/>
  <c r="F51" i="1"/>
  <c r="F159" i="1"/>
  <c r="AS18" i="1"/>
  <c r="F95" i="1"/>
  <c r="AZ76" i="1"/>
  <c r="F90" i="1"/>
  <c r="AW76" i="1"/>
  <c r="F59" i="1"/>
  <c r="R26" i="1"/>
  <c r="R113" i="1"/>
  <c r="P92" i="8"/>
  <c r="AT84" i="1"/>
  <c r="CC76" i="1"/>
  <c r="O84" i="1"/>
  <c r="AB76" i="1"/>
  <c r="F152" i="1"/>
  <c r="AQ18" i="1"/>
  <c r="X76" i="1"/>
  <c r="F109" i="1"/>
  <c r="AZ26" i="1"/>
  <c r="AZ113" i="1"/>
  <c r="F56" i="1"/>
  <c r="O45" i="1"/>
  <c r="AB26" i="1"/>
  <c r="Q22" i="1"/>
  <c r="F125" i="1"/>
  <c r="Q142" i="1"/>
  <c r="V22" i="1"/>
  <c r="V142" i="1"/>
  <c r="F136" i="1"/>
  <c r="AX22" i="1"/>
  <c r="AX142" i="1"/>
  <c r="F120" i="1"/>
  <c r="AU76" i="1"/>
  <c r="F103" i="1"/>
  <c r="AU113" i="1"/>
  <c r="AK26" i="1"/>
  <c r="X45" i="1"/>
  <c r="F60" i="1"/>
  <c r="S26" i="1"/>
  <c r="S113" i="1"/>
  <c r="F96" i="1"/>
  <c r="Q76" i="1"/>
  <c r="AP22" i="1"/>
  <c r="AP142" i="1"/>
  <c r="F122" i="1"/>
  <c r="AY26" i="1"/>
  <c r="AY113" i="1"/>
  <c r="F53" i="1"/>
  <c r="BA22" i="1"/>
  <c r="F133" i="1"/>
  <c r="BA142" i="1"/>
  <c r="I9" i="8"/>
  <c r="E16" i="2"/>
  <c r="P22" i="1"/>
  <c r="F116" i="1"/>
  <c r="P142" i="1"/>
  <c r="AL26" i="1"/>
  <c r="Y45" i="1"/>
  <c r="AR84" i="1"/>
  <c r="CA76" i="1"/>
  <c r="U22" i="1"/>
  <c r="F135" i="1"/>
  <c r="U142" i="1"/>
  <c r="CC45" i="1"/>
  <c r="CA45" i="1"/>
  <c r="AT45" i="1" l="1"/>
  <c r="CC26" i="1"/>
  <c r="F71" i="1"/>
  <c r="Y26" i="1"/>
  <c r="Y113" i="1"/>
  <c r="F145" i="1"/>
  <c r="P18" i="1"/>
  <c r="BA18" i="1"/>
  <c r="F162" i="1"/>
  <c r="AY22" i="1"/>
  <c r="AY142" i="1"/>
  <c r="F121" i="1"/>
  <c r="I11" i="8"/>
  <c r="G16" i="2"/>
  <c r="G18" i="2" s="1"/>
  <c r="F70" i="1"/>
  <c r="X26" i="1"/>
  <c r="X113" i="1"/>
  <c r="AU22" i="1"/>
  <c r="AU142" i="1"/>
  <c r="F132" i="1"/>
  <c r="F149" i="1"/>
  <c r="AX18" i="1"/>
  <c r="F86" i="1"/>
  <c r="O76" i="1"/>
  <c r="F102" i="1"/>
  <c r="AT76" i="1"/>
  <c r="W18" i="1"/>
  <c r="F166" i="1"/>
  <c r="I105" i="8"/>
  <c r="I137" i="8"/>
  <c r="AR45" i="1"/>
  <c r="CA26" i="1"/>
  <c r="F164" i="1"/>
  <c r="U18" i="1"/>
  <c r="AR76" i="1"/>
  <c r="F111" i="1"/>
  <c r="E18" i="2"/>
  <c r="AP18" i="1"/>
  <c r="F151" i="1"/>
  <c r="F128" i="1"/>
  <c r="S22" i="1"/>
  <c r="S142" i="1"/>
  <c r="F165" i="1"/>
  <c r="V18" i="1"/>
  <c r="Q18" i="1"/>
  <c r="F154" i="1"/>
  <c r="F47" i="1"/>
  <c r="O26" i="1"/>
  <c r="O113" i="1"/>
  <c r="AZ22" i="1"/>
  <c r="AZ142" i="1"/>
  <c r="F124" i="1"/>
  <c r="R142" i="1"/>
  <c r="R22" i="1"/>
  <c r="F127" i="1"/>
  <c r="AW142" i="1"/>
  <c r="AW22" i="1"/>
  <c r="F119" i="1"/>
  <c r="F163" i="1"/>
  <c r="T18" i="1"/>
  <c r="F118" i="1"/>
  <c r="AV22" i="1"/>
  <c r="AV142" i="1"/>
  <c r="F148" i="1" l="1"/>
  <c r="AW18" i="1"/>
  <c r="F157" i="1"/>
  <c r="S18" i="1"/>
  <c r="I13" i="8"/>
  <c r="J16" i="2"/>
  <c r="J18" i="2" s="1"/>
  <c r="AR26" i="1"/>
  <c r="AR113" i="1"/>
  <c r="F72" i="1"/>
  <c r="F161" i="1"/>
  <c r="AU18" i="1"/>
  <c r="F138" i="1"/>
  <c r="X22" i="1"/>
  <c r="X142" i="1"/>
  <c r="F147" i="1"/>
  <c r="AV18" i="1"/>
  <c r="F156" i="1"/>
  <c r="R18" i="1"/>
  <c r="AZ18" i="1"/>
  <c r="F153" i="1"/>
  <c r="O22" i="1"/>
  <c r="F115" i="1"/>
  <c r="O142" i="1"/>
  <c r="I12" i="8"/>
  <c r="H16" i="2"/>
  <c r="H18" i="2" s="1"/>
  <c r="AY18" i="1"/>
  <c r="F150" i="1"/>
  <c r="Y142" i="1"/>
  <c r="Y22" i="1"/>
  <c r="F139" i="1"/>
  <c r="F63" i="1"/>
  <c r="AT26" i="1"/>
  <c r="AT113" i="1"/>
  <c r="F168" i="1" l="1"/>
  <c r="Y18" i="1"/>
  <c r="F144" i="1"/>
  <c r="O18" i="1"/>
  <c r="AT142" i="1"/>
  <c r="AT22" i="1"/>
  <c r="F131" i="1"/>
  <c r="F167" i="1"/>
  <c r="X18" i="1"/>
  <c r="F140" i="1"/>
  <c r="AR22" i="1"/>
  <c r="AR142" i="1"/>
  <c r="F169" i="1" l="1"/>
  <c r="AR18" i="1"/>
  <c r="I8" i="8"/>
  <c r="I10" i="8"/>
  <c r="F16" i="2"/>
  <c r="F160" i="1"/>
  <c r="AT18" i="1"/>
  <c r="F18" i="2" l="1"/>
  <c r="I16" i="2"/>
  <c r="I18" i="2" s="1"/>
  <c r="F170" i="1"/>
  <c r="F171" i="1" s="1"/>
  <c r="I141" i="8" l="1"/>
  <c r="I140" i="8"/>
</calcChain>
</file>

<file path=xl/sharedStrings.xml><?xml version="1.0" encoding="utf-8"?>
<sst xmlns="http://schemas.openxmlformats.org/spreadsheetml/2006/main" count="1569" uniqueCount="235">
  <si>
    <t>Smeta.RU  (495) 974-1589</t>
  </si>
  <si>
    <t>_PS_</t>
  </si>
  <si>
    <t>Smeta.RU</t>
  </si>
  <si>
    <t>Новый объект</t>
  </si>
  <si>
    <t>Установка система мониторинга температуры и влажности в ЦОД</t>
  </si>
  <si>
    <t/>
  </si>
  <si>
    <t>Сметные нормы списания</t>
  </si>
  <si>
    <t>Коды ОКП для ТСН-2001 МГЭ</t>
  </si>
  <si>
    <t>ТСН ремонт</t>
  </si>
  <si>
    <t>Типовой расчет Smeta.ru вер. 10 для ТСН-2001 МГЭ (Ремонт), Доп 50 (от 01.08.2018 г.)</t>
  </si>
  <si>
    <t>Территориальные сметные нормативы для Москвы ТСН-2001 (МГЭ)</t>
  </si>
  <si>
    <t>Поправки для ТСН-2001 от 15.10.2018 г.</t>
  </si>
  <si>
    <t>Новая локальная смета</t>
  </si>
  <si>
    <t>Новый раздел</t>
  </si>
  <si>
    <t>Монтажные работы</t>
  </si>
  <si>
    <t>1</t>
  </si>
  <si>
    <t>4.8-240-4</t>
  </si>
  <si>
    <t>Пульты и шкафы управления, шкаф (пульт) управления навесной, высота, ширина, глубина до 600х600х350 мм</t>
  </si>
  <si>
    <t>1  ШТ.</t>
  </si>
  <si>
    <t>ТСН-2001.4. Доп. 1-42. Сб. 8, т. 240, поз. 4</t>
  </si>
  <si>
    <t>)*1,15</t>
  </si>
  <si>
    <t>Монтаж оборудования</t>
  </si>
  <si>
    <t>ТСН-2001.4-8. 8-188...8-272</t>
  </si>
  <si>
    <t>ТСН-2001.4-8-18</t>
  </si>
  <si>
    <t>Поправка: ТСН-2001.4. О.П. тб1. п.2</t>
  </si>
  <si>
    <t>2</t>
  </si>
  <si>
    <t>прайс</t>
  </si>
  <si>
    <t>Шкаф сбора данных ШСД, 300х500х200мм</t>
  </si>
  <si>
    <t>ШТ</t>
  </si>
  <si>
    <t>Сметная стоимость оборудования</t>
  </si>
  <si>
    <t>ТСН-2001.13-1.</t>
  </si>
  <si>
    <t>ТСН-2001.13-1-1</t>
  </si>
  <si>
    <t>[44 954,88 / 1,2] +  3% Трансп +  1,2% Заг.скл</t>
  </si>
  <si>
    <t>Монтаж контроллера</t>
  </si>
  <si>
    <t>3</t>
  </si>
  <si>
    <t>4.10-80-13</t>
  </si>
  <si>
    <t>Аппараты приемные, устройства промежуточные на 1 луч</t>
  </si>
  <si>
    <t>ТСН-2001.4. Доп. 1-42. Сб. 10, т. 80, поз. 13</t>
  </si>
  <si>
    <t>ТСН-2001.4-10. 10-1...10-91</t>
  </si>
  <si>
    <t>ТСН-2001.4-10-1</t>
  </si>
  <si>
    <t>или</t>
  </si>
  <si>
    <t>4</t>
  </si>
  <si>
    <t>4.8-228-1</t>
  </si>
  <si>
    <t>Контроллер кулачковый постоянного или переменного тока на ток до 63 А, устанавливаемый на конструкции на полу</t>
  </si>
  <si>
    <t>ТСН-2001.4. Доп. 1-42. Сб. 8, т. 228, поз. 1</t>
  </si>
  <si>
    <t>5</t>
  </si>
  <si>
    <t>Логический контроллер ОВЕН ПЛК100-24.Р-М</t>
  </si>
  <si>
    <t>[14 200,8 / 1,2] +  3% Трансп +  1,2% Заг.скл</t>
  </si>
  <si>
    <t>4.10-19-6</t>
  </si>
  <si>
    <t>Отдельно устанавливаемые преобразователь или блок питания</t>
  </si>
  <si>
    <t>ТСН-2001.4. Доп. 1-42. Сб. 10, т. 19, поз. 6</t>
  </si>
  <si>
    <t>4.10-82-6</t>
  </si>
  <si>
    <t>Приборы и устройства сигнализарующие объектовые, устройства оптико-(фото) электрические, блок питания и контроля</t>
  </si>
  <si>
    <t>ТСН-2001.4. Доп. 1-42. Сб. 10, т. 82, поз. 6</t>
  </si>
  <si>
    <t>4.10-82-3</t>
  </si>
  <si>
    <t>Приборы и устройства сигнализарующие объектовые, устройства ультразвуковые, блок питания и контроля</t>
  </si>
  <si>
    <t>ТСН-2001.4. Доп. 1-42. Сб. 10, т. 82, поз. 3</t>
  </si>
  <si>
    <t>6</t>
  </si>
  <si>
    <t>4.11-3-1</t>
  </si>
  <si>
    <t>Приборы, устанавливаемые на металлоконструкциях или щитах, масса приборов до 5 кг</t>
  </si>
  <si>
    <t>ТСН-2001.4. Доп. 1-42. Сб. 11, т. 3, поз. 1</t>
  </si>
  <si>
    <t>ТСН-2001.4-11. 11-1...11-30</t>
  </si>
  <si>
    <t>ТСН-2001.4-11-1</t>
  </si>
  <si>
    <t>7</t>
  </si>
  <si>
    <t>Блок питания ОВЕН БП30Б-Д3-24</t>
  </si>
  <si>
    <t>[2 211,6 / 1,2] +  3% Трансп +  1,2% Заг.скл</t>
  </si>
  <si>
    <t>8</t>
  </si>
  <si>
    <t>4.11-28-1</t>
  </si>
  <si>
    <t>Оборудование ИАСУЭ, шкаф УВВ (устройство ввода-вывода)</t>
  </si>
  <si>
    <t>ТСН-2001.4. Доп. 1-42. Сб. 11, т. 28, поз. 1</t>
  </si>
  <si>
    <t>9</t>
  </si>
  <si>
    <t>Датчик температуры и влажности, ОВЕН ПВТ10</t>
  </si>
  <si>
    <t>[6 693 / 1,2] +  3% Трансп +  1,2% Заг.скл</t>
  </si>
  <si>
    <t>10</t>
  </si>
  <si>
    <t>4.8-161-1</t>
  </si>
  <si>
    <t>Провода и кабели в лотках, провод, сечением до 6 мм2</t>
  </si>
  <si>
    <t>100 м</t>
  </si>
  <si>
    <t>ТСН-2001.4. Доп. 1-42. Сб. 8, т. 161, поз. 1</t>
  </si>
  <si>
    <t>ТСН-2001.4-8. 8-155...8-184</t>
  </si>
  <si>
    <t>ТСН-2001.4-8-16</t>
  </si>
  <si>
    <t>11</t>
  </si>
  <si>
    <t>4.8-165-1</t>
  </si>
  <si>
    <t>Кабели по установленным конструкциям и лоткам с установкой ответвительных коробок, кабель двух-четырехжильный в помещениях с нормальной средой сечением жилы до 10 мм2</t>
  </si>
  <si>
    <t>100 м кабеля</t>
  </si>
  <si>
    <t>ТСН-2001.4. Доп. 1-42. Сб. 8, т. 165, поз. 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</si>
  <si>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</si>
  <si>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</si>
  <si>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</si>
  <si>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</si>
  <si>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</si>
  <si>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</si>
  <si>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</si>
  <si>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</si>
  <si>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</si>
  <si>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</si>
  <si>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</si>
  <si>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</si>
  <si>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</si>
  <si>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</si>
  <si>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</si>
  <si>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</si>
  <si>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</si>
  <si>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</si>
  <si>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</si>
  <si>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</si>
  <si>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</si>
  <si>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</si>
  <si>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</si>
  <si>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</si>
  <si>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</si>
  <si>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</si>
  <si>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</si>
  <si>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</si>
  <si>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</si>
  <si>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</si>
  <si>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</si>
  <si>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</si>
  <si>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</si>
  <si>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</si>
  <si>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</si>
  <si>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</si>
  <si>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</si>
  <si>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</si>
  <si>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</si>
  <si>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</si>
  <si>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</si>
  <si>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</si>
  <si>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</si>
  <si>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</si>
  <si>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</si>
  <si>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</si>
  <si>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</si>
  <si>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</si>
  <si>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</si>
  <si>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</si>
  <si>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</si>
  <si>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</si>
  <si>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Установка и настройка программного обеспечения</t>
  </si>
  <si>
    <t>12</t>
  </si>
  <si>
    <t>4.10-145-14</t>
  </si>
  <si>
    <t>Настройка синхронных цифровых систем передачи, настройка системы контроля и управления, установка операционной системы, программного обеспечения</t>
  </si>
  <si>
    <t>1 рабочая секция</t>
  </si>
  <si>
    <t>ТСН-2001.4. Доп. 1-42. Сб. 10, т. 145, поз. 14</t>
  </si>
  <si>
    <t>ТСН-2001.4-10. 10-140...10-152</t>
  </si>
  <si>
    <t>ТСН-2001.4-10-17</t>
  </si>
  <si>
    <t>13</t>
  </si>
  <si>
    <t>MASTERScada, MSRT100-NET PRO</t>
  </si>
  <si>
    <t>[19 890 / 1,2] +  3% Трансп +  1,2% Заг.скл</t>
  </si>
  <si>
    <t>14</t>
  </si>
  <si>
    <t>ОРС сервер, MODBUS UNIVERSAL MASTEROPC SERVER 500</t>
  </si>
  <si>
    <t>[4 680 / 1,2] +  3% Трансп +  1,2% Заг.скл</t>
  </si>
  <si>
    <t>15</t>
  </si>
  <si>
    <t>5.2-1-1</t>
  </si>
  <si>
    <t>Преобразователь первичный измерительный температуры, расхода или уровня (датчик температуры и влажности)</t>
  </si>
  <si>
    <t>ТСН-2001.5. Доп. 1-42. Сб. 2, т. 1, поз. 1</t>
  </si>
  <si>
    <t>)*0,8)*1,35</t>
  </si>
  <si>
    <t>Пусконаладочные работы</t>
  </si>
  <si>
    <t>ТСН-2001.5-2. 2-1...2-32</t>
  </si>
  <si>
    <t>ТСН-2001.5-2-1</t>
  </si>
  <si>
    <t>Поправка: ТСН-2001.5. р2. п.2.5  Поправка: ТСН-2001.5. р2. тб1. п. 1</t>
  </si>
  <si>
    <t>16</t>
  </si>
  <si>
    <t>5.2-32-1</t>
  </si>
  <si>
    <t>Проверка всего технологического комплекса в режимах работы и контроля, сдача в эксплуатацию</t>
  </si>
  <si>
    <t>комплекс</t>
  </si>
  <si>
    <t>ТСН-2001.5. Доп. 1-42. Сб. 2, т. 32, поз. 1</t>
  </si>
  <si>
    <t>)*1,35</t>
  </si>
  <si>
    <t>Поправка: ТСН-2001.5. р2. тб1. п. 1</t>
  </si>
  <si>
    <t>и1</t>
  </si>
  <si>
    <t>НДС-20%</t>
  </si>
  <si>
    <t>и2</t>
  </si>
  <si>
    <t>Всего по смете с НДС</t>
  </si>
  <si>
    <t>Текущий уровень цен</t>
  </si>
  <si>
    <t>Сборник индексов</t>
  </si>
  <si>
    <t>Коэффициенты к ТСН-2001 МГЭ, ремонт</t>
  </si>
  <si>
    <t>147</t>
  </si>
  <si>
    <t>_OBSM_</t>
  </si>
  <si>
    <t>9999990008</t>
  </si>
  <si>
    <t>Трудозатраты рабочих</t>
  </si>
  <si>
    <t>чел.-ч.</t>
  </si>
  <si>
    <t>9999990002</t>
  </si>
  <si>
    <t>Масса оборудования</t>
  </si>
  <si>
    <t>т</t>
  </si>
  <si>
    <t>Поправка: ТСН-2001.4. О.П. тб1. п.2  Наименование: На предприятиях (в цехах на производственных площадях), остановленных для производства строительно-монтажных работ, а также в зданиях и сооружениях всех назначений при наличии в зоне производства работ загромоаждающих помещение предметов (станков, установок, аппаратов, эксплуатационного и лабораторного оборудования, оргтехники, мебели и т.п.)</t>
  </si>
  <si>
    <t>Поправка: ТСН-2001.5. р2. п.2.5  Наименование: В случае, если монтажные и пусконаладочные работы по какому-либо оборудованию выполняются одним и тем же звеном (бригадой), либо если они производятся при техническом руководстве персонала предприятий-изготовителей или фирм-поставщиков оборудования.  Поправка: ТСН-2001.5. р2. тб1. п. 1  Наименование: На действующих предприятиях (в цехах, корпусах, на производственных площадках) при наличии в зоне производства работ действующего технологического оборудования или движения технологического транспорта по внутрицеховым или внутризаводским путям, что непосредственно влияет на выполнение пусконаладочных работ</t>
  </si>
  <si>
    <t>Поправка: ТСН-2001.5. р2. тб1. п. 1  Наименование: На действующих предприятиях (в цехах, корпусах, на производственных площадках) при наличии в зоне производства работ действующего технологического оборудования или движения технологического транспорта по внутрицеховым или внутризаводским путям, что непосредственно влияет на выполнение пусконаладочных работ</t>
  </si>
  <si>
    <t>(наименование работ и затрат, наименование объекта)</t>
  </si>
  <si>
    <t>Сметная стоимость</t>
  </si>
  <si>
    <t>Строительные работы</t>
  </si>
  <si>
    <t>Оборудование</t>
  </si>
  <si>
    <t>Прочие работы</t>
  </si>
  <si>
    <t>Средства на оплату труда</t>
  </si>
  <si>
    <t xml:space="preserve">Кроме того: </t>
  </si>
  <si>
    <t>№№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</si>
  <si>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</si>
  <si>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</si>
  <si>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</si>
  <si>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</si>
  <si>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 руб.</t>
  </si>
  <si>
    <t>Попра-вочные коэфф.</t>
  </si>
  <si>
    <t>Коэфф. зимних удоро-жаний</t>
  </si>
  <si>
    <t>Коэфф. пересчета</t>
  </si>
  <si>
    <t>ВСЕГО затрат, руб.</t>
  </si>
  <si>
    <t>Справочно</t>
  </si>
  <si>
    <t>ЗТР, всего чел.-час</t>
  </si>
  <si>
    <t>Ст-ть ед. с начислен.</t>
  </si>
  <si>
    <t>Составлен(а) в уровне текущих (прогнозных) цен Коэффициенты к ТСН-2001 МГЭ, ремонт №147 декабрь 2018 года</t>
  </si>
  <si>
    <t>ЗП</t>
  </si>
  <si>
    <t>ЭМ</t>
  </si>
  <si>
    <t>в т.ч. ЗПМ</t>
  </si>
  <si>
    <t>МР</t>
  </si>
  <si>
    <t>НР от ЗП</t>
  </si>
  <si>
    <t>%</t>
  </si>
  <si>
    <t>СП от ЗП</t>
  </si>
  <si>
    <t>НР и СП от ЗПМ</t>
  </si>
  <si>
    <t>ЗТР</t>
  </si>
  <si>
    <t>чел-ч</t>
  </si>
  <si>
    <t xml:space="preserve">   Итого по ТСН-2001.16</t>
  </si>
  <si>
    <t xml:space="preserve">   Итого возвратных сумм</t>
  </si>
  <si>
    <t xml:space="preserve">  тыс.руб</t>
  </si>
  <si>
    <r>
      <t>4.8-240-4</t>
    </r>
    <r>
      <rPr>
        <i/>
        <sz val="10"/>
        <rFont val="Arial"/>
        <family val="2"/>
        <charset val="204"/>
      </rPr>
      <t xml:space="preserve">
Поправка: ТСН-2001.4. О.П. тб1. п.2</t>
    </r>
  </si>
  <si>
    <r>
      <t>ОБОРУДОВАНИЕ:
Шкаф сбора данных ШСД, 300х500х200мм</t>
    </r>
    <r>
      <rPr>
        <i/>
        <sz val="10"/>
        <color indexed="25"/>
        <rFont val="Arial"/>
        <family val="2"/>
        <charset val="204"/>
      </rPr>
      <t xml:space="preserve">
Базисная стоимость: 39 049,31 = [44 954,88 / 1,2] +  3% Трансп +  1,2% Заг.скл</t>
    </r>
  </si>
  <si>
    <r>
      <t>4.10-80-13</t>
    </r>
    <r>
      <rPr>
        <i/>
        <sz val="10"/>
        <rFont val="Arial"/>
        <family val="2"/>
        <charset val="204"/>
      </rPr>
      <t xml:space="preserve">
Поправка: ТСН-2001.4. О.П. тб1. п.2</t>
    </r>
  </si>
  <si>
    <r>
      <t>4.8-228-1</t>
    </r>
    <r>
      <rPr>
        <i/>
        <sz val="10"/>
        <rFont val="Arial"/>
        <family val="2"/>
        <charset val="204"/>
      </rPr>
      <t xml:space="preserve">
Поправка: ТСН-2001.4. О.П. тб1. п.2</t>
    </r>
  </si>
  <si>
    <r>
      <t>ОБОРУДОВАНИЕ:
Логический контроллер ОВЕН ПЛК100-24.Р-М</t>
    </r>
    <r>
      <rPr>
        <i/>
        <sz val="10"/>
        <color indexed="25"/>
        <rFont val="Arial"/>
        <family val="2"/>
        <charset val="204"/>
      </rPr>
      <t xml:space="preserve">
Базисная стоимость: 12 335,29 = [14 200,8 / 1,2] +  3% Трансп +  1,2% Заг.скл</t>
    </r>
  </si>
  <si>
    <r>
      <t>4.11-3-1</t>
    </r>
    <r>
      <rPr>
        <i/>
        <sz val="10"/>
        <rFont val="Arial"/>
        <family val="2"/>
        <charset val="204"/>
      </rPr>
      <t xml:space="preserve">
Поправка: ТСН-2001.4. О.П. тб1. п.2</t>
    </r>
  </si>
  <si>
    <r>
      <t>ОБОРУДОВАНИЕ:
Блок питания ОВЕН БП30Б-Д3-24</t>
    </r>
    <r>
      <rPr>
        <i/>
        <sz val="10"/>
        <color indexed="25"/>
        <rFont val="Arial"/>
        <family val="2"/>
        <charset val="204"/>
      </rPr>
      <t xml:space="preserve">
Базисная стоимость: 1 921,07 = [2 211,6 / 1,2] +  3% Трансп +  1,2% Заг.скл</t>
    </r>
  </si>
  <si>
    <r>
      <t>4.11-28-1</t>
    </r>
    <r>
      <rPr>
        <i/>
        <sz val="10"/>
        <rFont val="Arial"/>
        <family val="2"/>
        <charset val="204"/>
      </rPr>
      <t xml:space="preserve">
Поправка: ТСН-2001.4. О.П. тб1. п.2</t>
    </r>
  </si>
  <si>
    <r>
      <t>ОБОРУДОВАНИЕ:
Датчик температуры и влажности, ОВЕН ПВТ10</t>
    </r>
    <r>
      <rPr>
        <i/>
        <sz val="10"/>
        <color indexed="25"/>
        <rFont val="Arial"/>
        <family val="2"/>
        <charset val="204"/>
      </rPr>
      <t xml:space="preserve">
Базисная стоимость: 5 813,77 = [6 693 / 1,2] +  3% Трансп +  1,2% Заг.скл</t>
    </r>
  </si>
  <si>
    <r>
      <t>4.8-161-1</t>
    </r>
    <r>
      <rPr>
        <i/>
        <sz val="10"/>
        <rFont val="Arial"/>
        <family val="2"/>
        <charset val="204"/>
      </rPr>
      <t xml:space="preserve">
Поправка: ТСН-2001.4. О.П. тб1. п.2</t>
    </r>
  </si>
  <si>
    <r>
      <t>4.8-165-1</t>
    </r>
    <r>
      <rPr>
        <i/>
        <sz val="10"/>
        <rFont val="Arial"/>
        <family val="2"/>
        <charset val="204"/>
      </rPr>
      <t xml:space="preserve">
Поправка: ТСН-2001.4. О.П. тб1. п.2</t>
    </r>
  </si>
  <si>
    <r>
      <t>4.10-145-14</t>
    </r>
    <r>
      <rPr>
        <i/>
        <sz val="10"/>
        <rFont val="Arial"/>
        <family val="2"/>
        <charset val="204"/>
      </rPr>
      <t xml:space="preserve">
Поправка: ТСН-2001.4. О.П. тб1. п.2</t>
    </r>
  </si>
  <si>
    <r>
      <t>ОБОРУДОВАНИЕ:
MASTERScada, MSRT100-NET PRO</t>
    </r>
    <r>
      <rPr>
        <i/>
        <sz val="10"/>
        <color indexed="25"/>
        <rFont val="Arial"/>
        <family val="2"/>
        <charset val="204"/>
      </rPr>
      <t xml:space="preserve">
Базисная стоимость: 17 277,12 = [19 890 / 1,2] +  3% Трансп +  1,2% Заг.скл</t>
    </r>
  </si>
  <si>
    <r>
      <t>ОБОРУДОВАНИЕ:
ОРС сервер, MODBUS UNIVERSAL MASTEROPC SERVER 500</t>
    </r>
    <r>
      <rPr>
        <i/>
        <sz val="10"/>
        <color indexed="25"/>
        <rFont val="Arial"/>
        <family val="2"/>
        <charset val="204"/>
      </rPr>
      <t xml:space="preserve">
Базисная стоимость: 4 065,20 = [4 680 / 1,2] +  3% Трансп +  1,2% Заг.скл</t>
    </r>
  </si>
  <si>
    <r>
      <t>5.2-1-1</t>
    </r>
    <r>
      <rPr>
        <i/>
        <sz val="10"/>
        <rFont val="Arial"/>
        <family val="2"/>
        <charset val="204"/>
      </rPr>
      <t xml:space="preserve">
Поправка: ТСН-2001.5. р2. п.2.5  Поправка: ТСН-2001.5. р2. тб1. п. 1</t>
    </r>
  </si>
  <si>
    <r>
      <t>5.2-32-1</t>
    </r>
    <r>
      <rPr>
        <i/>
        <sz val="10"/>
        <rFont val="Arial"/>
        <family val="2"/>
        <charset val="204"/>
      </rPr>
      <t xml:space="preserve">
Поправка: ТСН-2001.5. р2. тб1. п.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</si>
</sst>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15" x14ac:knownFonts="1">
    <font>
      <sz val="10"/>
      <name val="Arial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25"/>
      <name val="Arial"/>
      <family val="2"/>
      <charset val="204"/>
    </font>
    <font>
      <b/>
      <u/>
      <sz val="11"/>
      <name val="Arial"/>
      <family val="2"/>
      <charset val="204"/>
    </font>
    <font>
      <sz val="11"/>
      <color rgb="FF821E82"/>
      <name val="Arial"/>
      <family val="2"/>
      <charset val="204"/>
    </font>
    <font>
      <i/>
      <sz val="11"/>
      <color rgb="FF821E82"/>
      <name val="Arial"/>
      <family val="2"/>
      <charset val="204"/>
    </font>
    <font>
      <sz val="10"/>
      <color rgb="FF821E82"/>
      <name val="Arial"/>
      <family val="2"/>
      <charset val="204"/>
    </font>
    <font>
      <b/>
      <sz val="11"/>
      <color rgb="FF821E8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/>
    <xf numFmtId="0" fontId="1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0" fontId="0" fillId="0" borderId="3" xfId="0" applyBorder="1"/>
    <xf numFmtId="164" fontId="7" fillId="0" borderId="3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7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3" fillId="0" borderId="3" xfId="0" applyFont="1" applyBorder="1"/>
    <xf numFmtId="164" fontId="14" fillId="0" borderId="3" xfId="0" applyNumberFormat="1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14" fillId="0" borderId="3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8"/>
  <sheetViews>
    <sheetView tabSelected="1" view="pageBreakPreview" topLeftCell="A3" zoomScale="60" zoomScaleNormal="100" workbookViewId="0">
      <selection activeCell="C9" sqref="C9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6" width="11.7109375" customWidth="1"/>
    <col min="7" max="7" width="12.7109375" customWidth="1"/>
    <col min="8" max="8" width="10.7109375" customWidth="1"/>
    <col min="9" max="11" width="12.7109375" customWidth="1"/>
    <col min="15" max="36" width="0" hidden="1" customWidth="1"/>
    <col min="37" max="37" width="150.7109375" hidden="1" customWidth="1"/>
    <col min="38" max="42" width="0" hidden="1" customWidth="1"/>
  </cols>
  <sheetData>
    <row r="1" spans="1:37" ht="18" hidden="1" x14ac:dyDescent="0.25">
      <c r="A1" s="52" t="str">
        <f>IF(Source!G20&lt;&gt;"Новая локальная смета", Source!G20, "")</f>
        <v/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37" ht="14.25" hidden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37" ht="18" x14ac:dyDescent="0.25">
      <c r="A3" s="49" t="str">
        <f>IF(Source!G12&lt;&gt;"Новый объект", Source!G12, "")</f>
        <v>Установка система мониторинга температуры и влажности в ЦОД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37" x14ac:dyDescent="0.2">
      <c r="A4" s="50" t="s">
        <v>185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37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37" ht="14.25" x14ac:dyDescent="0.2">
      <c r="A6" s="36" t="str">
        <f>CONCATENATE( "Основание: чертежи № ", Source!J20)</f>
        <v xml:space="preserve">Основание: чертежи № 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37" ht="14.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37" ht="14.25" x14ac:dyDescent="0.2">
      <c r="A8" s="1"/>
      <c r="B8" s="1"/>
      <c r="C8" s="1"/>
      <c r="D8" s="1"/>
      <c r="E8" s="1"/>
      <c r="F8" s="45" t="s">
        <v>186</v>
      </c>
      <c r="G8" s="45"/>
      <c r="H8" s="45"/>
      <c r="I8" s="37">
        <f>(Source!F140/1000)</f>
        <v>383.09354999999999</v>
      </c>
      <c r="J8" s="46"/>
      <c r="K8" s="1" t="s">
        <v>218</v>
      </c>
    </row>
    <row r="9" spans="1:37" ht="14.25" x14ac:dyDescent="0.2">
      <c r="A9" s="1"/>
      <c r="B9" s="1"/>
      <c r="C9" s="1"/>
      <c r="D9" s="1"/>
      <c r="E9" s="1"/>
      <c r="F9" s="45" t="s">
        <v>187</v>
      </c>
      <c r="G9" s="45"/>
      <c r="H9" s="45"/>
      <c r="I9" s="37">
        <f>(Source!F130)/1000</f>
        <v>0</v>
      </c>
      <c r="J9" s="46"/>
      <c r="K9" s="1" t="s">
        <v>218</v>
      </c>
    </row>
    <row r="10" spans="1:37" ht="14.25" x14ac:dyDescent="0.2">
      <c r="A10" s="1"/>
      <c r="B10" s="1"/>
      <c r="C10" s="1"/>
      <c r="D10" s="1"/>
      <c r="E10" s="1"/>
      <c r="F10" s="45" t="s">
        <v>14</v>
      </c>
      <c r="G10" s="45"/>
      <c r="H10" s="45"/>
      <c r="I10" s="37">
        <f>(Source!F131)/1000</f>
        <v>173.98065</v>
      </c>
      <c r="J10" s="46"/>
      <c r="K10" s="1" t="s">
        <v>218</v>
      </c>
    </row>
    <row r="11" spans="1:37" ht="14.25" x14ac:dyDescent="0.2">
      <c r="A11" s="1"/>
      <c r="B11" s="1"/>
      <c r="C11" s="1"/>
      <c r="D11" s="1"/>
      <c r="E11" s="1"/>
      <c r="F11" s="45" t="s">
        <v>188</v>
      </c>
      <c r="G11" s="45"/>
      <c r="H11" s="45"/>
      <c r="I11" s="37">
        <f>(Source!F122)/1000</f>
        <v>138.27107999999998</v>
      </c>
      <c r="J11" s="46"/>
      <c r="K11" s="1" t="s">
        <v>218</v>
      </c>
    </row>
    <row r="12" spans="1:37" ht="14.25" x14ac:dyDescent="0.2">
      <c r="A12" s="1"/>
      <c r="B12" s="1"/>
      <c r="C12" s="1"/>
      <c r="D12" s="1"/>
      <c r="E12" s="1"/>
      <c r="F12" s="45" t="s">
        <v>189</v>
      </c>
      <c r="G12" s="45"/>
      <c r="H12" s="45"/>
      <c r="I12" s="37">
        <f>(Source!F132+Source!F133)/1000</f>
        <v>70.841820000000013</v>
      </c>
      <c r="J12" s="46"/>
      <c r="K12" s="1" t="s">
        <v>218</v>
      </c>
    </row>
    <row r="13" spans="1:37" ht="14.25" x14ac:dyDescent="0.2">
      <c r="A13" s="1"/>
      <c r="B13" s="1"/>
      <c r="C13" s="1"/>
      <c r="D13" s="1"/>
      <c r="E13" s="1"/>
      <c r="F13" s="45" t="s">
        <v>190</v>
      </c>
      <c r="G13" s="45"/>
      <c r="H13" s="45"/>
      <c r="I13" s="37">
        <f>(Source!F128+ Source!F127)/1000</f>
        <v>112.14081</v>
      </c>
      <c r="J13" s="46"/>
      <c r="K13" s="1" t="s">
        <v>218</v>
      </c>
    </row>
    <row r="14" spans="1:37" ht="14.25" hidden="1" x14ac:dyDescent="0.2">
      <c r="A14" s="1"/>
      <c r="B14" s="1"/>
      <c r="C14" s="1"/>
      <c r="D14" s="1"/>
      <c r="E14" s="1"/>
      <c r="F14" s="3" t="s">
        <v>191</v>
      </c>
      <c r="G14" s="3"/>
      <c r="H14" s="3"/>
      <c r="I14" s="4"/>
      <c r="J14" s="4"/>
      <c r="K14" s="1"/>
    </row>
    <row r="15" spans="1:37" ht="14.25" hidden="1" x14ac:dyDescent="0.2">
      <c r="A15" s="1"/>
      <c r="B15" s="1"/>
      <c r="C15" s="1"/>
      <c r="D15" s="1"/>
      <c r="E15" s="1"/>
      <c r="F15" s="47" t="s">
        <v>124</v>
      </c>
      <c r="G15" s="48"/>
      <c r="H15" s="48"/>
      <c r="I15" s="4">
        <f>SUM(AF21:AF136)</f>
        <v>0</v>
      </c>
      <c r="J15" s="4"/>
      <c r="K15" s="1" t="s">
        <v>218</v>
      </c>
    </row>
    <row r="16" spans="1:37" ht="14.25" x14ac:dyDescent="0.2">
      <c r="A16" s="42" t="s">
        <v>205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AK16" s="5" t="s">
        <v>205</v>
      </c>
    </row>
    <row r="17" spans="1:22" ht="14.25" x14ac:dyDescent="0.2">
      <c r="A17" s="43" t="s">
        <v>192</v>
      </c>
      <c r="B17" s="43" t="s">
        <v>193</v>
      </c>
      <c r="C17" s="43" t="s">
        <v>194</v>
      </c>
      <c r="D17" s="43" t="s">
        <v>195</v>
      </c>
      <c r="E17" s="43" t="s">
        <v>196</v>
      </c>
      <c r="F17" s="43" t="s">
        <v>197</v>
      </c>
      <c r="G17" s="43" t="s">
        <v>198</v>
      </c>
      <c r="H17" s="43" t="s">
        <v>199</v>
      </c>
      <c r="I17" s="43" t="s">
        <v>200</v>
      </c>
      <c r="J17" s="43" t="s">
        <v>201</v>
      </c>
      <c r="K17" s="6" t="s">
        <v>202</v>
      </c>
    </row>
    <row r="18" spans="1:22" ht="28.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7" t="s">
        <v>203</v>
      </c>
    </row>
    <row r="19" spans="1:22" ht="28.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7" t="s">
        <v>204</v>
      </c>
    </row>
    <row r="20" spans="1:22" ht="14.25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</row>
    <row r="22" spans="1:22" ht="16.5" x14ac:dyDescent="0.25">
      <c r="A22" s="39" t="str">
        <f>CONCATENATE("Раздел: ",IF(Source!G24&lt;&gt;"Новый раздел", Source!G24, ""))</f>
        <v>Раздел: Монтажные работы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22" ht="65.25" x14ac:dyDescent="0.2">
      <c r="A23" s="8" t="str">
        <f>Source!E28</f>
        <v>1</v>
      </c>
      <c r="B23" s="9" t="s">
        <v>219</v>
      </c>
      <c r="C23" s="9" t="s">
        <v>17</v>
      </c>
      <c r="D23" s="10" t="str">
        <f>Source!H28</f>
        <v>1  ШТ.</v>
      </c>
      <c r="E23" s="2">
        <f>Source!I28</f>
        <v>1</v>
      </c>
      <c r="F23" s="12"/>
      <c r="G23" s="11"/>
      <c r="H23" s="2"/>
      <c r="I23" s="2"/>
      <c r="J23" s="13"/>
      <c r="K23" s="13"/>
      <c r="Q23">
        <f>ROUND((Source!DN28/100)*ROUND((ROUND((Source!AF28*Source!AV28*Source!I28),2)),2), 2)</f>
        <v>35.11</v>
      </c>
      <c r="R23">
        <f>Source!X28</f>
        <v>508.23</v>
      </c>
      <c r="S23">
        <f>ROUND((Source!DO28/100)*ROUND((ROUND((Source!AF28*Source!AV28*Source!I28),2)),2), 2)</f>
        <v>20.64</v>
      </c>
      <c r="T23">
        <f>Source!Y28</f>
        <v>270.62</v>
      </c>
      <c r="U23">
        <f>ROUND((175/100)*ROUND((ROUND((Source!AE28*Source!AV28*Source!I28),2)),2), 2)</f>
        <v>19.93</v>
      </c>
      <c r="V23">
        <f>ROUND((157/100)*ROUND(ROUND((ROUND((Source!AE28*Source!AV28*Source!I28),2)*Source!BS28),2), 2), 2)</f>
        <v>383.22</v>
      </c>
    </row>
    <row r="24" spans="1:22" ht="14.25" x14ac:dyDescent="0.2">
      <c r="A24" s="8"/>
      <c r="B24" s="9"/>
      <c r="C24" s="9" t="s">
        <v>206</v>
      </c>
      <c r="D24" s="10"/>
      <c r="E24" s="2"/>
      <c r="F24" s="12">
        <f>Source!AO28</f>
        <v>26.78</v>
      </c>
      <c r="G24" s="11" t="str">
        <f>Source!DG28</f>
        <v>)*1,15</v>
      </c>
      <c r="H24" s="2">
        <f>Source!AV28</f>
        <v>1</v>
      </c>
      <c r="I24" s="2">
        <f>IF(Source!BA28&lt;&gt; 0, Source!BA28, 1)</f>
        <v>21.43</v>
      </c>
      <c r="J24" s="13">
        <f>Source!S28</f>
        <v>660.04</v>
      </c>
      <c r="K24" s="13"/>
    </row>
    <row r="25" spans="1:22" ht="14.25" x14ac:dyDescent="0.2">
      <c r="A25" s="8"/>
      <c r="B25" s="9"/>
      <c r="C25" s="9" t="s">
        <v>207</v>
      </c>
      <c r="D25" s="10"/>
      <c r="E25" s="2"/>
      <c r="F25" s="12">
        <f>Source!AM28</f>
        <v>63.58</v>
      </c>
      <c r="G25" s="11" t="str">
        <f>Source!DE28</f>
        <v>)*1,15</v>
      </c>
      <c r="H25" s="2">
        <f>Source!AV28</f>
        <v>1</v>
      </c>
      <c r="I25" s="2">
        <f>IF(Source!BB28&lt;&gt; 0, Source!BB28, 1)</f>
        <v>7.84</v>
      </c>
      <c r="J25" s="13">
        <f>Source!Q28</f>
        <v>573.26</v>
      </c>
      <c r="K25" s="13"/>
    </row>
    <row r="26" spans="1:22" ht="14.25" x14ac:dyDescent="0.2">
      <c r="A26" s="8"/>
      <c r="B26" s="9"/>
      <c r="C26" s="9" t="s">
        <v>208</v>
      </c>
      <c r="D26" s="10"/>
      <c r="E26" s="2"/>
      <c r="F26" s="12">
        <f>Source!AN28</f>
        <v>9.9</v>
      </c>
      <c r="G26" s="11" t="str">
        <f>Source!DF28</f>
        <v>)*1,15</v>
      </c>
      <c r="H26" s="2">
        <f>Source!AV28</f>
        <v>1</v>
      </c>
      <c r="I26" s="2">
        <f>IF(Source!BS28&lt;&gt; 0, Source!BS28, 1)</f>
        <v>21.43</v>
      </c>
      <c r="J26" s="14">
        <f>Source!R28</f>
        <v>244.09</v>
      </c>
      <c r="K26" s="13"/>
    </row>
    <row r="27" spans="1:22" ht="14.25" x14ac:dyDescent="0.2">
      <c r="A27" s="8"/>
      <c r="B27" s="9"/>
      <c r="C27" s="9" t="s">
        <v>209</v>
      </c>
      <c r="D27" s="10"/>
      <c r="E27" s="2"/>
      <c r="F27" s="12">
        <f>Source!AL28</f>
        <v>9.17</v>
      </c>
      <c r="G27" s="11" t="str">
        <f>Source!DD28</f>
        <v/>
      </c>
      <c r="H27" s="2">
        <f>Source!AW28</f>
        <v>1</v>
      </c>
      <c r="I27" s="2">
        <f>IF(Source!BC28&lt;&gt; 0, Source!BC28, 1)</f>
        <v>5.36</v>
      </c>
      <c r="J27" s="13">
        <f>Source!P28</f>
        <v>49.15</v>
      </c>
      <c r="K27" s="13"/>
    </row>
    <row r="28" spans="1:22" ht="14.25" x14ac:dyDescent="0.2">
      <c r="A28" s="8"/>
      <c r="B28" s="9"/>
      <c r="C28" s="9" t="s">
        <v>210</v>
      </c>
      <c r="D28" s="10" t="s">
        <v>211</v>
      </c>
      <c r="E28" s="2">
        <f>Source!BZ28</f>
        <v>77</v>
      </c>
      <c r="F28" s="12"/>
      <c r="G28" s="11"/>
      <c r="H28" s="2"/>
      <c r="I28" s="2"/>
      <c r="J28" s="13">
        <f>SUM(R23:R27)</f>
        <v>508.23</v>
      </c>
      <c r="K28" s="13"/>
    </row>
    <row r="29" spans="1:22" ht="14.25" x14ac:dyDescent="0.2">
      <c r="A29" s="8"/>
      <c r="B29" s="9"/>
      <c r="C29" s="9" t="s">
        <v>212</v>
      </c>
      <c r="D29" s="10" t="s">
        <v>211</v>
      </c>
      <c r="E29" s="2">
        <f>Source!CA28</f>
        <v>41</v>
      </c>
      <c r="F29" s="12"/>
      <c r="G29" s="11"/>
      <c r="H29" s="2"/>
      <c r="I29" s="2"/>
      <c r="J29" s="13">
        <f>SUM(T23:T28)</f>
        <v>270.62</v>
      </c>
      <c r="K29" s="13"/>
    </row>
    <row r="30" spans="1:22" ht="14.25" x14ac:dyDescent="0.2">
      <c r="A30" s="8"/>
      <c r="B30" s="9"/>
      <c r="C30" s="9" t="s">
        <v>213</v>
      </c>
      <c r="D30" s="10" t="s">
        <v>211</v>
      </c>
      <c r="E30" s="2">
        <f>157</f>
        <v>157</v>
      </c>
      <c r="F30" s="12"/>
      <c r="G30" s="11"/>
      <c r="H30" s="2"/>
      <c r="I30" s="2"/>
      <c r="J30" s="13">
        <f>SUM(V23:V29)</f>
        <v>383.22</v>
      </c>
      <c r="K30" s="13"/>
    </row>
    <row r="31" spans="1:22" ht="14.25" x14ac:dyDescent="0.2">
      <c r="A31" s="8"/>
      <c r="B31" s="9"/>
      <c r="C31" s="9" t="s">
        <v>214</v>
      </c>
      <c r="D31" s="10" t="s">
        <v>215</v>
      </c>
      <c r="E31" s="2">
        <f>Source!AQ28</f>
        <v>2.06</v>
      </c>
      <c r="F31" s="12"/>
      <c r="G31" s="11" t="str">
        <f>Source!DI28</f>
        <v>)*1,15</v>
      </c>
      <c r="H31" s="2">
        <f>Source!AV28</f>
        <v>1</v>
      </c>
      <c r="I31" s="2"/>
      <c r="J31" s="13"/>
      <c r="K31" s="13">
        <f>Source!U28</f>
        <v>2.3689999999999998</v>
      </c>
    </row>
    <row r="32" spans="1:22" ht="15" x14ac:dyDescent="0.25">
      <c r="A32" s="16"/>
      <c r="B32" s="16"/>
      <c r="C32" s="16"/>
      <c r="D32" s="16"/>
      <c r="E32" s="16"/>
      <c r="F32" s="16"/>
      <c r="G32" s="16"/>
      <c r="H32" s="16"/>
      <c r="I32" s="38">
        <f>J24+J25+J27+J28+J29+J30</f>
        <v>2444.5200000000004</v>
      </c>
      <c r="J32" s="38"/>
      <c r="K32" s="17">
        <f>IF(Source!I28&lt;&gt;0, ROUND(I32/Source!I28, 2), 0)</f>
        <v>2444.52</v>
      </c>
      <c r="P32" s="15">
        <f>J24+J25+J27+J28+J29+J30</f>
        <v>2444.5200000000004</v>
      </c>
    </row>
    <row r="33" spans="1:22" ht="81" x14ac:dyDescent="0.2">
      <c r="A33" s="20" t="str">
        <f>Source!E29</f>
        <v>2</v>
      </c>
      <c r="B33" s="21" t="str">
        <f>Source!F29</f>
        <v>прайс</v>
      </c>
      <c r="C33" s="21" t="s">
        <v>220</v>
      </c>
      <c r="D33" s="22" t="str">
        <f>Source!H29</f>
        <v>ШТ</v>
      </c>
      <c r="E33" s="23">
        <f>Source!I29</f>
        <v>1</v>
      </c>
      <c r="F33" s="24">
        <f>Source!AL29</f>
        <v>39049.310000000005</v>
      </c>
      <c r="G33" s="25" t="str">
        <f>Source!DD29</f>
        <v/>
      </c>
      <c r="H33" s="23">
        <f>Source!AW29</f>
        <v>1</v>
      </c>
      <c r="I33" s="23">
        <f>IF(Source!BC29&lt;&gt; 0, Source!BC29, 1)</f>
        <v>1</v>
      </c>
      <c r="J33" s="26">
        <f>Source!P29</f>
        <v>39049.31</v>
      </c>
      <c r="K33" s="26"/>
      <c r="Q33">
        <f>ROUND((Source!DN29/100)*ROUND((ROUND((Source!AF29*Source!AV29*Source!I29),2)),2), 2)</f>
        <v>0</v>
      </c>
      <c r="R33">
        <f>Source!X29</f>
        <v>0</v>
      </c>
      <c r="S33">
        <f>ROUND((Source!DO29/100)*ROUND((ROUND((Source!AF29*Source!AV29*Source!I29),2)),2), 2)</f>
        <v>0</v>
      </c>
      <c r="T33">
        <f>Source!Y29</f>
        <v>0</v>
      </c>
      <c r="U33">
        <f>ROUND((175/100)*ROUND((ROUND((Source!AE29*Source!AV29*Source!I29),2)),2), 2)</f>
        <v>0</v>
      </c>
      <c r="V33">
        <f>ROUND((157/100)*ROUND(ROUND((ROUND((Source!AE29*Source!AV29*Source!I29),2)*Source!BS29),2), 2), 2)</f>
        <v>0</v>
      </c>
    </row>
    <row r="34" spans="1:22" ht="15" x14ac:dyDescent="0.25">
      <c r="A34" s="27"/>
      <c r="B34" s="27"/>
      <c r="C34" s="27"/>
      <c r="D34" s="27"/>
      <c r="E34" s="27"/>
      <c r="F34" s="27"/>
      <c r="G34" s="27"/>
      <c r="H34" s="27"/>
      <c r="I34" s="40">
        <f>J33</f>
        <v>39049.31</v>
      </c>
      <c r="J34" s="40"/>
      <c r="K34" s="28">
        <f>IF(Source!I29&lt;&gt;0, ROUND(I34/Source!I29, 2), 0)</f>
        <v>39049.31</v>
      </c>
      <c r="P34" s="15">
        <f>J33</f>
        <v>39049.31</v>
      </c>
    </row>
    <row r="36" spans="1:22" ht="15" x14ac:dyDescent="0.25">
      <c r="B36" s="41" t="str">
        <f>Source!G30</f>
        <v>Монтаж контроллера</v>
      </c>
      <c r="C36" s="41"/>
      <c r="D36" s="41"/>
      <c r="E36" s="41"/>
      <c r="F36" s="41"/>
      <c r="G36" s="41"/>
      <c r="H36" s="41"/>
      <c r="I36" s="41"/>
      <c r="J36" s="41"/>
    </row>
    <row r="37" spans="1:22" ht="65.25" x14ac:dyDescent="0.2">
      <c r="A37" s="8" t="str">
        <f>Source!E31</f>
        <v>3</v>
      </c>
      <c r="B37" s="9" t="s">
        <v>221</v>
      </c>
      <c r="C37" s="9" t="s">
        <v>36</v>
      </c>
      <c r="D37" s="10" t="str">
        <f>Source!H31</f>
        <v>1  ШТ.</v>
      </c>
      <c r="E37" s="2">
        <f>Source!I31</f>
        <v>1</v>
      </c>
      <c r="F37" s="12"/>
      <c r="G37" s="11"/>
      <c r="H37" s="2"/>
      <c r="I37" s="2"/>
      <c r="J37" s="13"/>
      <c r="K37" s="13"/>
      <c r="Q37">
        <f>ROUND((Source!DN31/100)*ROUND((ROUND((Source!AF31*Source!AV31*Source!I31),2)),2), 2)</f>
        <v>21.07</v>
      </c>
      <c r="R37">
        <f>Source!X31</f>
        <v>304.94</v>
      </c>
      <c r="S37">
        <f>ROUND((Source!DO31/100)*ROUND((ROUND((Source!AF31*Source!AV31*Source!I31),2)),2), 2)</f>
        <v>12.38</v>
      </c>
      <c r="T37">
        <f>Source!Y31</f>
        <v>162.37</v>
      </c>
      <c r="U37">
        <f>ROUND((175/100)*ROUND((ROUND((Source!AE31*Source!AV31*Source!I31),2)),2), 2)</f>
        <v>0.02</v>
      </c>
      <c r="V37">
        <f>ROUND((157/100)*ROUND(ROUND((ROUND((Source!AE31*Source!AV31*Source!I31),2)*Source!BS31),2), 2), 2)</f>
        <v>0.33</v>
      </c>
    </row>
    <row r="38" spans="1:22" ht="14.25" x14ac:dyDescent="0.2">
      <c r="A38" s="8"/>
      <c r="B38" s="9"/>
      <c r="C38" s="9" t="s">
        <v>206</v>
      </c>
      <c r="D38" s="10"/>
      <c r="E38" s="2"/>
      <c r="F38" s="12">
        <f>Source!AO31</f>
        <v>16.07</v>
      </c>
      <c r="G38" s="11" t="str">
        <f>Source!DG31</f>
        <v>)*1,15</v>
      </c>
      <c r="H38" s="2">
        <f>Source!AV31</f>
        <v>1</v>
      </c>
      <c r="I38" s="2">
        <f>IF(Source!BA31&lt;&gt; 0, Source!BA31, 1)</f>
        <v>21.43</v>
      </c>
      <c r="J38" s="13">
        <f>Source!S31</f>
        <v>396.03</v>
      </c>
      <c r="K38" s="13"/>
    </row>
    <row r="39" spans="1:22" ht="14.25" x14ac:dyDescent="0.2">
      <c r="A39" s="8"/>
      <c r="B39" s="9"/>
      <c r="C39" s="9" t="s">
        <v>207</v>
      </c>
      <c r="D39" s="10"/>
      <c r="E39" s="2"/>
      <c r="F39" s="12">
        <f>Source!AM31</f>
        <v>0.05</v>
      </c>
      <c r="G39" s="11" t="str">
        <f>Source!DE31</f>
        <v>)*1,15</v>
      </c>
      <c r="H39" s="2">
        <f>Source!AV31</f>
        <v>1</v>
      </c>
      <c r="I39" s="2">
        <f>IF(Source!BB31&lt;&gt; 0, Source!BB31, 1)</f>
        <v>8.6</v>
      </c>
      <c r="J39" s="13">
        <f>Source!Q31</f>
        <v>0.52</v>
      </c>
      <c r="K39" s="13"/>
    </row>
    <row r="40" spans="1:22" ht="14.25" x14ac:dyDescent="0.2">
      <c r="A40" s="8"/>
      <c r="B40" s="9"/>
      <c r="C40" s="9" t="s">
        <v>208</v>
      </c>
      <c r="D40" s="10"/>
      <c r="E40" s="2"/>
      <c r="F40" s="12">
        <f>Source!AN31</f>
        <v>0.01</v>
      </c>
      <c r="G40" s="11" t="str">
        <f>Source!DF31</f>
        <v>)*1,15</v>
      </c>
      <c r="H40" s="2">
        <f>Source!AV31</f>
        <v>1</v>
      </c>
      <c r="I40" s="2">
        <f>IF(Source!BS31&lt;&gt; 0, Source!BS31, 1)</f>
        <v>21.43</v>
      </c>
      <c r="J40" s="14">
        <f>Source!R31</f>
        <v>0.21</v>
      </c>
      <c r="K40" s="13"/>
    </row>
    <row r="41" spans="1:22" ht="14.25" x14ac:dyDescent="0.2">
      <c r="A41" s="8"/>
      <c r="B41" s="9"/>
      <c r="C41" s="9" t="s">
        <v>209</v>
      </c>
      <c r="D41" s="10"/>
      <c r="E41" s="2"/>
      <c r="F41" s="12">
        <f>Source!AL31</f>
        <v>1.96</v>
      </c>
      <c r="G41" s="11" t="str">
        <f>Source!DD31</f>
        <v/>
      </c>
      <c r="H41" s="2">
        <f>Source!AW31</f>
        <v>1</v>
      </c>
      <c r="I41" s="2">
        <f>IF(Source!BC31&lt;&gt; 0, Source!BC31, 1)</f>
        <v>5.36</v>
      </c>
      <c r="J41" s="13">
        <f>Source!P31</f>
        <v>10.51</v>
      </c>
      <c r="K41" s="13"/>
    </row>
    <row r="42" spans="1:22" ht="14.25" x14ac:dyDescent="0.2">
      <c r="A42" s="8"/>
      <c r="B42" s="9"/>
      <c r="C42" s="9" t="s">
        <v>210</v>
      </c>
      <c r="D42" s="10" t="s">
        <v>211</v>
      </c>
      <c r="E42" s="2">
        <f>Source!BZ31</f>
        <v>77</v>
      </c>
      <c r="F42" s="12"/>
      <c r="G42" s="11"/>
      <c r="H42" s="2"/>
      <c r="I42" s="2"/>
      <c r="J42" s="13">
        <f>SUM(R37:R41)</f>
        <v>304.94</v>
      </c>
      <c r="K42" s="13"/>
    </row>
    <row r="43" spans="1:22" ht="14.25" x14ac:dyDescent="0.2">
      <c r="A43" s="8"/>
      <c r="B43" s="9"/>
      <c r="C43" s="9" t="s">
        <v>212</v>
      </c>
      <c r="D43" s="10" t="s">
        <v>211</v>
      </c>
      <c r="E43" s="2">
        <f>Source!CA31</f>
        <v>41</v>
      </c>
      <c r="F43" s="12"/>
      <c r="G43" s="11"/>
      <c r="H43" s="2"/>
      <c r="I43" s="2"/>
      <c r="J43" s="13">
        <f>SUM(T37:T42)</f>
        <v>162.37</v>
      </c>
      <c r="K43" s="13"/>
    </row>
    <row r="44" spans="1:22" ht="14.25" x14ac:dyDescent="0.2">
      <c r="A44" s="8"/>
      <c r="B44" s="9"/>
      <c r="C44" s="9" t="s">
        <v>213</v>
      </c>
      <c r="D44" s="10" t="s">
        <v>211</v>
      </c>
      <c r="E44" s="2">
        <f>157</f>
        <v>157</v>
      </c>
      <c r="F44" s="12"/>
      <c r="G44" s="11"/>
      <c r="H44" s="2"/>
      <c r="I44" s="2"/>
      <c r="J44" s="13">
        <f>SUM(V37:V43)</f>
        <v>0.33</v>
      </c>
      <c r="K44" s="13"/>
    </row>
    <row r="45" spans="1:22" ht="14.25" x14ac:dyDescent="0.2">
      <c r="A45" s="8"/>
      <c r="B45" s="9"/>
      <c r="C45" s="9" t="s">
        <v>214</v>
      </c>
      <c r="D45" s="10" t="s">
        <v>215</v>
      </c>
      <c r="E45" s="2">
        <f>Source!AQ31</f>
        <v>1.2</v>
      </c>
      <c r="F45" s="12"/>
      <c r="G45" s="11" t="str">
        <f>Source!DI31</f>
        <v>)*1,15</v>
      </c>
      <c r="H45" s="2">
        <f>Source!AV31</f>
        <v>1</v>
      </c>
      <c r="I45" s="2"/>
      <c r="J45" s="13"/>
      <c r="K45" s="13">
        <f>Source!U31</f>
        <v>1.38</v>
      </c>
    </row>
    <row r="46" spans="1:22" ht="15" x14ac:dyDescent="0.25">
      <c r="A46" s="16"/>
      <c r="B46" s="16"/>
      <c r="C46" s="16"/>
      <c r="D46" s="16"/>
      <c r="E46" s="16"/>
      <c r="F46" s="16"/>
      <c r="G46" s="16"/>
      <c r="H46" s="16"/>
      <c r="I46" s="38">
        <f>J38+J39+J41+J42+J43+J44</f>
        <v>874.7</v>
      </c>
      <c r="J46" s="38"/>
      <c r="K46" s="17">
        <f>IF(Source!I31&lt;&gt;0, ROUND(I46/Source!I31, 2), 0)</f>
        <v>874.7</v>
      </c>
      <c r="P46" s="15">
        <f>J38+J39+J41+J42+J43+J44</f>
        <v>874.7</v>
      </c>
    </row>
    <row r="48" spans="1:22" ht="15" x14ac:dyDescent="0.25">
      <c r="B48" s="41" t="str">
        <f>Source!G32</f>
        <v>или</v>
      </c>
      <c r="C48" s="41"/>
      <c r="D48" s="41"/>
      <c r="E48" s="41"/>
      <c r="F48" s="41"/>
      <c r="G48" s="41"/>
      <c r="H48" s="41"/>
      <c r="I48" s="41"/>
      <c r="J48" s="41"/>
    </row>
    <row r="49" spans="1:22" ht="65.25" x14ac:dyDescent="0.2">
      <c r="A49" s="8" t="str">
        <f>Source!E33</f>
        <v>4</v>
      </c>
      <c r="B49" s="9" t="s">
        <v>222</v>
      </c>
      <c r="C49" s="9" t="s">
        <v>43</v>
      </c>
      <c r="D49" s="10" t="str">
        <f>Source!H33</f>
        <v>1  ШТ.</v>
      </c>
      <c r="E49" s="2">
        <f>Source!I33</f>
        <v>1</v>
      </c>
      <c r="F49" s="12"/>
      <c r="G49" s="11"/>
      <c r="H49" s="2"/>
      <c r="I49" s="2"/>
      <c r="J49" s="13"/>
      <c r="K49" s="13"/>
      <c r="Q49">
        <f>ROUND((Source!DN33/100)*ROUND((ROUND((Source!AF33*Source!AV33*Source!I33),2)),2), 2)</f>
        <v>65.3</v>
      </c>
      <c r="R49">
        <f>Source!X33</f>
        <v>945.18</v>
      </c>
      <c r="S49">
        <f>ROUND((Source!DO33/100)*ROUND((ROUND((Source!AF33*Source!AV33*Source!I33),2)),2), 2)</f>
        <v>38.380000000000003</v>
      </c>
      <c r="T49">
        <f>Source!Y33</f>
        <v>503.28</v>
      </c>
      <c r="U49">
        <f>ROUND((175/100)*ROUND((ROUND((Source!AE33*Source!AV33*Source!I33),2)),2), 2)</f>
        <v>1.03</v>
      </c>
      <c r="V49">
        <f>ROUND((157/100)*ROUND(ROUND((ROUND((Source!AE33*Source!AV33*Source!I33),2)*Source!BS33),2), 2), 2)</f>
        <v>19.84</v>
      </c>
    </row>
    <row r="50" spans="1:22" ht="14.25" x14ac:dyDescent="0.2">
      <c r="A50" s="8"/>
      <c r="B50" s="9"/>
      <c r="C50" s="9" t="s">
        <v>206</v>
      </c>
      <c r="D50" s="10"/>
      <c r="E50" s="2"/>
      <c r="F50" s="12">
        <f>Source!AO33</f>
        <v>49.81</v>
      </c>
      <c r="G50" s="11" t="str">
        <f>Source!DG33</f>
        <v>)*1,15</v>
      </c>
      <c r="H50" s="2">
        <f>Source!AV33</f>
        <v>1</v>
      </c>
      <c r="I50" s="2">
        <f>IF(Source!BA33&lt;&gt; 0, Source!BA33, 1)</f>
        <v>21.43</v>
      </c>
      <c r="J50" s="13">
        <f>Source!S33</f>
        <v>1227.51</v>
      </c>
      <c r="K50" s="13"/>
    </row>
    <row r="51" spans="1:22" ht="14.25" x14ac:dyDescent="0.2">
      <c r="A51" s="8"/>
      <c r="B51" s="9"/>
      <c r="C51" s="9" t="s">
        <v>207</v>
      </c>
      <c r="D51" s="10"/>
      <c r="E51" s="2"/>
      <c r="F51" s="12">
        <f>Source!AM33</f>
        <v>5.59</v>
      </c>
      <c r="G51" s="11" t="str">
        <f>Source!DE33</f>
        <v>)*1,15</v>
      </c>
      <c r="H51" s="2">
        <f>Source!AV33</f>
        <v>1</v>
      </c>
      <c r="I51" s="2">
        <f>IF(Source!BB33&lt;&gt; 0, Source!BB33, 1)</f>
        <v>6.8</v>
      </c>
      <c r="J51" s="13">
        <f>Source!Q33</f>
        <v>43.72</v>
      </c>
      <c r="K51" s="13"/>
    </row>
    <row r="52" spans="1:22" ht="14.25" x14ac:dyDescent="0.2">
      <c r="A52" s="8"/>
      <c r="B52" s="9"/>
      <c r="C52" s="9" t="s">
        <v>208</v>
      </c>
      <c r="D52" s="10"/>
      <c r="E52" s="2"/>
      <c r="F52" s="12">
        <f>Source!AN33</f>
        <v>0.51</v>
      </c>
      <c r="G52" s="11" t="str">
        <f>Source!DF33</f>
        <v>)*1,15</v>
      </c>
      <c r="H52" s="2">
        <f>Source!AV33</f>
        <v>1</v>
      </c>
      <c r="I52" s="2">
        <f>IF(Source!BS33&lt;&gt; 0, Source!BS33, 1)</f>
        <v>21.43</v>
      </c>
      <c r="J52" s="14">
        <f>Source!R33</f>
        <v>12.64</v>
      </c>
      <c r="K52" s="13"/>
    </row>
    <row r="53" spans="1:22" ht="14.25" x14ac:dyDescent="0.2">
      <c r="A53" s="8"/>
      <c r="B53" s="9"/>
      <c r="C53" s="9" t="s">
        <v>209</v>
      </c>
      <c r="D53" s="10"/>
      <c r="E53" s="2"/>
      <c r="F53" s="12">
        <f>Source!AL33</f>
        <v>69.23</v>
      </c>
      <c r="G53" s="11" t="str">
        <f>Source!DD33</f>
        <v/>
      </c>
      <c r="H53" s="2">
        <f>Source!AW33</f>
        <v>1</v>
      </c>
      <c r="I53" s="2">
        <f>IF(Source!BC33&lt;&gt; 0, Source!BC33, 1)</f>
        <v>5.36</v>
      </c>
      <c r="J53" s="13">
        <f>Source!P33</f>
        <v>371.07</v>
      </c>
      <c r="K53" s="13"/>
    </row>
    <row r="54" spans="1:22" ht="14.25" x14ac:dyDescent="0.2">
      <c r="A54" s="8"/>
      <c r="B54" s="9"/>
      <c r="C54" s="9" t="s">
        <v>210</v>
      </c>
      <c r="D54" s="10" t="s">
        <v>211</v>
      </c>
      <c r="E54" s="2">
        <f>Source!BZ33</f>
        <v>77</v>
      </c>
      <c r="F54" s="12"/>
      <c r="G54" s="11"/>
      <c r="H54" s="2"/>
      <c r="I54" s="2"/>
      <c r="J54" s="13">
        <f>SUM(R49:R53)</f>
        <v>945.18</v>
      </c>
      <c r="K54" s="13"/>
    </row>
    <row r="55" spans="1:22" ht="14.25" x14ac:dyDescent="0.2">
      <c r="A55" s="8"/>
      <c r="B55" s="9"/>
      <c r="C55" s="9" t="s">
        <v>212</v>
      </c>
      <c r="D55" s="10" t="s">
        <v>211</v>
      </c>
      <c r="E55" s="2">
        <f>Source!CA33</f>
        <v>41</v>
      </c>
      <c r="F55" s="12"/>
      <c r="G55" s="11"/>
      <c r="H55" s="2"/>
      <c r="I55" s="2"/>
      <c r="J55" s="13">
        <f>SUM(T49:T54)</f>
        <v>503.28</v>
      </c>
      <c r="K55" s="13"/>
    </row>
    <row r="56" spans="1:22" ht="14.25" x14ac:dyDescent="0.2">
      <c r="A56" s="8"/>
      <c r="B56" s="9"/>
      <c r="C56" s="9" t="s">
        <v>213</v>
      </c>
      <c r="D56" s="10" t="s">
        <v>211</v>
      </c>
      <c r="E56" s="2">
        <f>157</f>
        <v>157</v>
      </c>
      <c r="F56" s="12"/>
      <c r="G56" s="11"/>
      <c r="H56" s="2"/>
      <c r="I56" s="2"/>
      <c r="J56" s="13">
        <f>SUM(V49:V55)</f>
        <v>19.84</v>
      </c>
      <c r="K56" s="13"/>
    </row>
    <row r="57" spans="1:22" ht="14.25" x14ac:dyDescent="0.2">
      <c r="A57" s="8"/>
      <c r="B57" s="9"/>
      <c r="C57" s="9" t="s">
        <v>214</v>
      </c>
      <c r="D57" s="10" t="s">
        <v>215</v>
      </c>
      <c r="E57" s="2">
        <f>Source!AQ33</f>
        <v>4.04</v>
      </c>
      <c r="F57" s="12"/>
      <c r="G57" s="11" t="str">
        <f>Source!DI33</f>
        <v>)*1,15</v>
      </c>
      <c r="H57" s="2">
        <f>Source!AV33</f>
        <v>1</v>
      </c>
      <c r="I57" s="2"/>
      <c r="J57" s="13"/>
      <c r="K57" s="13">
        <f>Source!U33</f>
        <v>4.6459999999999999</v>
      </c>
    </row>
    <row r="58" spans="1:22" ht="15" x14ac:dyDescent="0.25">
      <c r="A58" s="16"/>
      <c r="B58" s="16"/>
      <c r="C58" s="16"/>
      <c r="D58" s="16"/>
      <c r="E58" s="16"/>
      <c r="F58" s="16"/>
      <c r="G58" s="16"/>
      <c r="H58" s="16"/>
      <c r="I58" s="38">
        <f>J50+J51+J53+J54+J55+J56</f>
        <v>3110.6000000000004</v>
      </c>
      <c r="J58" s="38"/>
      <c r="K58" s="17">
        <f>IF(Source!I33&lt;&gt;0, ROUND(I58/Source!I33, 2), 0)</f>
        <v>3110.6</v>
      </c>
      <c r="P58" s="15">
        <f>J50+J51+J53+J54+J55+J56</f>
        <v>3110.6000000000004</v>
      </c>
    </row>
    <row r="59" spans="1:22" ht="68.25" x14ac:dyDescent="0.2">
      <c r="A59" s="20" t="str">
        <f>Source!E34</f>
        <v>5</v>
      </c>
      <c r="B59" s="21" t="str">
        <f>Source!F34</f>
        <v>прайс</v>
      </c>
      <c r="C59" s="21" t="s">
        <v>223</v>
      </c>
      <c r="D59" s="22" t="str">
        <f>Source!H34</f>
        <v>ШТ</v>
      </c>
      <c r="E59" s="23">
        <f>Source!I34</f>
        <v>1</v>
      </c>
      <c r="F59" s="24">
        <f>Source!AL34</f>
        <v>12335.29</v>
      </c>
      <c r="G59" s="25" t="str">
        <f>Source!DD34</f>
        <v/>
      </c>
      <c r="H59" s="23">
        <f>Source!AW34</f>
        <v>1</v>
      </c>
      <c r="I59" s="23">
        <f>IF(Source!BC34&lt;&gt; 0, Source!BC34, 1)</f>
        <v>1</v>
      </c>
      <c r="J59" s="26">
        <f>Source!P34</f>
        <v>12335.29</v>
      </c>
      <c r="K59" s="26"/>
      <c r="Q59">
        <f>ROUND((Source!DN34/100)*ROUND((ROUND((Source!AF34*Source!AV34*Source!I34),2)),2), 2)</f>
        <v>0</v>
      </c>
      <c r="R59">
        <f>Source!X34</f>
        <v>0</v>
      </c>
      <c r="S59">
        <f>ROUND((Source!DO34/100)*ROUND((ROUND((Source!AF34*Source!AV34*Source!I34),2)),2), 2)</f>
        <v>0</v>
      </c>
      <c r="T59">
        <f>Source!Y34</f>
        <v>0</v>
      </c>
      <c r="U59">
        <f>ROUND((175/100)*ROUND((ROUND((Source!AE34*Source!AV34*Source!I34),2)),2), 2)</f>
        <v>0</v>
      </c>
      <c r="V59">
        <f>ROUND((157/100)*ROUND(ROUND((ROUND((Source!AE34*Source!AV34*Source!I34),2)*Source!BS34),2), 2), 2)</f>
        <v>0</v>
      </c>
    </row>
    <row r="60" spans="1:22" ht="15" x14ac:dyDescent="0.25">
      <c r="A60" s="27"/>
      <c r="B60" s="27"/>
      <c r="C60" s="27"/>
      <c r="D60" s="27"/>
      <c r="E60" s="27"/>
      <c r="F60" s="27"/>
      <c r="G60" s="27"/>
      <c r="H60" s="27"/>
      <c r="I60" s="40">
        <f>J59</f>
        <v>12335.29</v>
      </c>
      <c r="J60" s="40"/>
      <c r="K60" s="28">
        <f>IF(Source!I34&lt;&gt;0, ROUND(I60/Source!I34, 2), 0)</f>
        <v>12335.29</v>
      </c>
      <c r="P60" s="15">
        <f>J59</f>
        <v>12335.29</v>
      </c>
    </row>
    <row r="61" spans="1:22" ht="65.25" x14ac:dyDescent="0.2">
      <c r="A61" s="8" t="str">
        <f>Source!E38</f>
        <v>6</v>
      </c>
      <c r="B61" s="9" t="s">
        <v>224</v>
      </c>
      <c r="C61" s="9" t="s">
        <v>59</v>
      </c>
      <c r="D61" s="10" t="str">
        <f>Source!H38</f>
        <v>1  ШТ.</v>
      </c>
      <c r="E61" s="2">
        <f>Source!I38</f>
        <v>1</v>
      </c>
      <c r="F61" s="12"/>
      <c r="G61" s="11"/>
      <c r="H61" s="2"/>
      <c r="I61" s="2"/>
      <c r="J61" s="13"/>
      <c r="K61" s="13"/>
      <c r="Q61">
        <f>ROUND((Source!DN38/100)*ROUND((ROUND((Source!AF38*Source!AV38*Source!I38),2)),2), 2)</f>
        <v>8.86</v>
      </c>
      <c r="R61">
        <f>Source!X38</f>
        <v>128.21</v>
      </c>
      <c r="S61">
        <f>ROUND((Source!DO38/100)*ROUND((ROUND((Source!AF38*Source!AV38*Source!I38),2)),2), 2)</f>
        <v>5.21</v>
      </c>
      <c r="T61">
        <f>Source!Y38</f>
        <v>68.27</v>
      </c>
      <c r="U61">
        <f>ROUND((175/100)*ROUND((ROUND((Source!AE38*Source!AV38*Source!I38),2)),2), 2)</f>
        <v>0</v>
      </c>
      <c r="V61">
        <f>ROUND((157/100)*ROUND(ROUND((ROUND((Source!AE38*Source!AV38*Source!I38),2)*Source!BS38),2), 2), 2)</f>
        <v>0</v>
      </c>
    </row>
    <row r="62" spans="1:22" ht="14.25" x14ac:dyDescent="0.2">
      <c r="A62" s="8"/>
      <c r="B62" s="9"/>
      <c r="C62" s="9" t="s">
        <v>206</v>
      </c>
      <c r="D62" s="10"/>
      <c r="E62" s="2"/>
      <c r="F62" s="12">
        <f>Source!AO38</f>
        <v>6.76</v>
      </c>
      <c r="G62" s="11" t="str">
        <f>Source!DG38</f>
        <v>)*1,15</v>
      </c>
      <c r="H62" s="2">
        <f>Source!AV38</f>
        <v>1</v>
      </c>
      <c r="I62" s="2">
        <f>IF(Source!BA38&lt;&gt; 0, Source!BA38, 1)</f>
        <v>21.43</v>
      </c>
      <c r="J62" s="13">
        <f>Source!S38</f>
        <v>166.51</v>
      </c>
      <c r="K62" s="13"/>
    </row>
    <row r="63" spans="1:22" ht="14.25" x14ac:dyDescent="0.2">
      <c r="A63" s="8"/>
      <c r="B63" s="9"/>
      <c r="C63" s="9" t="s">
        <v>209</v>
      </c>
      <c r="D63" s="10"/>
      <c r="E63" s="2"/>
      <c r="F63" s="12">
        <f>Source!AL38</f>
        <v>0.35</v>
      </c>
      <c r="G63" s="11" t="str">
        <f>Source!DD38</f>
        <v/>
      </c>
      <c r="H63" s="2">
        <f>Source!AW38</f>
        <v>1</v>
      </c>
      <c r="I63" s="2">
        <f>IF(Source!BC38&lt;&gt; 0, Source!BC38, 1)</f>
        <v>5.37</v>
      </c>
      <c r="J63" s="13">
        <f>Source!P38</f>
        <v>1.88</v>
      </c>
      <c r="K63" s="13"/>
    </row>
    <row r="64" spans="1:22" ht="14.25" x14ac:dyDescent="0.2">
      <c r="A64" s="8"/>
      <c r="B64" s="9"/>
      <c r="C64" s="9" t="s">
        <v>210</v>
      </c>
      <c r="D64" s="10" t="s">
        <v>211</v>
      </c>
      <c r="E64" s="2">
        <f>Source!BZ38</f>
        <v>77</v>
      </c>
      <c r="F64" s="12"/>
      <c r="G64" s="11"/>
      <c r="H64" s="2"/>
      <c r="I64" s="2"/>
      <c r="J64" s="13">
        <f>SUM(R61:R63)</f>
        <v>128.21</v>
      </c>
      <c r="K64" s="13"/>
    </row>
    <row r="65" spans="1:22" ht="14.25" x14ac:dyDescent="0.2">
      <c r="A65" s="8"/>
      <c r="B65" s="9"/>
      <c r="C65" s="9" t="s">
        <v>212</v>
      </c>
      <c r="D65" s="10" t="s">
        <v>211</v>
      </c>
      <c r="E65" s="2">
        <f>Source!CA38</f>
        <v>41</v>
      </c>
      <c r="F65" s="12"/>
      <c r="G65" s="11"/>
      <c r="H65" s="2"/>
      <c r="I65" s="2"/>
      <c r="J65" s="13">
        <f>SUM(T61:T64)</f>
        <v>68.27</v>
      </c>
      <c r="K65" s="13"/>
    </row>
    <row r="66" spans="1:22" ht="14.25" x14ac:dyDescent="0.2">
      <c r="A66" s="8"/>
      <c r="B66" s="9"/>
      <c r="C66" s="9" t="s">
        <v>214</v>
      </c>
      <c r="D66" s="10" t="s">
        <v>215</v>
      </c>
      <c r="E66" s="2">
        <f>Source!AQ38</f>
        <v>0.52</v>
      </c>
      <c r="F66" s="12"/>
      <c r="G66" s="11" t="str">
        <f>Source!DI38</f>
        <v>)*1,15</v>
      </c>
      <c r="H66" s="2">
        <f>Source!AV38</f>
        <v>1</v>
      </c>
      <c r="I66" s="2"/>
      <c r="J66" s="13"/>
      <c r="K66" s="13">
        <f>Source!U38</f>
        <v>0.59799999999999998</v>
      </c>
    </row>
    <row r="67" spans="1:22" ht="15" x14ac:dyDescent="0.25">
      <c r="A67" s="16"/>
      <c r="B67" s="16"/>
      <c r="C67" s="16"/>
      <c r="D67" s="16"/>
      <c r="E67" s="16"/>
      <c r="F67" s="16"/>
      <c r="G67" s="16"/>
      <c r="H67" s="16"/>
      <c r="I67" s="38">
        <f>J62+J63+J64+J65</f>
        <v>364.87</v>
      </c>
      <c r="J67" s="38"/>
      <c r="K67" s="17">
        <f>IF(Source!I38&lt;&gt;0, ROUND(I67/Source!I38, 2), 0)</f>
        <v>364.87</v>
      </c>
      <c r="P67" s="15">
        <f>J62+J63+J64+J65</f>
        <v>364.87</v>
      </c>
    </row>
    <row r="68" spans="1:22" ht="54" x14ac:dyDescent="0.2">
      <c r="A68" s="20" t="str">
        <f>Source!E39</f>
        <v>7</v>
      </c>
      <c r="B68" s="21" t="str">
        <f>Source!F39</f>
        <v>прайс</v>
      </c>
      <c r="C68" s="21" t="s">
        <v>225</v>
      </c>
      <c r="D68" s="22" t="str">
        <f>Source!H39</f>
        <v>ШТ</v>
      </c>
      <c r="E68" s="23">
        <f>Source!I39</f>
        <v>1</v>
      </c>
      <c r="F68" s="24">
        <f>Source!AL39</f>
        <v>1921.07</v>
      </c>
      <c r="G68" s="25" t="str">
        <f>Source!DD39</f>
        <v/>
      </c>
      <c r="H68" s="23">
        <f>Source!AW39</f>
        <v>1</v>
      </c>
      <c r="I68" s="23">
        <f>IF(Source!BC39&lt;&gt; 0, Source!BC39, 1)</f>
        <v>1</v>
      </c>
      <c r="J68" s="26">
        <f>Source!P39</f>
        <v>1921.07</v>
      </c>
      <c r="K68" s="26"/>
      <c r="Q68">
        <f>ROUND((Source!DN39/100)*ROUND((ROUND((Source!AF39*Source!AV39*Source!I39),2)),2), 2)</f>
        <v>0</v>
      </c>
      <c r="R68">
        <f>Source!X39</f>
        <v>0</v>
      </c>
      <c r="S68">
        <f>ROUND((Source!DO39/100)*ROUND((ROUND((Source!AF39*Source!AV39*Source!I39),2)),2), 2)</f>
        <v>0</v>
      </c>
      <c r="T68">
        <f>Source!Y39</f>
        <v>0</v>
      </c>
      <c r="U68">
        <f>ROUND((175/100)*ROUND((ROUND((Source!AE39*Source!AV39*Source!I39),2)),2), 2)</f>
        <v>0</v>
      </c>
      <c r="V68">
        <f>ROUND((157/100)*ROUND(ROUND((ROUND((Source!AE39*Source!AV39*Source!I39),2)*Source!BS39),2), 2), 2)</f>
        <v>0</v>
      </c>
    </row>
    <row r="69" spans="1:22" ht="15" x14ac:dyDescent="0.25">
      <c r="A69" s="27"/>
      <c r="B69" s="27"/>
      <c r="C69" s="27"/>
      <c r="D69" s="27"/>
      <c r="E69" s="27"/>
      <c r="F69" s="27"/>
      <c r="G69" s="27"/>
      <c r="H69" s="27"/>
      <c r="I69" s="40">
        <f>J68</f>
        <v>1921.07</v>
      </c>
      <c r="J69" s="40"/>
      <c r="K69" s="28">
        <f>IF(Source!I39&lt;&gt;0, ROUND(I69/Source!I39, 2), 0)</f>
        <v>1921.07</v>
      </c>
      <c r="P69" s="15">
        <f>J68</f>
        <v>1921.07</v>
      </c>
    </row>
    <row r="70" spans="1:22" ht="65.25" x14ac:dyDescent="0.2">
      <c r="A70" s="8" t="str">
        <f>Source!E40</f>
        <v>8</v>
      </c>
      <c r="B70" s="9" t="s">
        <v>226</v>
      </c>
      <c r="C70" s="9" t="s">
        <v>68</v>
      </c>
      <c r="D70" s="10" t="str">
        <f>Source!H40</f>
        <v>1  ШТ.</v>
      </c>
      <c r="E70" s="2">
        <f>Source!I40</f>
        <v>5</v>
      </c>
      <c r="F70" s="12"/>
      <c r="G70" s="11"/>
      <c r="H70" s="2"/>
      <c r="I70" s="2"/>
      <c r="J70" s="13"/>
      <c r="K70" s="13"/>
      <c r="Q70">
        <f>ROUND((Source!DN40/100)*ROUND((ROUND((Source!AF40*Source!AV40*Source!I40),2)),2), 2)</f>
        <v>175.55</v>
      </c>
      <c r="R70">
        <f>Source!X40</f>
        <v>2541.0100000000002</v>
      </c>
      <c r="S70">
        <f>ROUND((Source!DO40/100)*ROUND((ROUND((Source!AF40*Source!AV40*Source!I40),2)),2), 2)</f>
        <v>103.17</v>
      </c>
      <c r="T70">
        <f>Source!Y40</f>
        <v>1353</v>
      </c>
      <c r="U70">
        <f>ROUND((175/100)*ROUND((ROUND((Source!AE40*Source!AV40*Source!I40),2)),2), 2)</f>
        <v>19.829999999999998</v>
      </c>
      <c r="V70">
        <f>ROUND((157/100)*ROUND(ROUND((ROUND((Source!AE40*Source!AV40*Source!I40),2)*Source!BS40),2), 2), 2)</f>
        <v>381.2</v>
      </c>
    </row>
    <row r="71" spans="1:22" ht="14.25" x14ac:dyDescent="0.2">
      <c r="A71" s="8"/>
      <c r="B71" s="9"/>
      <c r="C71" s="9" t="s">
        <v>206</v>
      </c>
      <c r="D71" s="10"/>
      <c r="E71" s="2"/>
      <c r="F71" s="12">
        <f>Source!AO40</f>
        <v>26.78</v>
      </c>
      <c r="G71" s="11" t="str">
        <f>Source!DG40</f>
        <v>)*1,15</v>
      </c>
      <c r="H71" s="2">
        <f>Source!AV40</f>
        <v>1</v>
      </c>
      <c r="I71" s="2">
        <f>IF(Source!BA40&lt;&gt; 0, Source!BA40, 1)</f>
        <v>21.43</v>
      </c>
      <c r="J71" s="13">
        <f>Source!S40</f>
        <v>3300.01</v>
      </c>
      <c r="K71" s="13"/>
    </row>
    <row r="72" spans="1:22" ht="14.25" x14ac:dyDescent="0.2">
      <c r="A72" s="8"/>
      <c r="B72" s="9"/>
      <c r="C72" s="9" t="s">
        <v>207</v>
      </c>
      <c r="D72" s="10"/>
      <c r="E72" s="2"/>
      <c r="F72" s="12">
        <f>Source!AM40</f>
        <v>12.25</v>
      </c>
      <c r="G72" s="11" t="str">
        <f>Source!DE40</f>
        <v>)*1,15</v>
      </c>
      <c r="H72" s="2">
        <f>Source!AV40</f>
        <v>1</v>
      </c>
      <c r="I72" s="2">
        <f>IF(Source!BB40&lt;&gt; 0, Source!BB40, 1)</f>
        <v>7.92</v>
      </c>
      <c r="J72" s="13">
        <f>Source!Q40</f>
        <v>557.88</v>
      </c>
      <c r="K72" s="13"/>
    </row>
    <row r="73" spans="1:22" ht="14.25" x14ac:dyDescent="0.2">
      <c r="A73" s="8"/>
      <c r="B73" s="9"/>
      <c r="C73" s="9" t="s">
        <v>208</v>
      </c>
      <c r="D73" s="10"/>
      <c r="E73" s="2"/>
      <c r="F73" s="12">
        <f>Source!AN40</f>
        <v>1.97</v>
      </c>
      <c r="G73" s="11" t="str">
        <f>Source!DF40</f>
        <v>)*1,15</v>
      </c>
      <c r="H73" s="2">
        <f>Source!AV40</f>
        <v>1</v>
      </c>
      <c r="I73" s="2">
        <f>IF(Source!BS40&lt;&gt; 0, Source!BS40, 1)</f>
        <v>21.43</v>
      </c>
      <c r="J73" s="14">
        <f>Source!R40</f>
        <v>242.8</v>
      </c>
      <c r="K73" s="13"/>
    </row>
    <row r="74" spans="1:22" ht="14.25" x14ac:dyDescent="0.2">
      <c r="A74" s="8"/>
      <c r="B74" s="9"/>
      <c r="C74" s="9" t="s">
        <v>209</v>
      </c>
      <c r="D74" s="10"/>
      <c r="E74" s="2"/>
      <c r="F74" s="12">
        <f>Source!AL40</f>
        <v>54.18</v>
      </c>
      <c r="G74" s="11" t="str">
        <f>Source!DD40</f>
        <v/>
      </c>
      <c r="H74" s="2">
        <f>Source!AW40</f>
        <v>1</v>
      </c>
      <c r="I74" s="2">
        <f>IF(Source!BC40&lt;&gt; 0, Source!BC40, 1)</f>
        <v>5.36</v>
      </c>
      <c r="J74" s="13">
        <f>Source!P40</f>
        <v>1452.02</v>
      </c>
      <c r="K74" s="13"/>
    </row>
    <row r="75" spans="1:22" ht="14.25" x14ac:dyDescent="0.2">
      <c r="A75" s="8"/>
      <c r="B75" s="9"/>
      <c r="C75" s="9" t="s">
        <v>210</v>
      </c>
      <c r="D75" s="10" t="s">
        <v>211</v>
      </c>
      <c r="E75" s="2">
        <f>Source!BZ40</f>
        <v>77</v>
      </c>
      <c r="F75" s="12"/>
      <c r="G75" s="11"/>
      <c r="H75" s="2"/>
      <c r="I75" s="2"/>
      <c r="J75" s="13">
        <f>SUM(R70:R74)</f>
        <v>2541.0100000000002</v>
      </c>
      <c r="K75" s="13"/>
    </row>
    <row r="76" spans="1:22" ht="14.25" x14ac:dyDescent="0.2">
      <c r="A76" s="8"/>
      <c r="B76" s="9"/>
      <c r="C76" s="9" t="s">
        <v>212</v>
      </c>
      <c r="D76" s="10" t="s">
        <v>211</v>
      </c>
      <c r="E76" s="2">
        <f>Source!CA40</f>
        <v>41</v>
      </c>
      <c r="F76" s="12"/>
      <c r="G76" s="11"/>
      <c r="H76" s="2"/>
      <c r="I76" s="2"/>
      <c r="J76" s="13">
        <f>SUM(T70:T75)</f>
        <v>1353</v>
      </c>
      <c r="K76" s="13"/>
    </row>
    <row r="77" spans="1:22" ht="14.25" x14ac:dyDescent="0.2">
      <c r="A77" s="8"/>
      <c r="B77" s="9"/>
      <c r="C77" s="9" t="s">
        <v>213</v>
      </c>
      <c r="D77" s="10" t="s">
        <v>211</v>
      </c>
      <c r="E77" s="2">
        <f>157</f>
        <v>157</v>
      </c>
      <c r="F77" s="12"/>
      <c r="G77" s="11"/>
      <c r="H77" s="2"/>
      <c r="I77" s="2"/>
      <c r="J77" s="13">
        <f>SUM(V70:V76)</f>
        <v>381.2</v>
      </c>
      <c r="K77" s="13"/>
    </row>
    <row r="78" spans="1:22" ht="14.25" x14ac:dyDescent="0.2">
      <c r="A78" s="8"/>
      <c r="B78" s="9"/>
      <c r="C78" s="9" t="s">
        <v>214</v>
      </c>
      <c r="D78" s="10" t="s">
        <v>215</v>
      </c>
      <c r="E78" s="2">
        <f>Source!AQ40</f>
        <v>2.06</v>
      </c>
      <c r="F78" s="12"/>
      <c r="G78" s="11" t="str">
        <f>Source!DI40</f>
        <v>)*1,15</v>
      </c>
      <c r="H78" s="2">
        <f>Source!AV40</f>
        <v>1</v>
      </c>
      <c r="I78" s="2"/>
      <c r="J78" s="13"/>
      <c r="K78" s="13">
        <f>Source!U40</f>
        <v>11.844999999999999</v>
      </c>
    </row>
    <row r="79" spans="1:22" ht="15" x14ac:dyDescent="0.25">
      <c r="A79" s="16"/>
      <c r="B79" s="16"/>
      <c r="C79" s="16"/>
      <c r="D79" s="16"/>
      <c r="E79" s="16"/>
      <c r="F79" s="16"/>
      <c r="G79" s="16"/>
      <c r="H79" s="16"/>
      <c r="I79" s="38">
        <f>J71+J72+J74+J75+J76+J77</f>
        <v>9585.1200000000008</v>
      </c>
      <c r="J79" s="38"/>
      <c r="K79" s="17">
        <f>IF(Source!I40&lt;&gt;0, ROUND(I79/Source!I40, 2), 0)</f>
        <v>1917.02</v>
      </c>
      <c r="P79" s="15">
        <f>J71+J72+J74+J75+J76+J77</f>
        <v>9585.1200000000008</v>
      </c>
    </row>
    <row r="80" spans="1:22" ht="68.25" x14ac:dyDescent="0.2">
      <c r="A80" s="20" t="str">
        <f>Source!E41</f>
        <v>9</v>
      </c>
      <c r="B80" s="21" t="str">
        <f>Source!F41</f>
        <v>прайс</v>
      </c>
      <c r="C80" s="21" t="s">
        <v>227</v>
      </c>
      <c r="D80" s="22" t="str">
        <f>Source!H41</f>
        <v>ШТ</v>
      </c>
      <c r="E80" s="23">
        <f>Source!I41</f>
        <v>5</v>
      </c>
      <c r="F80" s="24">
        <f>Source!AL41</f>
        <v>5813.7699999999995</v>
      </c>
      <c r="G80" s="25" t="str">
        <f>Source!DD41</f>
        <v/>
      </c>
      <c r="H80" s="23">
        <f>Source!AW41</f>
        <v>1</v>
      </c>
      <c r="I80" s="23">
        <f>IF(Source!BC41&lt;&gt; 0, Source!BC41, 1)</f>
        <v>1</v>
      </c>
      <c r="J80" s="26">
        <f>Source!P41</f>
        <v>29068.85</v>
      </c>
      <c r="K80" s="26"/>
      <c r="Q80">
        <f>ROUND((Source!DN41/100)*ROUND((ROUND((Source!AF41*Source!AV41*Source!I41),2)),2), 2)</f>
        <v>0</v>
      </c>
      <c r="R80">
        <f>Source!X41</f>
        <v>0</v>
      </c>
      <c r="S80">
        <f>ROUND((Source!DO41/100)*ROUND((ROUND((Source!AF41*Source!AV41*Source!I41),2)),2), 2)</f>
        <v>0</v>
      </c>
      <c r="T80">
        <f>Source!Y41</f>
        <v>0</v>
      </c>
      <c r="U80">
        <f>ROUND((175/100)*ROUND((ROUND((Source!AE41*Source!AV41*Source!I41),2)),2), 2)</f>
        <v>0</v>
      </c>
      <c r="V80">
        <f>ROUND((157/100)*ROUND(ROUND((ROUND((Source!AE41*Source!AV41*Source!I41),2)*Source!BS41),2), 2), 2)</f>
        <v>0</v>
      </c>
    </row>
    <row r="81" spans="1:22" ht="15" x14ac:dyDescent="0.25">
      <c r="A81" s="27"/>
      <c r="B81" s="27"/>
      <c r="C81" s="27"/>
      <c r="D81" s="27"/>
      <c r="E81" s="27"/>
      <c r="F81" s="27"/>
      <c r="G81" s="27"/>
      <c r="H81" s="27"/>
      <c r="I81" s="40">
        <f>J80</f>
        <v>29068.85</v>
      </c>
      <c r="J81" s="40"/>
      <c r="K81" s="28">
        <f>IF(Source!I41&lt;&gt;0, ROUND(I81/Source!I41, 2), 0)</f>
        <v>5813.77</v>
      </c>
      <c r="P81" s="15">
        <f>J80</f>
        <v>29068.85</v>
      </c>
    </row>
    <row r="82" spans="1:22" ht="65.25" x14ac:dyDescent="0.2">
      <c r="A82" s="8" t="str">
        <f>Source!E42</f>
        <v>10</v>
      </c>
      <c r="B82" s="9" t="s">
        <v>228</v>
      </c>
      <c r="C82" s="9" t="s">
        <v>75</v>
      </c>
      <c r="D82" s="10" t="str">
        <f>Source!H42</f>
        <v>100 м</v>
      </c>
      <c r="E82" s="2">
        <f>Source!I42</f>
        <v>0.3</v>
      </c>
      <c r="F82" s="12"/>
      <c r="G82" s="11"/>
      <c r="H82" s="2"/>
      <c r="I82" s="2"/>
      <c r="J82" s="13"/>
      <c r="K82" s="13"/>
      <c r="Q82">
        <f>ROUND((Source!DN42/100)*ROUND((ROUND((Source!AF42*Source!AV42*Source!I42),2)),2), 2)</f>
        <v>4.99</v>
      </c>
      <c r="R82">
        <f>Source!X42</f>
        <v>72.27</v>
      </c>
      <c r="S82">
        <f>ROUND((Source!DO42/100)*ROUND((ROUND((Source!AF42*Source!AV42*Source!I42),2)),2), 2)</f>
        <v>2.93</v>
      </c>
      <c r="T82">
        <f>Source!Y42</f>
        <v>38.479999999999997</v>
      </c>
      <c r="U82">
        <f>ROUND((175/100)*ROUND((ROUND((Source!AE42*Source!AV42*Source!I42),2)),2), 2)</f>
        <v>5.55</v>
      </c>
      <c r="V82">
        <f>ROUND((157/100)*ROUND(ROUND((ROUND((Source!AE42*Source!AV42*Source!I42),2)*Source!BS42),2), 2), 2)</f>
        <v>106.65</v>
      </c>
    </row>
    <row r="83" spans="1:22" x14ac:dyDescent="0.2">
      <c r="C83" s="18" t="str">
        <f>"Объем: "&amp;Source!I42&amp;"=30/"&amp;"100"</f>
        <v>Объем: 0,3=30/100</v>
      </c>
    </row>
    <row r="84" spans="1:22" ht="14.25" x14ac:dyDescent="0.2">
      <c r="A84" s="8"/>
      <c r="B84" s="9"/>
      <c r="C84" s="9" t="s">
        <v>206</v>
      </c>
      <c r="D84" s="10"/>
      <c r="E84" s="2"/>
      <c r="F84" s="12">
        <f>Source!AO42</f>
        <v>12.7</v>
      </c>
      <c r="G84" s="11" t="str">
        <f>Source!DG42</f>
        <v>)*1,15</v>
      </c>
      <c r="H84" s="2">
        <f>Source!AV42</f>
        <v>1</v>
      </c>
      <c r="I84" s="2">
        <f>IF(Source!BA42&lt;&gt; 0, Source!BA42, 1)</f>
        <v>21.43</v>
      </c>
      <c r="J84" s="13">
        <f>Source!S42</f>
        <v>93.86</v>
      </c>
      <c r="K84" s="13"/>
    </row>
    <row r="85" spans="1:22" ht="14.25" x14ac:dyDescent="0.2">
      <c r="A85" s="8"/>
      <c r="B85" s="9"/>
      <c r="C85" s="9" t="s">
        <v>207</v>
      </c>
      <c r="D85" s="10"/>
      <c r="E85" s="2"/>
      <c r="F85" s="12">
        <f>Source!AM42</f>
        <v>42.6</v>
      </c>
      <c r="G85" s="11" t="str">
        <f>Source!DE42</f>
        <v>)*1,15</v>
      </c>
      <c r="H85" s="2">
        <f>Source!AV42</f>
        <v>1</v>
      </c>
      <c r="I85" s="2">
        <f>IF(Source!BB42&lt;&gt; 0, Source!BB42, 1)</f>
        <v>8.81</v>
      </c>
      <c r="J85" s="13">
        <f>Source!Q42</f>
        <v>129.51</v>
      </c>
      <c r="K85" s="13"/>
    </row>
    <row r="86" spans="1:22" ht="14.25" x14ac:dyDescent="0.2">
      <c r="A86" s="8"/>
      <c r="B86" s="9"/>
      <c r="C86" s="9" t="s">
        <v>208</v>
      </c>
      <c r="D86" s="10"/>
      <c r="E86" s="2"/>
      <c r="F86" s="12">
        <f>Source!AN42</f>
        <v>9.1999999999999993</v>
      </c>
      <c r="G86" s="11" t="str">
        <f>Source!DF42</f>
        <v>)*1,15</v>
      </c>
      <c r="H86" s="2">
        <f>Source!AV42</f>
        <v>1</v>
      </c>
      <c r="I86" s="2">
        <f>IF(Source!BS42&lt;&gt; 0, Source!BS42, 1)</f>
        <v>21.43</v>
      </c>
      <c r="J86" s="14">
        <f>Source!R42</f>
        <v>67.930000000000007</v>
      </c>
      <c r="K86" s="13"/>
    </row>
    <row r="87" spans="1:22" ht="14.25" x14ac:dyDescent="0.2">
      <c r="A87" s="8"/>
      <c r="B87" s="9"/>
      <c r="C87" s="9" t="s">
        <v>209</v>
      </c>
      <c r="D87" s="10"/>
      <c r="E87" s="2"/>
      <c r="F87" s="12">
        <f>Source!AL42</f>
        <v>3.57</v>
      </c>
      <c r="G87" s="11" t="str">
        <f>Source!DD42</f>
        <v/>
      </c>
      <c r="H87" s="2">
        <f>Source!AW42</f>
        <v>1</v>
      </c>
      <c r="I87" s="2">
        <f>IF(Source!BC42&lt;&gt; 0, Source!BC42, 1)</f>
        <v>5.36</v>
      </c>
      <c r="J87" s="13">
        <f>Source!P42</f>
        <v>5.74</v>
      </c>
      <c r="K87" s="13"/>
    </row>
    <row r="88" spans="1:22" ht="14.25" x14ac:dyDescent="0.2">
      <c r="A88" s="8"/>
      <c r="B88" s="9"/>
      <c r="C88" s="9" t="s">
        <v>210</v>
      </c>
      <c r="D88" s="10" t="s">
        <v>211</v>
      </c>
      <c r="E88" s="2">
        <f>Source!BZ42</f>
        <v>77</v>
      </c>
      <c r="F88" s="12"/>
      <c r="G88" s="11"/>
      <c r="H88" s="2"/>
      <c r="I88" s="2"/>
      <c r="J88" s="13">
        <f>SUM(R82:R87)</f>
        <v>72.27</v>
      </c>
      <c r="K88" s="13"/>
    </row>
    <row r="89" spans="1:22" ht="14.25" x14ac:dyDescent="0.2">
      <c r="A89" s="8"/>
      <c r="B89" s="9"/>
      <c r="C89" s="9" t="s">
        <v>212</v>
      </c>
      <c r="D89" s="10" t="s">
        <v>211</v>
      </c>
      <c r="E89" s="2">
        <f>Source!CA42</f>
        <v>41</v>
      </c>
      <c r="F89" s="12"/>
      <c r="G89" s="11"/>
      <c r="H89" s="2"/>
      <c r="I89" s="2"/>
      <c r="J89" s="13">
        <f>SUM(T82:T88)</f>
        <v>38.479999999999997</v>
      </c>
      <c r="K89" s="13"/>
    </row>
    <row r="90" spans="1:22" ht="14.25" x14ac:dyDescent="0.2">
      <c r="A90" s="8"/>
      <c r="B90" s="9"/>
      <c r="C90" s="9" t="s">
        <v>213</v>
      </c>
      <c r="D90" s="10" t="s">
        <v>211</v>
      </c>
      <c r="E90" s="2">
        <f>157</f>
        <v>157</v>
      </c>
      <c r="F90" s="12"/>
      <c r="G90" s="11"/>
      <c r="H90" s="2"/>
      <c r="I90" s="2"/>
      <c r="J90" s="13">
        <f>SUM(V82:V89)</f>
        <v>106.65</v>
      </c>
      <c r="K90" s="13"/>
    </row>
    <row r="91" spans="1:22" ht="14.25" x14ac:dyDescent="0.2">
      <c r="A91" s="8"/>
      <c r="B91" s="9"/>
      <c r="C91" s="9" t="s">
        <v>214</v>
      </c>
      <c r="D91" s="10" t="s">
        <v>215</v>
      </c>
      <c r="E91" s="2">
        <f>Source!AQ42</f>
        <v>1.03</v>
      </c>
      <c r="F91" s="12"/>
      <c r="G91" s="11" t="str">
        <f>Source!DI42</f>
        <v>)*1,15</v>
      </c>
      <c r="H91" s="2">
        <f>Source!AV42</f>
        <v>1</v>
      </c>
      <c r="I91" s="2"/>
      <c r="J91" s="13"/>
      <c r="K91" s="13">
        <f>Source!U42</f>
        <v>0.35534999999999994</v>
      </c>
    </row>
    <row r="92" spans="1:22" ht="15" x14ac:dyDescent="0.25">
      <c r="A92" s="16"/>
      <c r="B92" s="16"/>
      <c r="C92" s="16"/>
      <c r="D92" s="16"/>
      <c r="E92" s="16"/>
      <c r="F92" s="16"/>
      <c r="G92" s="16"/>
      <c r="H92" s="16"/>
      <c r="I92" s="38">
        <f>J84+J85+J87+J88+J89+J90</f>
        <v>446.51</v>
      </c>
      <c r="J92" s="38"/>
      <c r="K92" s="17">
        <f>IF(Source!I42&lt;&gt;0, ROUND(I92/Source!I42, 2), 0)</f>
        <v>1488.37</v>
      </c>
      <c r="P92" s="15">
        <f>J84+J85+J87+J88+J89+J90</f>
        <v>446.51</v>
      </c>
    </row>
    <row r="93" spans="1:22" ht="85.5" x14ac:dyDescent="0.2">
      <c r="A93" s="8" t="str">
        <f>Source!E43</f>
        <v>11</v>
      </c>
      <c r="B93" s="9" t="s">
        <v>229</v>
      </c>
      <c r="C93" s="9" t="s">
        <v>82</v>
      </c>
      <c r="D93" s="10" t="str">
        <f>Source!H43</f>
        <v>100 м кабеля</v>
      </c>
      <c r="E93" s="2">
        <f>Source!I43</f>
        <v>0.3</v>
      </c>
      <c r="F93" s="12"/>
      <c r="G93" s="11"/>
      <c r="H93" s="2"/>
      <c r="I93" s="2"/>
      <c r="J93" s="13"/>
      <c r="K93" s="13"/>
      <c r="Q93">
        <f>ROUND((Source!DN43/100)*ROUND((ROUND((Source!AF43*Source!AV43*Source!I43),2)),2), 2)</f>
        <v>98.44</v>
      </c>
      <c r="R93">
        <f>Source!X43</f>
        <v>1424.87</v>
      </c>
      <c r="S93">
        <f>ROUND((Source!DO43/100)*ROUND((ROUND((Source!AF43*Source!AV43*Source!I43),2)),2), 2)</f>
        <v>57.85</v>
      </c>
      <c r="T93">
        <f>Source!Y43</f>
        <v>758.7</v>
      </c>
      <c r="U93">
        <f>ROUND((175/100)*ROUND((ROUND((Source!AE43*Source!AV43*Source!I43),2)),2), 2)</f>
        <v>24.47</v>
      </c>
      <c r="V93">
        <f>ROUND((157/100)*ROUND(ROUND((ROUND((Source!AE43*Source!AV43*Source!I43),2)*Source!BS43),2), 2), 2)</f>
        <v>470.36</v>
      </c>
    </row>
    <row r="94" spans="1:22" x14ac:dyDescent="0.2">
      <c r="C94" s="18" t="str">
        <f>"Объем: "&amp;Source!I43&amp;"=30/"&amp;"100"</f>
        <v>Объем: 0,3=30/100</v>
      </c>
    </row>
    <row r="95" spans="1:22" ht="14.25" x14ac:dyDescent="0.2">
      <c r="A95" s="8"/>
      <c r="B95" s="9"/>
      <c r="C95" s="9" t="s">
        <v>206</v>
      </c>
      <c r="D95" s="10"/>
      <c r="E95" s="2"/>
      <c r="F95" s="12">
        <f>Source!AO43</f>
        <v>250.3</v>
      </c>
      <c r="G95" s="11" t="str">
        <f>Source!DG43</f>
        <v>)*1,15</v>
      </c>
      <c r="H95" s="2">
        <f>Source!AV43</f>
        <v>1</v>
      </c>
      <c r="I95" s="2">
        <f>IF(Source!BA43&lt;&gt; 0, Source!BA43, 1)</f>
        <v>21.43</v>
      </c>
      <c r="J95" s="13">
        <f>Source!S43</f>
        <v>1850.48</v>
      </c>
      <c r="K95" s="13"/>
    </row>
    <row r="96" spans="1:22" ht="14.25" x14ac:dyDescent="0.2">
      <c r="A96" s="8"/>
      <c r="B96" s="9"/>
      <c r="C96" s="9" t="s">
        <v>207</v>
      </c>
      <c r="D96" s="10"/>
      <c r="E96" s="2"/>
      <c r="F96" s="12">
        <f>Source!AM43</f>
        <v>252.31</v>
      </c>
      <c r="G96" s="11" t="str">
        <f>Source!DE43</f>
        <v>)*1,15</v>
      </c>
      <c r="H96" s="2">
        <f>Source!AV43</f>
        <v>1</v>
      </c>
      <c r="I96" s="2">
        <f>IF(Source!BB43&lt;&gt; 0, Source!BB43, 1)</f>
        <v>7.92</v>
      </c>
      <c r="J96" s="13">
        <f>Source!Q43</f>
        <v>689.44</v>
      </c>
      <c r="K96" s="13"/>
    </row>
    <row r="97" spans="1:22" ht="14.25" x14ac:dyDescent="0.2">
      <c r="A97" s="8"/>
      <c r="B97" s="9"/>
      <c r="C97" s="9" t="s">
        <v>208</v>
      </c>
      <c r="D97" s="10"/>
      <c r="E97" s="2"/>
      <c r="F97" s="12">
        <f>Source!AN43</f>
        <v>40.520000000000003</v>
      </c>
      <c r="G97" s="11" t="str">
        <f>Source!DF43</f>
        <v>)*1,15</v>
      </c>
      <c r="H97" s="2">
        <f>Source!AV43</f>
        <v>1</v>
      </c>
      <c r="I97" s="2">
        <f>IF(Source!BS43&lt;&gt; 0, Source!BS43, 1)</f>
        <v>21.43</v>
      </c>
      <c r="J97" s="14">
        <f>Source!R43</f>
        <v>299.58999999999997</v>
      </c>
      <c r="K97" s="13"/>
    </row>
    <row r="98" spans="1:22" ht="14.25" x14ac:dyDescent="0.2">
      <c r="A98" s="8"/>
      <c r="B98" s="9"/>
      <c r="C98" s="9" t="s">
        <v>209</v>
      </c>
      <c r="D98" s="10"/>
      <c r="E98" s="2"/>
      <c r="F98" s="12">
        <f>Source!AL43</f>
        <v>31.36</v>
      </c>
      <c r="G98" s="11" t="str">
        <f>Source!DD43</f>
        <v/>
      </c>
      <c r="H98" s="2">
        <f>Source!AW43</f>
        <v>1</v>
      </c>
      <c r="I98" s="2">
        <f>IF(Source!BC43&lt;&gt; 0, Source!BC43, 1)</f>
        <v>5.36</v>
      </c>
      <c r="J98" s="13">
        <f>Source!P43</f>
        <v>50.44</v>
      </c>
      <c r="K98" s="13"/>
    </row>
    <row r="99" spans="1:22" ht="14.25" x14ac:dyDescent="0.2">
      <c r="A99" s="8"/>
      <c r="B99" s="9"/>
      <c r="C99" s="9" t="s">
        <v>210</v>
      </c>
      <c r="D99" s="10" t="s">
        <v>211</v>
      </c>
      <c r="E99" s="2">
        <f>Source!BZ43</f>
        <v>77</v>
      </c>
      <c r="F99" s="12"/>
      <c r="G99" s="11"/>
      <c r="H99" s="2"/>
      <c r="I99" s="2"/>
      <c r="J99" s="13">
        <f>SUM(R93:R98)</f>
        <v>1424.87</v>
      </c>
      <c r="K99" s="13"/>
    </row>
    <row r="100" spans="1:22" ht="14.25" x14ac:dyDescent="0.2">
      <c r="A100" s="8"/>
      <c r="B100" s="9"/>
      <c r="C100" s="9" t="s">
        <v>212</v>
      </c>
      <c r="D100" s="10" t="s">
        <v>211</v>
      </c>
      <c r="E100" s="2">
        <f>Source!CA43</f>
        <v>41</v>
      </c>
      <c r="F100" s="12"/>
      <c r="G100" s="11"/>
      <c r="H100" s="2"/>
      <c r="I100" s="2"/>
      <c r="J100" s="13">
        <f>SUM(T93:T99)</f>
        <v>758.7</v>
      </c>
      <c r="K100" s="13"/>
    </row>
    <row r="101" spans="1:22" ht="14.25" x14ac:dyDescent="0.2">
      <c r="A101" s="8"/>
      <c r="B101" s="9"/>
      <c r="C101" s="9" t="s">
        <v>213</v>
      </c>
      <c r="D101" s="10" t="s">
        <v>211</v>
      </c>
      <c r="E101" s="2">
        <f>157</f>
        <v>157</v>
      </c>
      <c r="F101" s="12"/>
      <c r="G101" s="11"/>
      <c r="H101" s="2"/>
      <c r="I101" s="2"/>
      <c r="J101" s="13">
        <f>SUM(V93:V100)</f>
        <v>470.36</v>
      </c>
      <c r="K101" s="13"/>
    </row>
    <row r="102" spans="1:22" ht="14.25" x14ac:dyDescent="0.2">
      <c r="A102" s="8"/>
      <c r="B102" s="9"/>
      <c r="C102" s="9" t="s">
        <v>214</v>
      </c>
      <c r="D102" s="10" t="s">
        <v>215</v>
      </c>
      <c r="E102" s="2">
        <f>Source!AQ43</f>
        <v>20.3</v>
      </c>
      <c r="F102" s="12"/>
      <c r="G102" s="11" t="str">
        <f>Source!DI43</f>
        <v>)*1,15</v>
      </c>
      <c r="H102" s="2">
        <f>Source!AV43</f>
        <v>1</v>
      </c>
      <c r="I102" s="2"/>
      <c r="J102" s="13"/>
      <c r="K102" s="13">
        <f>Source!U43</f>
        <v>7.0034999999999998</v>
      </c>
    </row>
    <row r="103" spans="1:22" ht="15" x14ac:dyDescent="0.25">
      <c r="A103" s="16"/>
      <c r="B103" s="16"/>
      <c r="C103" s="16"/>
      <c r="D103" s="16"/>
      <c r="E103" s="16"/>
      <c r="F103" s="16"/>
      <c r="G103" s="16"/>
      <c r="H103" s="16"/>
      <c r="I103" s="38">
        <f>J95+J96+J98+J99+J100+J101</f>
        <v>5244.29</v>
      </c>
      <c r="J103" s="38"/>
      <c r="K103" s="17">
        <f>IF(Source!I43&lt;&gt;0, ROUND(I103/Source!I43, 2), 0)</f>
        <v>17480.97</v>
      </c>
      <c r="P103" s="15">
        <f>J95+J96+J98+J99+J100+J101</f>
        <v>5244.29</v>
      </c>
    </row>
    <row r="105" spans="1:22" ht="15" x14ac:dyDescent="0.25">
      <c r="A105" s="35" t="str">
        <f>CONCATENATE("Итого по разделу: ",IF(Source!G45&lt;&gt;"Новый раздел", Source!G45, ""))</f>
        <v>Итого по разделу: Монтажные работы</v>
      </c>
      <c r="B105" s="35"/>
      <c r="C105" s="35"/>
      <c r="D105" s="35"/>
      <c r="E105" s="35"/>
      <c r="F105" s="35"/>
      <c r="G105" s="35"/>
      <c r="H105" s="35"/>
      <c r="I105" s="33">
        <f>SUM(P22:P104)</f>
        <v>104445.12999999998</v>
      </c>
      <c r="J105" s="34"/>
      <c r="K105" s="19"/>
    </row>
    <row r="106" spans="1:22" hidden="1" x14ac:dyDescent="0.2">
      <c r="A106" t="s">
        <v>216</v>
      </c>
      <c r="I106">
        <f>SUM(AD22:AD105)</f>
        <v>0</v>
      </c>
    </row>
    <row r="107" spans="1:22" hidden="1" x14ac:dyDescent="0.2">
      <c r="A107" t="s">
        <v>217</v>
      </c>
      <c r="I107">
        <f>SUM(AF22:AF106)</f>
        <v>0</v>
      </c>
    </row>
    <row r="109" spans="1:22" ht="16.5" x14ac:dyDescent="0.25">
      <c r="A109" s="39" t="str">
        <f>CONCATENATE("Раздел: ",IF(Source!G74&lt;&gt;"Новый раздел", Source!G74, ""))</f>
        <v>Раздел: Установка и настройка программного обеспечения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</row>
    <row r="110" spans="1:22" ht="79.5" x14ac:dyDescent="0.2">
      <c r="A110" s="8" t="str">
        <f>Source!E78</f>
        <v>12</v>
      </c>
      <c r="B110" s="9" t="s">
        <v>230</v>
      </c>
      <c r="C110" s="9" t="s">
        <v>140</v>
      </c>
      <c r="D110" s="10" t="str">
        <f>Source!H78</f>
        <v>1 рабочая секция</v>
      </c>
      <c r="E110" s="2">
        <f>Source!I78</f>
        <v>1</v>
      </c>
      <c r="F110" s="12"/>
      <c r="G110" s="11"/>
      <c r="H110" s="2"/>
      <c r="I110" s="2"/>
      <c r="J110" s="13"/>
      <c r="K110" s="13"/>
      <c r="Q110">
        <f>ROUND((Source!DN78/100)*ROUND((ROUND((Source!AF78*Source!AV78*Source!I78),2)),2), 2)</f>
        <v>3706.92</v>
      </c>
      <c r="R110">
        <f>Source!X78</f>
        <v>53656.3</v>
      </c>
      <c r="S110">
        <f>ROUND((Source!DO78/100)*ROUND((ROUND((Source!AF78*Source!AV78*Source!I78),2)),2), 2)</f>
        <v>2178.63</v>
      </c>
      <c r="T110">
        <f>Source!Y78</f>
        <v>28570.240000000002</v>
      </c>
      <c r="U110">
        <f>ROUND((175/100)*ROUND((ROUND((Source!AE78*Source!AV78*Source!I78),2)),2), 2)</f>
        <v>0</v>
      </c>
      <c r="V110">
        <f>ROUND((157/100)*ROUND(ROUND((ROUND((Source!AE78*Source!AV78*Source!I78),2)*Source!BS78),2), 2), 2)</f>
        <v>0</v>
      </c>
    </row>
    <row r="111" spans="1:22" ht="14.25" x14ac:dyDescent="0.2">
      <c r="A111" s="8"/>
      <c r="B111" s="9"/>
      <c r="C111" s="9" t="s">
        <v>206</v>
      </c>
      <c r="D111" s="10"/>
      <c r="E111" s="2"/>
      <c r="F111" s="12">
        <f>Source!AO78</f>
        <v>2827.55</v>
      </c>
      <c r="G111" s="11" t="str">
        <f>Source!DG78</f>
        <v>)*1,15</v>
      </c>
      <c r="H111" s="2">
        <f>Source!AV78</f>
        <v>1</v>
      </c>
      <c r="I111" s="2">
        <f>IF(Source!BA78&lt;&gt; 0, Source!BA78, 1)</f>
        <v>21.43</v>
      </c>
      <c r="J111" s="13">
        <f>Source!S78</f>
        <v>69683.5</v>
      </c>
      <c r="K111" s="13"/>
    </row>
    <row r="112" spans="1:22" ht="14.25" x14ac:dyDescent="0.2">
      <c r="A112" s="8"/>
      <c r="B112" s="9"/>
      <c r="C112" s="9" t="s">
        <v>210</v>
      </c>
      <c r="D112" s="10" t="s">
        <v>211</v>
      </c>
      <c r="E112" s="2">
        <f>Source!BZ78</f>
        <v>77</v>
      </c>
      <c r="F112" s="12"/>
      <c r="G112" s="11"/>
      <c r="H112" s="2"/>
      <c r="I112" s="2"/>
      <c r="J112" s="13">
        <f>SUM(R110:R111)</f>
        <v>53656.3</v>
      </c>
      <c r="K112" s="13"/>
    </row>
    <row r="113" spans="1:22" ht="14.25" x14ac:dyDescent="0.2">
      <c r="A113" s="8"/>
      <c r="B113" s="9"/>
      <c r="C113" s="9" t="s">
        <v>212</v>
      </c>
      <c r="D113" s="10" t="s">
        <v>211</v>
      </c>
      <c r="E113" s="2">
        <f>Source!CA78</f>
        <v>41</v>
      </c>
      <c r="F113" s="12"/>
      <c r="G113" s="11"/>
      <c r="H113" s="2"/>
      <c r="I113" s="2"/>
      <c r="J113" s="13">
        <f>SUM(T110:T112)</f>
        <v>28570.240000000002</v>
      </c>
      <c r="K113" s="13"/>
    </row>
    <row r="114" spans="1:22" ht="14.25" x14ac:dyDescent="0.2">
      <c r="A114" s="8"/>
      <c r="B114" s="9"/>
      <c r="C114" s="9" t="s">
        <v>214</v>
      </c>
      <c r="D114" s="10" t="s">
        <v>215</v>
      </c>
      <c r="E114" s="2">
        <f>Source!AQ78</f>
        <v>145.6</v>
      </c>
      <c r="F114" s="12"/>
      <c r="G114" s="11" t="str">
        <f>Source!DI78</f>
        <v>)*1,15</v>
      </c>
      <c r="H114" s="2">
        <f>Source!AV78</f>
        <v>1</v>
      </c>
      <c r="I114" s="2"/>
      <c r="J114" s="13"/>
      <c r="K114" s="13">
        <f>Source!U78</f>
        <v>167.43999999999997</v>
      </c>
    </row>
    <row r="115" spans="1:22" ht="15" x14ac:dyDescent="0.25">
      <c r="A115" s="16"/>
      <c r="B115" s="16"/>
      <c r="C115" s="16"/>
      <c r="D115" s="16"/>
      <c r="E115" s="16"/>
      <c r="F115" s="16"/>
      <c r="G115" s="16"/>
      <c r="H115" s="16"/>
      <c r="I115" s="38">
        <f>J111+J112+J113</f>
        <v>151910.04</v>
      </c>
      <c r="J115" s="38"/>
      <c r="K115" s="17">
        <f>IF(Source!I78&lt;&gt;0, ROUND(I115/Source!I78, 2), 0)</f>
        <v>151910.04</v>
      </c>
      <c r="P115" s="15">
        <f>J111+J112+J113</f>
        <v>151910.04</v>
      </c>
    </row>
    <row r="116" spans="1:22" ht="54" x14ac:dyDescent="0.2">
      <c r="A116" s="20" t="str">
        <f>Source!E79</f>
        <v>13</v>
      </c>
      <c r="B116" s="21" t="str">
        <f>Source!F79</f>
        <v>прайс</v>
      </c>
      <c r="C116" s="21" t="s">
        <v>231</v>
      </c>
      <c r="D116" s="22" t="str">
        <f>Source!H79</f>
        <v>ШТ</v>
      </c>
      <c r="E116" s="23">
        <f>Source!I79</f>
        <v>3</v>
      </c>
      <c r="F116" s="24">
        <f>Source!AL79</f>
        <v>17277.12</v>
      </c>
      <c r="G116" s="25" t="str">
        <f>Source!DD79</f>
        <v/>
      </c>
      <c r="H116" s="23">
        <f>Source!AW79</f>
        <v>1</v>
      </c>
      <c r="I116" s="23">
        <f>IF(Source!BC79&lt;&gt; 0, Source!BC79, 1)</f>
        <v>1</v>
      </c>
      <c r="J116" s="26">
        <f>Source!P79</f>
        <v>51831.360000000001</v>
      </c>
      <c r="K116" s="26"/>
      <c r="Q116">
        <f>ROUND((Source!DN79/100)*ROUND((ROUND((Source!AF79*Source!AV79*Source!I79),2)),2), 2)</f>
        <v>0</v>
      </c>
      <c r="R116">
        <f>Source!X79</f>
        <v>0</v>
      </c>
      <c r="S116">
        <f>ROUND((Source!DO79/100)*ROUND((ROUND((Source!AF79*Source!AV79*Source!I79),2)),2), 2)</f>
        <v>0</v>
      </c>
      <c r="T116">
        <f>Source!Y79</f>
        <v>0</v>
      </c>
      <c r="U116">
        <f>ROUND((175/100)*ROUND((ROUND((Source!AE79*Source!AV79*Source!I79),2)),2), 2)</f>
        <v>0</v>
      </c>
      <c r="V116">
        <f>ROUND((157/100)*ROUND(ROUND((ROUND((Source!AE79*Source!AV79*Source!I79),2)*Source!BS79),2), 2), 2)</f>
        <v>0</v>
      </c>
    </row>
    <row r="117" spans="1:22" ht="15" x14ac:dyDescent="0.25">
      <c r="A117" s="27"/>
      <c r="B117" s="27"/>
      <c r="C117" s="27"/>
      <c r="D117" s="27"/>
      <c r="E117" s="27"/>
      <c r="F117" s="27"/>
      <c r="G117" s="27"/>
      <c r="H117" s="27"/>
      <c r="I117" s="40">
        <f>J116</f>
        <v>51831.360000000001</v>
      </c>
      <c r="J117" s="40"/>
      <c r="K117" s="28">
        <f>IF(Source!I79&lt;&gt;0, ROUND(I117/Source!I79, 2), 0)</f>
        <v>17277.12</v>
      </c>
      <c r="P117" s="15">
        <f>J116</f>
        <v>51831.360000000001</v>
      </c>
    </row>
    <row r="118" spans="1:22" ht="68.25" x14ac:dyDescent="0.2">
      <c r="A118" s="20" t="str">
        <f>Source!E80</f>
        <v>14</v>
      </c>
      <c r="B118" s="21" t="str">
        <f>Source!F80</f>
        <v>прайс</v>
      </c>
      <c r="C118" s="21" t="s">
        <v>232</v>
      </c>
      <c r="D118" s="22" t="str">
        <f>Source!H80</f>
        <v>ШТ</v>
      </c>
      <c r="E118" s="23">
        <f>Source!I80</f>
        <v>1</v>
      </c>
      <c r="F118" s="24">
        <f>Source!AL80</f>
        <v>4065.2</v>
      </c>
      <c r="G118" s="25" t="str">
        <f>Source!DD80</f>
        <v/>
      </c>
      <c r="H118" s="23">
        <f>Source!AW80</f>
        <v>1</v>
      </c>
      <c r="I118" s="23">
        <f>IF(Source!BC80&lt;&gt; 0, Source!BC80, 1)</f>
        <v>1</v>
      </c>
      <c r="J118" s="26">
        <f>Source!P80</f>
        <v>4065.2</v>
      </c>
      <c r="K118" s="26"/>
      <c r="Q118">
        <f>ROUND((Source!DN80/100)*ROUND((ROUND((Source!AF80*Source!AV80*Source!I80),2)),2), 2)</f>
        <v>0</v>
      </c>
      <c r="R118">
        <f>Source!X80</f>
        <v>0</v>
      </c>
      <c r="S118">
        <f>ROUND((Source!DO80/100)*ROUND((ROUND((Source!AF80*Source!AV80*Source!I80),2)),2), 2)</f>
        <v>0</v>
      </c>
      <c r="T118">
        <f>Source!Y80</f>
        <v>0</v>
      </c>
      <c r="U118">
        <f>ROUND((175/100)*ROUND((ROUND((Source!AE80*Source!AV80*Source!I80),2)),2), 2)</f>
        <v>0</v>
      </c>
      <c r="V118">
        <f>ROUND((157/100)*ROUND(ROUND((ROUND((Source!AE80*Source!AV80*Source!I80),2)*Source!BS80),2), 2), 2)</f>
        <v>0</v>
      </c>
    </row>
    <row r="119" spans="1:22" ht="15" x14ac:dyDescent="0.25">
      <c r="A119" s="27"/>
      <c r="B119" s="27"/>
      <c r="C119" s="27"/>
      <c r="D119" s="27"/>
      <c r="E119" s="27"/>
      <c r="F119" s="27"/>
      <c r="G119" s="27"/>
      <c r="H119" s="27"/>
      <c r="I119" s="40">
        <f>J118</f>
        <v>4065.2</v>
      </c>
      <c r="J119" s="40"/>
      <c r="K119" s="28">
        <f>IF(Source!I80&lt;&gt;0, ROUND(I119/Source!I80, 2), 0)</f>
        <v>4065.2</v>
      </c>
      <c r="P119" s="15">
        <f>J118</f>
        <v>4065.2</v>
      </c>
    </row>
    <row r="120" spans="1:22" ht="103.5" x14ac:dyDescent="0.2">
      <c r="A120" s="8" t="str">
        <f>Source!E81</f>
        <v>15</v>
      </c>
      <c r="B120" s="9" t="s">
        <v>233</v>
      </c>
      <c r="C120" s="9" t="s">
        <v>153</v>
      </c>
      <c r="D120" s="10" t="str">
        <f>Source!H81</f>
        <v>1  ШТ.</v>
      </c>
      <c r="E120" s="2">
        <f>Source!I81</f>
        <v>5</v>
      </c>
      <c r="F120" s="12"/>
      <c r="G120" s="11"/>
      <c r="H120" s="2"/>
      <c r="I120" s="2"/>
      <c r="J120" s="13"/>
      <c r="K120" s="13"/>
      <c r="Q120">
        <f>ROUND((Source!DN81/100)*ROUND((ROUND((Source!AF81*Source!AV81*Source!I81),2)),2), 2)</f>
        <v>86.06</v>
      </c>
      <c r="R120">
        <f>Source!X81</f>
        <v>1672.18</v>
      </c>
      <c r="S120">
        <f>ROUND((Source!DO81/100)*ROUND((ROUND((Source!AF81*Source!AV81*Source!I81),2)),2), 2)</f>
        <v>80.33</v>
      </c>
      <c r="T120">
        <f>Source!Y81</f>
        <v>1008.23</v>
      </c>
      <c r="U120">
        <f>ROUND((175/100)*ROUND((ROUND((Source!AE81*Source!AV81*Source!I81),2)),2), 2)</f>
        <v>0</v>
      </c>
      <c r="V120">
        <f>ROUND((157/100)*ROUND(ROUND((ROUND((Source!AE81*Source!AV81*Source!I81),2)*Source!BS81),2), 2), 2)</f>
        <v>0</v>
      </c>
    </row>
    <row r="121" spans="1:22" ht="14.25" x14ac:dyDescent="0.2">
      <c r="A121" s="8"/>
      <c r="B121" s="9"/>
      <c r="C121" s="9" t="s">
        <v>206</v>
      </c>
      <c r="D121" s="10"/>
      <c r="E121" s="2"/>
      <c r="F121" s="12">
        <f>Source!AO81</f>
        <v>21.25</v>
      </c>
      <c r="G121" s="11" t="str">
        <f>Source!DG81</f>
        <v>)*0,8)*1,35</v>
      </c>
      <c r="H121" s="2">
        <f>Source!AV81</f>
        <v>1</v>
      </c>
      <c r="I121" s="2">
        <f>IF(Source!BA81&lt;&gt; 0, Source!BA81, 1)</f>
        <v>21.43</v>
      </c>
      <c r="J121" s="13">
        <f>Source!S81</f>
        <v>2459.09</v>
      </c>
      <c r="K121" s="13"/>
    </row>
    <row r="122" spans="1:22" ht="14.25" x14ac:dyDescent="0.2">
      <c r="A122" s="8"/>
      <c r="B122" s="9"/>
      <c r="C122" s="9" t="s">
        <v>210</v>
      </c>
      <c r="D122" s="10" t="s">
        <v>211</v>
      </c>
      <c r="E122" s="2">
        <f>Source!BZ81</f>
        <v>68</v>
      </c>
      <c r="F122" s="12"/>
      <c r="G122" s="11"/>
      <c r="H122" s="2"/>
      <c r="I122" s="2"/>
      <c r="J122" s="13">
        <f>SUM(R120:R121)</f>
        <v>1672.18</v>
      </c>
      <c r="K122" s="13"/>
    </row>
    <row r="123" spans="1:22" ht="14.25" x14ac:dyDescent="0.2">
      <c r="A123" s="8"/>
      <c r="B123" s="9"/>
      <c r="C123" s="9" t="s">
        <v>212</v>
      </c>
      <c r="D123" s="10" t="s">
        <v>211</v>
      </c>
      <c r="E123" s="2">
        <f>Source!CA81</f>
        <v>41</v>
      </c>
      <c r="F123" s="12"/>
      <c r="G123" s="11"/>
      <c r="H123" s="2"/>
      <c r="I123" s="2"/>
      <c r="J123" s="13">
        <f>SUM(T120:T122)</f>
        <v>1008.23</v>
      </c>
      <c r="K123" s="13"/>
    </row>
    <row r="124" spans="1:22" ht="14.25" x14ac:dyDescent="0.2">
      <c r="A124" s="8"/>
      <c r="B124" s="9"/>
      <c r="C124" s="9" t="s">
        <v>214</v>
      </c>
      <c r="D124" s="10" t="s">
        <v>215</v>
      </c>
      <c r="E124" s="2">
        <f>Source!AQ81</f>
        <v>1.4</v>
      </c>
      <c r="F124" s="12"/>
      <c r="G124" s="11" t="str">
        <f>Source!DI81</f>
        <v>)*0,8)*1,35</v>
      </c>
      <c r="H124" s="2">
        <f>Source!AV81</f>
        <v>1</v>
      </c>
      <c r="I124" s="2"/>
      <c r="J124" s="13"/>
      <c r="K124" s="13">
        <f>Source!U81</f>
        <v>7.5600000000000005</v>
      </c>
    </row>
    <row r="125" spans="1:22" ht="15" x14ac:dyDescent="0.25">
      <c r="A125" s="16"/>
      <c r="B125" s="16"/>
      <c r="C125" s="16"/>
      <c r="D125" s="16"/>
      <c r="E125" s="16"/>
      <c r="F125" s="16"/>
      <c r="G125" s="16"/>
      <c r="H125" s="16"/>
      <c r="I125" s="38">
        <f>J121+J122+J123</f>
        <v>5139.5</v>
      </c>
      <c r="J125" s="38"/>
      <c r="K125" s="17">
        <f>IF(Source!I81&lt;&gt;0, ROUND(I125/Source!I81, 2), 0)</f>
        <v>1027.9000000000001</v>
      </c>
      <c r="P125" s="15">
        <f>J121+J122+J123</f>
        <v>5139.5</v>
      </c>
    </row>
    <row r="126" spans="1:22" ht="65.25" x14ac:dyDescent="0.2">
      <c r="A126" s="8" t="str">
        <f>Source!E82</f>
        <v>16</v>
      </c>
      <c r="B126" s="9" t="s">
        <v>234</v>
      </c>
      <c r="C126" s="9" t="s">
        <v>162</v>
      </c>
      <c r="D126" s="10" t="str">
        <f>Source!H82</f>
        <v>комплекс</v>
      </c>
      <c r="E126" s="2">
        <f>Source!I82</f>
        <v>1</v>
      </c>
      <c r="F126" s="12"/>
      <c r="G126" s="11"/>
      <c r="H126" s="2"/>
      <c r="I126" s="2"/>
      <c r="J126" s="13"/>
      <c r="K126" s="13"/>
      <c r="Q126">
        <f>ROUND((Source!DN82/100)*ROUND((ROUND((Source!AF82*Source!AV82*Source!I82),2)),2), 2)</f>
        <v>1100.21</v>
      </c>
      <c r="R126">
        <f>Source!X82</f>
        <v>21376.83</v>
      </c>
      <c r="S126">
        <f>ROUND((Source!DO82/100)*ROUND((ROUND((Source!AF82*Source!AV82*Source!I82),2)),2), 2)</f>
        <v>1026.8599999999999</v>
      </c>
      <c r="T126">
        <f>Source!Y82</f>
        <v>12888.97</v>
      </c>
      <c r="U126">
        <f>ROUND((175/100)*ROUND((ROUND((Source!AE82*Source!AV82*Source!I82),2)),2), 2)</f>
        <v>0</v>
      </c>
      <c r="V126">
        <f>ROUND((157/100)*ROUND(ROUND((ROUND((Source!AE82*Source!AV82*Source!I82),2)*Source!BS82),2), 2), 2)</f>
        <v>0</v>
      </c>
    </row>
    <row r="127" spans="1:22" ht="14.25" x14ac:dyDescent="0.2">
      <c r="A127" s="8"/>
      <c r="B127" s="9"/>
      <c r="C127" s="9" t="s">
        <v>206</v>
      </c>
      <c r="D127" s="10"/>
      <c r="E127" s="2"/>
      <c r="F127" s="12">
        <f>Source!AO82</f>
        <v>1086.6199999999999</v>
      </c>
      <c r="G127" s="11" t="str">
        <f>Source!DG82</f>
        <v>)*1,35</v>
      </c>
      <c r="H127" s="2">
        <f>Source!AV82</f>
        <v>1</v>
      </c>
      <c r="I127" s="2">
        <f>IF(Source!BA82&lt;&gt; 0, Source!BA82, 1)</f>
        <v>21.43</v>
      </c>
      <c r="J127" s="13">
        <f>Source!S82</f>
        <v>31436.52</v>
      </c>
      <c r="K127" s="13"/>
    </row>
    <row r="128" spans="1:22" ht="14.25" x14ac:dyDescent="0.2">
      <c r="A128" s="8"/>
      <c r="B128" s="9"/>
      <c r="C128" s="9" t="s">
        <v>210</v>
      </c>
      <c r="D128" s="10" t="s">
        <v>211</v>
      </c>
      <c r="E128" s="2">
        <f>Source!BZ82</f>
        <v>68</v>
      </c>
      <c r="F128" s="12"/>
      <c r="G128" s="11"/>
      <c r="H128" s="2"/>
      <c r="I128" s="2"/>
      <c r="J128" s="13">
        <f>SUM(R126:R127)</f>
        <v>21376.83</v>
      </c>
      <c r="K128" s="13"/>
    </row>
    <row r="129" spans="1:16" ht="14.25" x14ac:dyDescent="0.2">
      <c r="A129" s="8"/>
      <c r="B129" s="9"/>
      <c r="C129" s="9" t="s">
        <v>212</v>
      </c>
      <c r="D129" s="10" t="s">
        <v>211</v>
      </c>
      <c r="E129" s="2">
        <f>Source!CA82</f>
        <v>41</v>
      </c>
      <c r="F129" s="12"/>
      <c r="G129" s="11"/>
      <c r="H129" s="2"/>
      <c r="I129" s="2"/>
      <c r="J129" s="13">
        <f>SUM(T126:T128)</f>
        <v>12888.97</v>
      </c>
      <c r="K129" s="13"/>
    </row>
    <row r="130" spans="1:16" ht="14.25" x14ac:dyDescent="0.2">
      <c r="A130" s="8"/>
      <c r="B130" s="9"/>
      <c r="C130" s="9" t="s">
        <v>214</v>
      </c>
      <c r="D130" s="10" t="s">
        <v>215</v>
      </c>
      <c r="E130" s="2">
        <f>Source!AQ82</f>
        <v>56</v>
      </c>
      <c r="F130" s="12"/>
      <c r="G130" s="11" t="str">
        <f>Source!DI82</f>
        <v>)*1,35</v>
      </c>
      <c r="H130" s="2">
        <f>Source!AV82</f>
        <v>1</v>
      </c>
      <c r="I130" s="2"/>
      <c r="J130" s="13"/>
      <c r="K130" s="13">
        <f>Source!U82</f>
        <v>75.600000000000009</v>
      </c>
    </row>
    <row r="131" spans="1:16" ht="15" x14ac:dyDescent="0.25">
      <c r="A131" s="16"/>
      <c r="B131" s="16"/>
      <c r="C131" s="16"/>
      <c r="D131" s="16"/>
      <c r="E131" s="16"/>
      <c r="F131" s="16"/>
      <c r="G131" s="16"/>
      <c r="H131" s="16"/>
      <c r="I131" s="38">
        <f>J127+J128+J129</f>
        <v>65702.320000000007</v>
      </c>
      <c r="J131" s="38"/>
      <c r="K131" s="17">
        <f>IF(Source!I82&lt;&gt;0, ROUND(I131/Source!I82, 2), 0)</f>
        <v>65702.320000000007</v>
      </c>
      <c r="P131" s="15">
        <f>J127+J128+J129</f>
        <v>65702.320000000007</v>
      </c>
    </row>
    <row r="133" spans="1:16" ht="15" x14ac:dyDescent="0.25">
      <c r="A133" s="35" t="str">
        <f>CONCATENATE("Итого по разделу: ",IF(Source!G84&lt;&gt;"Новый раздел", Source!G84, ""))</f>
        <v>Итого по разделу: Установка и настройка программного обеспечения</v>
      </c>
      <c r="B133" s="35"/>
      <c r="C133" s="35"/>
      <c r="D133" s="35"/>
      <c r="E133" s="35"/>
      <c r="F133" s="35"/>
      <c r="G133" s="35"/>
      <c r="H133" s="35"/>
      <c r="I133" s="33">
        <f>SUM(P109:P132)</f>
        <v>278648.42000000004</v>
      </c>
      <c r="J133" s="34"/>
      <c r="K133" s="19"/>
    </row>
    <row r="134" spans="1:16" hidden="1" x14ac:dyDescent="0.2">
      <c r="A134" t="s">
        <v>216</v>
      </c>
      <c r="I134">
        <f>SUM(AD109:AD133)</f>
        <v>0</v>
      </c>
    </row>
    <row r="135" spans="1:16" hidden="1" x14ac:dyDescent="0.2">
      <c r="A135" t="s">
        <v>217</v>
      </c>
      <c r="I135">
        <f>SUM(AF109:AF134)</f>
        <v>0</v>
      </c>
    </row>
    <row r="137" spans="1:16" ht="15" x14ac:dyDescent="0.25">
      <c r="A137" s="35" t="str">
        <f>CONCATENATE("Итого по смете: ",IF(Source!G142&lt;&gt;"Новый объект", Source!G142, ""))</f>
        <v>Итого по смете: Установка система мониторинга температуры и влажности в ЦОД</v>
      </c>
      <c r="B137" s="35"/>
      <c r="C137" s="35"/>
      <c r="D137" s="35"/>
      <c r="E137" s="35"/>
      <c r="F137" s="35"/>
      <c r="G137" s="35"/>
      <c r="H137" s="35"/>
      <c r="I137" s="33">
        <f>SUM(P1:P136)</f>
        <v>383093.55</v>
      </c>
      <c r="J137" s="34"/>
      <c r="K137" s="19"/>
    </row>
    <row r="138" spans="1:16" hidden="1" x14ac:dyDescent="0.2">
      <c r="A138" t="s">
        <v>216</v>
      </c>
      <c r="I138">
        <f>SUM(AD1:AD137)</f>
        <v>0</v>
      </c>
    </row>
    <row r="139" spans="1:16" hidden="1" x14ac:dyDescent="0.2">
      <c r="A139" t="s">
        <v>217</v>
      </c>
      <c r="I139">
        <f>SUM(AF1:AF138)</f>
        <v>0</v>
      </c>
    </row>
    <row r="140" spans="1:16" ht="14.25" x14ac:dyDescent="0.2">
      <c r="C140" s="36" t="str">
        <f>Source!H170</f>
        <v>НДС-20%</v>
      </c>
      <c r="D140" s="36"/>
      <c r="E140" s="36"/>
      <c r="F140" s="36"/>
      <c r="G140" s="36"/>
      <c r="H140" s="36"/>
      <c r="I140" s="37">
        <f>IF(Source!F170=0, "", Source!F170)</f>
        <v>76618.710000000006</v>
      </c>
      <c r="J140" s="37"/>
    </row>
    <row r="141" spans="1:16" ht="14.25" x14ac:dyDescent="0.2">
      <c r="C141" s="36" t="str">
        <f>Source!H171</f>
        <v>Всего по смете с НДС</v>
      </c>
      <c r="D141" s="36"/>
      <c r="E141" s="36"/>
      <c r="F141" s="36"/>
      <c r="G141" s="36"/>
      <c r="H141" s="36"/>
      <c r="I141" s="37">
        <f>IF(Source!F171=0, "", Source!F171)</f>
        <v>459712.26</v>
      </c>
      <c r="J141" s="37"/>
    </row>
    <row r="143" spans="1:16" x14ac:dyDescent="0.2">
      <c r="A143" s="29"/>
      <c r="B143" s="29"/>
      <c r="C143" s="29"/>
      <c r="D143" s="29"/>
      <c r="E143" s="29"/>
      <c r="F143" s="29"/>
      <c r="G143" s="29"/>
    </row>
    <row r="144" spans="1:16" ht="14.25" x14ac:dyDescent="0.2">
      <c r="A144" s="31"/>
      <c r="B144" s="31"/>
      <c r="C144" s="30"/>
      <c r="D144" s="30"/>
      <c r="E144" s="30"/>
      <c r="F144" s="30"/>
      <c r="G144" s="30"/>
      <c r="H144" s="1" t="str">
        <f>IF(Source!AB12&lt;&gt;"", Source!AB12," ")</f>
        <v xml:space="preserve"> </v>
      </c>
      <c r="I144" s="1"/>
      <c r="J144" s="1"/>
      <c r="K144" s="1"/>
    </row>
    <row r="145" spans="1:11" ht="14.25" x14ac:dyDescent="0.2">
      <c r="A145" s="30"/>
      <c r="B145" s="30"/>
      <c r="C145" s="32"/>
      <c r="D145" s="32"/>
      <c r="E145" s="32"/>
      <c r="F145" s="32"/>
      <c r="G145" s="32"/>
      <c r="H145" s="1"/>
      <c r="I145" s="1"/>
      <c r="J145" s="1"/>
      <c r="K145" s="1"/>
    </row>
    <row r="146" spans="1:11" ht="14.25" x14ac:dyDescent="0.2">
      <c r="A146" s="30"/>
      <c r="B146" s="30"/>
      <c r="C146" s="30"/>
      <c r="D146" s="30"/>
      <c r="E146" s="30"/>
      <c r="F146" s="30"/>
      <c r="G146" s="30"/>
      <c r="H146" s="1"/>
      <c r="I146" s="1"/>
      <c r="J146" s="1"/>
      <c r="K146" s="1"/>
    </row>
    <row r="147" spans="1:11" ht="14.25" x14ac:dyDescent="0.2">
      <c r="A147" s="31"/>
      <c r="B147" s="31"/>
      <c r="C147" s="30"/>
      <c r="D147" s="30"/>
      <c r="E147" s="30"/>
      <c r="F147" s="30"/>
      <c r="G147" s="30"/>
      <c r="H147" s="1" t="str">
        <f>IF(Source!AD12&lt;&gt;"", Source!AD12," ")</f>
        <v xml:space="preserve"> </v>
      </c>
      <c r="I147" s="1"/>
      <c r="J147" s="1"/>
      <c r="K147" s="1"/>
    </row>
    <row r="148" spans="1:11" ht="14.25" x14ac:dyDescent="0.2">
      <c r="A148" s="30"/>
      <c r="B148" s="30"/>
      <c r="C148" s="32"/>
      <c r="D148" s="32"/>
      <c r="E148" s="32"/>
      <c r="F148" s="32"/>
      <c r="G148" s="32"/>
      <c r="H148" s="1"/>
      <c r="I148" s="1"/>
      <c r="J148" s="1"/>
      <c r="K148" s="1"/>
    </row>
  </sheetData>
  <mergeCells count="62">
    <mergeCell ref="A1:K1"/>
    <mergeCell ref="A3:K3"/>
    <mergeCell ref="A4:K4"/>
    <mergeCell ref="A6:K6"/>
    <mergeCell ref="F8:H8"/>
    <mergeCell ref="I8:J8"/>
    <mergeCell ref="F9:H9"/>
    <mergeCell ref="I9:J9"/>
    <mergeCell ref="F10:H10"/>
    <mergeCell ref="I10:J10"/>
    <mergeCell ref="F11:H11"/>
    <mergeCell ref="I11:J11"/>
    <mergeCell ref="F12:H12"/>
    <mergeCell ref="I12:J12"/>
    <mergeCell ref="F13:H13"/>
    <mergeCell ref="I13:J13"/>
    <mergeCell ref="F15:H15"/>
    <mergeCell ref="A16:K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A22:K22"/>
    <mergeCell ref="I32:J32"/>
    <mergeCell ref="I34:J34"/>
    <mergeCell ref="B36:J36"/>
    <mergeCell ref="I46:J46"/>
    <mergeCell ref="B48:J48"/>
    <mergeCell ref="I58:J58"/>
    <mergeCell ref="I60:J60"/>
    <mergeCell ref="I67:J67"/>
    <mergeCell ref="I69:J69"/>
    <mergeCell ref="I79:J79"/>
    <mergeCell ref="I81:J81"/>
    <mergeCell ref="I92:J92"/>
    <mergeCell ref="I103:J103"/>
    <mergeCell ref="I105:J105"/>
    <mergeCell ref="I125:J125"/>
    <mergeCell ref="I131:J131"/>
    <mergeCell ref="I133:J133"/>
    <mergeCell ref="A133:H133"/>
    <mergeCell ref="A105:H105"/>
    <mergeCell ref="A109:K109"/>
    <mergeCell ref="I115:J115"/>
    <mergeCell ref="I117:J117"/>
    <mergeCell ref="I119:J119"/>
    <mergeCell ref="A144:B144"/>
    <mergeCell ref="C145:G145"/>
    <mergeCell ref="A147:B147"/>
    <mergeCell ref="C148:G148"/>
    <mergeCell ref="I137:J137"/>
    <mergeCell ref="A137:H137"/>
    <mergeCell ref="C140:H140"/>
    <mergeCell ref="I140:J140"/>
    <mergeCell ref="C141:H141"/>
    <mergeCell ref="I141:J141"/>
  </mergeCells>
  <pageMargins left="0.39370078740157483" right="0.19685039370078741" top="0.39370078740157483" bottom="0.39370078740157483" header="0.19685039370078741" footer="0.19685039370078741"/>
  <pageSetup paperSize="9" scale="64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181"/>
  <sheetViews>
    <sheetView workbookViewId="0">
      <selection activeCell="L1" sqref="L1"/>
    </sheetView>
  </sheetViews>
  <sheetFormatPr defaultRowHeight="12.75" x14ac:dyDescent="0.2"/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K1">
        <v>0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>
        <v>1</v>
      </c>
      <c r="B12">
        <v>176</v>
      </c>
      <c r="C12">
        <v>0</v>
      </c>
      <c r="D12">
        <f>ROW(A142)</f>
        <v>142</v>
      </c>
      <c r="E12">
        <v>0</v>
      </c>
      <c r="F12" t="s">
        <v>3</v>
      </c>
      <c r="G12" t="s">
        <v>4</v>
      </c>
      <c r="H12" t="s">
        <v>5</v>
      </c>
      <c r="I12">
        <v>0</v>
      </c>
      <c r="J12" t="s">
        <v>5</v>
      </c>
      <c r="K12">
        <v>0</v>
      </c>
      <c r="O12">
        <v>0</v>
      </c>
      <c r="P12">
        <v>0</v>
      </c>
      <c r="Q12">
        <v>0</v>
      </c>
      <c r="R12">
        <v>157</v>
      </c>
      <c r="U12" t="s">
        <v>5</v>
      </c>
      <c r="V12">
        <v>0</v>
      </c>
      <c r="W12" t="s">
        <v>5</v>
      </c>
      <c r="X12" t="s">
        <v>5</v>
      </c>
      <c r="Y12" t="s">
        <v>5</v>
      </c>
      <c r="Z12" t="s">
        <v>5</v>
      </c>
      <c r="AA12" t="s">
        <v>5</v>
      </c>
      <c r="AB12" t="s">
        <v>5</v>
      </c>
      <c r="AC12" t="s">
        <v>5</v>
      </c>
      <c r="AD12" t="s">
        <v>5</v>
      </c>
      <c r="AE12" t="s">
        <v>5</v>
      </c>
      <c r="AF12" t="s">
        <v>5</v>
      </c>
      <c r="AG12" t="s">
        <v>5</v>
      </c>
      <c r="AH12" t="s">
        <v>5</v>
      </c>
      <c r="AI12" t="s">
        <v>5</v>
      </c>
      <c r="AJ12" t="s">
        <v>5</v>
      </c>
      <c r="AL12" t="s">
        <v>5</v>
      </c>
      <c r="AM12" t="s">
        <v>5</v>
      </c>
      <c r="AN12" t="s">
        <v>5</v>
      </c>
      <c r="AP12" t="s">
        <v>5</v>
      </c>
      <c r="AQ12" t="s">
        <v>5</v>
      </c>
      <c r="AR12" t="s">
        <v>5</v>
      </c>
      <c r="AX12" t="s">
        <v>5</v>
      </c>
      <c r="AY12" t="s">
        <v>5</v>
      </c>
      <c r="AZ12" t="s">
        <v>5</v>
      </c>
      <c r="BH12" t="s">
        <v>6</v>
      </c>
      <c r="BI12" t="s">
        <v>7</v>
      </c>
      <c r="BJ12">
        <v>1</v>
      </c>
      <c r="BK12">
        <v>1</v>
      </c>
      <c r="BL12">
        <v>0</v>
      </c>
      <c r="BM12">
        <v>0</v>
      </c>
      <c r="BN12">
        <v>1</v>
      </c>
      <c r="BO12">
        <v>0</v>
      </c>
      <c r="BP12">
        <v>6</v>
      </c>
      <c r="BQ12">
        <v>2</v>
      </c>
      <c r="BR12">
        <v>1</v>
      </c>
      <c r="BS12">
        <v>1</v>
      </c>
      <c r="BT12">
        <v>0</v>
      </c>
      <c r="BU12">
        <v>0</v>
      </c>
      <c r="BV12">
        <v>0</v>
      </c>
      <c r="BW12">
        <v>0</v>
      </c>
      <c r="BX12">
        <v>0</v>
      </c>
      <c r="BY12" t="s">
        <v>8</v>
      </c>
      <c r="BZ12" t="s">
        <v>9</v>
      </c>
      <c r="CA12" t="s">
        <v>10</v>
      </c>
      <c r="CB12" t="s">
        <v>10</v>
      </c>
      <c r="CC12" t="s">
        <v>10</v>
      </c>
      <c r="CD12" t="s">
        <v>10</v>
      </c>
      <c r="CE12" t="s">
        <v>11</v>
      </c>
      <c r="CF12">
        <v>0</v>
      </c>
      <c r="CG12">
        <v>0</v>
      </c>
      <c r="CH12">
        <v>18874376</v>
      </c>
      <c r="CI12" t="s">
        <v>5</v>
      </c>
      <c r="CJ12" t="s">
        <v>5</v>
      </c>
      <c r="CK12">
        <v>50</v>
      </c>
      <c r="EC12">
        <v>0</v>
      </c>
    </row>
    <row r="15" spans="1:133" x14ac:dyDescent="0.2">
      <c r="A15">
        <v>15</v>
      </c>
      <c r="B15">
        <v>1</v>
      </c>
    </row>
    <row r="18" spans="1:245" x14ac:dyDescent="0.2">
      <c r="A18">
        <v>52</v>
      </c>
      <c r="B18">
        <f t="shared" ref="B18:G18" si="0">B142</f>
        <v>176</v>
      </c>
      <c r="C18">
        <f t="shared" si="0"/>
        <v>1</v>
      </c>
      <c r="D18">
        <f t="shared" si="0"/>
        <v>12</v>
      </c>
      <c r="E18">
        <f t="shared" si="0"/>
        <v>0</v>
      </c>
      <c r="F18" t="str">
        <f t="shared" si="0"/>
        <v>Новый объект</v>
      </c>
      <c r="G18" t="str">
        <f t="shared" si="0"/>
        <v>Установка система мониторинга температуры и влажности в ЦОД</v>
      </c>
      <c r="O18">
        <f t="shared" ref="O18:AT18" si="1">O142</f>
        <v>253479.77</v>
      </c>
      <c r="P18">
        <f t="shared" si="1"/>
        <v>140211.89000000001</v>
      </c>
      <c r="Q18">
        <f t="shared" si="1"/>
        <v>1994.33</v>
      </c>
      <c r="R18">
        <f t="shared" si="1"/>
        <v>867.26</v>
      </c>
      <c r="S18">
        <f t="shared" si="1"/>
        <v>111273.55</v>
      </c>
      <c r="T18">
        <f t="shared" si="1"/>
        <v>0</v>
      </c>
      <c r="U18">
        <f t="shared" si="1"/>
        <v>278.79684999999995</v>
      </c>
      <c r="V18">
        <f t="shared" si="1"/>
        <v>0</v>
      </c>
      <c r="W18">
        <f t="shared" si="1"/>
        <v>0</v>
      </c>
      <c r="X18">
        <f t="shared" si="1"/>
        <v>82630.02</v>
      </c>
      <c r="Y18">
        <f t="shared" si="1"/>
        <v>45622.16</v>
      </c>
      <c r="Z18">
        <f t="shared" si="1"/>
        <v>0</v>
      </c>
      <c r="AA18">
        <f t="shared" si="1"/>
        <v>0</v>
      </c>
      <c r="AB18">
        <f t="shared" si="1"/>
        <v>0</v>
      </c>
      <c r="AC18">
        <f t="shared" si="1"/>
        <v>0</v>
      </c>
      <c r="AD18">
        <f t="shared" si="1"/>
        <v>0</v>
      </c>
      <c r="AE18">
        <f t="shared" si="1"/>
        <v>0</v>
      </c>
      <c r="AF18">
        <f t="shared" si="1"/>
        <v>0</v>
      </c>
      <c r="AG18">
        <f t="shared" si="1"/>
        <v>0</v>
      </c>
      <c r="AH18">
        <f t="shared" si="1"/>
        <v>0</v>
      </c>
      <c r="AI18">
        <f t="shared" si="1"/>
        <v>0</v>
      </c>
      <c r="AJ18">
        <f t="shared" si="1"/>
        <v>0</v>
      </c>
      <c r="AK18">
        <f t="shared" si="1"/>
        <v>0</v>
      </c>
      <c r="AL18">
        <f t="shared" si="1"/>
        <v>0</v>
      </c>
      <c r="AM18">
        <f t="shared" si="1"/>
        <v>0</v>
      </c>
      <c r="AN18">
        <f t="shared" si="1"/>
        <v>0</v>
      </c>
      <c r="AO18">
        <f t="shared" si="1"/>
        <v>0</v>
      </c>
      <c r="AP18">
        <f t="shared" si="1"/>
        <v>138271.07999999999</v>
      </c>
      <c r="AQ18">
        <f t="shared" si="1"/>
        <v>0</v>
      </c>
      <c r="AR18">
        <f t="shared" si="1"/>
        <v>383093.55</v>
      </c>
      <c r="AS18">
        <f t="shared" si="1"/>
        <v>0</v>
      </c>
      <c r="AT18">
        <f t="shared" si="1"/>
        <v>173980.65</v>
      </c>
      <c r="AU18">
        <f t="shared" ref="AU18:BZ18" si="2">AU142</f>
        <v>70841.820000000007</v>
      </c>
      <c r="AV18">
        <f t="shared" si="2"/>
        <v>140211.89000000001</v>
      </c>
      <c r="AW18">
        <f t="shared" si="2"/>
        <v>1940.81</v>
      </c>
      <c r="AX18">
        <f t="shared" si="2"/>
        <v>0</v>
      </c>
      <c r="AY18">
        <f t="shared" si="2"/>
        <v>1940.81</v>
      </c>
      <c r="AZ18">
        <f t="shared" si="2"/>
        <v>138271.07999999999</v>
      </c>
      <c r="BA18">
        <f t="shared" si="2"/>
        <v>0</v>
      </c>
      <c r="BB18">
        <f t="shared" si="2"/>
        <v>0</v>
      </c>
      <c r="BC18">
        <f t="shared" si="2"/>
        <v>0</v>
      </c>
      <c r="BD18">
        <f t="shared" si="2"/>
        <v>0</v>
      </c>
      <c r="BE18">
        <f t="shared" si="2"/>
        <v>0</v>
      </c>
      <c r="BF18">
        <f t="shared" si="2"/>
        <v>0</v>
      </c>
      <c r="BG18">
        <f t="shared" si="2"/>
        <v>0</v>
      </c>
      <c r="BH18">
        <f t="shared" si="2"/>
        <v>0</v>
      </c>
      <c r="BI18">
        <f t="shared" si="2"/>
        <v>0</v>
      </c>
      <c r="BJ18">
        <f t="shared" si="2"/>
        <v>0</v>
      </c>
      <c r="BK18">
        <f t="shared" si="2"/>
        <v>0</v>
      </c>
      <c r="BL18">
        <f t="shared" si="2"/>
        <v>0</v>
      </c>
      <c r="BM18">
        <f t="shared" si="2"/>
        <v>0</v>
      </c>
      <c r="BN18">
        <f t="shared" si="2"/>
        <v>0</v>
      </c>
      <c r="BO18">
        <f t="shared" si="2"/>
        <v>0</v>
      </c>
      <c r="BP18">
        <f t="shared" si="2"/>
        <v>0</v>
      </c>
      <c r="BQ18">
        <f t="shared" si="2"/>
        <v>0</v>
      </c>
      <c r="BR18">
        <f t="shared" si="2"/>
        <v>0</v>
      </c>
      <c r="BS18">
        <f t="shared" si="2"/>
        <v>0</v>
      </c>
      <c r="BT18">
        <f t="shared" si="2"/>
        <v>0</v>
      </c>
      <c r="BU18">
        <f t="shared" si="2"/>
        <v>0</v>
      </c>
      <c r="BV18">
        <f t="shared" si="2"/>
        <v>0</v>
      </c>
      <c r="BW18">
        <f t="shared" si="2"/>
        <v>0</v>
      </c>
      <c r="BX18">
        <f t="shared" si="2"/>
        <v>0</v>
      </c>
      <c r="BY18">
        <f t="shared" si="2"/>
        <v>0</v>
      </c>
      <c r="BZ18">
        <f t="shared" si="2"/>
        <v>0</v>
      </c>
      <c r="CA18">
        <f t="shared" ref="CA18:DF18" si="3">CA142</f>
        <v>0</v>
      </c>
      <c r="CB18">
        <f t="shared" si="3"/>
        <v>0</v>
      </c>
      <c r="CC18">
        <f t="shared" si="3"/>
        <v>0</v>
      </c>
      <c r="CD18">
        <f t="shared" si="3"/>
        <v>0</v>
      </c>
      <c r="CE18">
        <f t="shared" si="3"/>
        <v>0</v>
      </c>
      <c r="CF18">
        <f t="shared" si="3"/>
        <v>0</v>
      </c>
      <c r="CG18">
        <f t="shared" si="3"/>
        <v>0</v>
      </c>
      <c r="CH18">
        <f t="shared" si="3"/>
        <v>0</v>
      </c>
      <c r="CI18">
        <f t="shared" si="3"/>
        <v>0</v>
      </c>
      <c r="CJ18">
        <f t="shared" si="3"/>
        <v>0</v>
      </c>
      <c r="CK18">
        <f t="shared" si="3"/>
        <v>0</v>
      </c>
      <c r="CL18">
        <f t="shared" si="3"/>
        <v>0</v>
      </c>
      <c r="CM18">
        <f t="shared" si="3"/>
        <v>0</v>
      </c>
      <c r="CN18">
        <f t="shared" si="3"/>
        <v>0</v>
      </c>
      <c r="CO18">
        <f t="shared" si="3"/>
        <v>0</v>
      </c>
      <c r="CP18">
        <f t="shared" si="3"/>
        <v>0</v>
      </c>
      <c r="CQ18">
        <f t="shared" si="3"/>
        <v>0</v>
      </c>
      <c r="CR18">
        <f t="shared" si="3"/>
        <v>0</v>
      </c>
      <c r="CS18">
        <f t="shared" si="3"/>
        <v>0</v>
      </c>
      <c r="CT18">
        <f t="shared" si="3"/>
        <v>0</v>
      </c>
      <c r="CU18">
        <f t="shared" si="3"/>
        <v>0</v>
      </c>
      <c r="CV18">
        <f t="shared" si="3"/>
        <v>0</v>
      </c>
      <c r="CW18">
        <f t="shared" si="3"/>
        <v>0</v>
      </c>
      <c r="CX18">
        <f t="shared" si="3"/>
        <v>0</v>
      </c>
      <c r="CY18">
        <f t="shared" si="3"/>
        <v>0</v>
      </c>
      <c r="CZ18">
        <f t="shared" si="3"/>
        <v>0</v>
      </c>
      <c r="DA18">
        <f t="shared" si="3"/>
        <v>0</v>
      </c>
      <c r="DB18">
        <f t="shared" si="3"/>
        <v>0</v>
      </c>
      <c r="DC18">
        <f t="shared" si="3"/>
        <v>0</v>
      </c>
      <c r="DD18">
        <f t="shared" si="3"/>
        <v>0</v>
      </c>
      <c r="DE18">
        <f t="shared" si="3"/>
        <v>0</v>
      </c>
      <c r="DF18">
        <f t="shared" si="3"/>
        <v>0</v>
      </c>
      <c r="DG18">
        <f t="shared" ref="DG18:EL18" si="4">DG142</f>
        <v>0</v>
      </c>
      <c r="DH18">
        <f t="shared" si="4"/>
        <v>0</v>
      </c>
      <c r="DI18">
        <f t="shared" si="4"/>
        <v>0</v>
      </c>
      <c r="DJ18">
        <f t="shared" si="4"/>
        <v>0</v>
      </c>
      <c r="DK18">
        <f t="shared" si="4"/>
        <v>0</v>
      </c>
      <c r="DL18">
        <f t="shared" si="4"/>
        <v>0</v>
      </c>
      <c r="DM18">
        <f t="shared" si="4"/>
        <v>0</v>
      </c>
      <c r="DN18">
        <f t="shared" si="4"/>
        <v>0</v>
      </c>
      <c r="DO18">
        <f t="shared" si="4"/>
        <v>0</v>
      </c>
      <c r="DP18">
        <f t="shared" si="4"/>
        <v>0</v>
      </c>
      <c r="DQ18">
        <f t="shared" si="4"/>
        <v>0</v>
      </c>
      <c r="DR18">
        <f t="shared" si="4"/>
        <v>0</v>
      </c>
      <c r="DS18">
        <f t="shared" si="4"/>
        <v>0</v>
      </c>
      <c r="DT18">
        <f t="shared" si="4"/>
        <v>0</v>
      </c>
      <c r="DU18">
        <f t="shared" si="4"/>
        <v>0</v>
      </c>
      <c r="DV18">
        <f t="shared" si="4"/>
        <v>0</v>
      </c>
      <c r="DW18">
        <f t="shared" si="4"/>
        <v>0</v>
      </c>
      <c r="DX18">
        <f t="shared" si="4"/>
        <v>0</v>
      </c>
      <c r="DY18">
        <f t="shared" si="4"/>
        <v>0</v>
      </c>
      <c r="DZ18">
        <f t="shared" si="4"/>
        <v>0</v>
      </c>
      <c r="EA18">
        <f t="shared" si="4"/>
        <v>0</v>
      </c>
      <c r="EB18">
        <f t="shared" si="4"/>
        <v>0</v>
      </c>
      <c r="EC18">
        <f t="shared" si="4"/>
        <v>0</v>
      </c>
      <c r="ED18">
        <f t="shared" si="4"/>
        <v>0</v>
      </c>
      <c r="EE18">
        <f t="shared" si="4"/>
        <v>0</v>
      </c>
      <c r="EF18">
        <f t="shared" si="4"/>
        <v>0</v>
      </c>
      <c r="EG18">
        <f t="shared" si="4"/>
        <v>0</v>
      </c>
      <c r="EH18">
        <f t="shared" si="4"/>
        <v>0</v>
      </c>
      <c r="EI18">
        <f t="shared" si="4"/>
        <v>0</v>
      </c>
      <c r="EJ18">
        <f t="shared" si="4"/>
        <v>0</v>
      </c>
      <c r="EK18">
        <f t="shared" si="4"/>
        <v>0</v>
      </c>
      <c r="EL18">
        <f t="shared" si="4"/>
        <v>0</v>
      </c>
      <c r="EM18">
        <f t="shared" ref="EM18:FR18" si="5">EM142</f>
        <v>0</v>
      </c>
      <c r="EN18">
        <f t="shared" si="5"/>
        <v>0</v>
      </c>
      <c r="EO18">
        <f t="shared" si="5"/>
        <v>0</v>
      </c>
      <c r="EP18">
        <f t="shared" si="5"/>
        <v>0</v>
      </c>
      <c r="EQ18">
        <f t="shared" si="5"/>
        <v>0</v>
      </c>
      <c r="ER18">
        <f t="shared" si="5"/>
        <v>0</v>
      </c>
      <c r="ES18">
        <f t="shared" si="5"/>
        <v>0</v>
      </c>
      <c r="ET18">
        <f t="shared" si="5"/>
        <v>0</v>
      </c>
      <c r="EU18">
        <f t="shared" si="5"/>
        <v>0</v>
      </c>
      <c r="EV18">
        <f t="shared" si="5"/>
        <v>0</v>
      </c>
      <c r="EW18">
        <f t="shared" si="5"/>
        <v>0</v>
      </c>
      <c r="EX18">
        <f t="shared" si="5"/>
        <v>0</v>
      </c>
      <c r="EY18">
        <f t="shared" si="5"/>
        <v>0</v>
      </c>
      <c r="EZ18">
        <f t="shared" si="5"/>
        <v>0</v>
      </c>
      <c r="FA18">
        <f t="shared" si="5"/>
        <v>0</v>
      </c>
      <c r="FB18">
        <f t="shared" si="5"/>
        <v>0</v>
      </c>
      <c r="FC18">
        <f t="shared" si="5"/>
        <v>0</v>
      </c>
      <c r="FD18">
        <f t="shared" si="5"/>
        <v>0</v>
      </c>
      <c r="FE18">
        <f t="shared" si="5"/>
        <v>0</v>
      </c>
      <c r="FF18">
        <f t="shared" si="5"/>
        <v>0</v>
      </c>
      <c r="FG18">
        <f t="shared" si="5"/>
        <v>0</v>
      </c>
      <c r="FH18">
        <f t="shared" si="5"/>
        <v>0</v>
      </c>
      <c r="FI18">
        <f t="shared" si="5"/>
        <v>0</v>
      </c>
      <c r="FJ18">
        <f t="shared" si="5"/>
        <v>0</v>
      </c>
      <c r="FK18">
        <f t="shared" si="5"/>
        <v>0</v>
      </c>
      <c r="FL18">
        <f t="shared" si="5"/>
        <v>0</v>
      </c>
      <c r="FM18">
        <f t="shared" si="5"/>
        <v>0</v>
      </c>
      <c r="FN18">
        <f t="shared" si="5"/>
        <v>0</v>
      </c>
      <c r="FO18">
        <f t="shared" si="5"/>
        <v>0</v>
      </c>
      <c r="FP18">
        <f t="shared" si="5"/>
        <v>0</v>
      </c>
      <c r="FQ18">
        <f t="shared" si="5"/>
        <v>0</v>
      </c>
      <c r="FR18">
        <f t="shared" si="5"/>
        <v>0</v>
      </c>
      <c r="FS18">
        <f t="shared" ref="FS18:GX18" si="6">FS142</f>
        <v>0</v>
      </c>
      <c r="FT18">
        <f t="shared" si="6"/>
        <v>0</v>
      </c>
      <c r="FU18">
        <f t="shared" si="6"/>
        <v>0</v>
      </c>
      <c r="FV18">
        <f t="shared" si="6"/>
        <v>0</v>
      </c>
      <c r="FW18">
        <f t="shared" si="6"/>
        <v>0</v>
      </c>
      <c r="FX18">
        <f t="shared" si="6"/>
        <v>0</v>
      </c>
      <c r="FY18">
        <f t="shared" si="6"/>
        <v>0</v>
      </c>
      <c r="FZ18">
        <f t="shared" si="6"/>
        <v>0</v>
      </c>
      <c r="GA18">
        <f t="shared" si="6"/>
        <v>0</v>
      </c>
      <c r="GB18">
        <f t="shared" si="6"/>
        <v>0</v>
      </c>
      <c r="GC18">
        <f t="shared" si="6"/>
        <v>0</v>
      </c>
      <c r="GD18">
        <f t="shared" si="6"/>
        <v>0</v>
      </c>
      <c r="GE18">
        <f t="shared" si="6"/>
        <v>0</v>
      </c>
      <c r="GF18">
        <f t="shared" si="6"/>
        <v>0</v>
      </c>
      <c r="GG18">
        <f t="shared" si="6"/>
        <v>0</v>
      </c>
      <c r="GH18">
        <f t="shared" si="6"/>
        <v>0</v>
      </c>
      <c r="GI18">
        <f t="shared" si="6"/>
        <v>0</v>
      </c>
      <c r="GJ18">
        <f t="shared" si="6"/>
        <v>0</v>
      </c>
      <c r="GK18">
        <f t="shared" si="6"/>
        <v>0</v>
      </c>
      <c r="GL18">
        <f t="shared" si="6"/>
        <v>0</v>
      </c>
      <c r="GM18">
        <f t="shared" si="6"/>
        <v>0</v>
      </c>
      <c r="GN18">
        <f t="shared" si="6"/>
        <v>0</v>
      </c>
      <c r="GO18">
        <f t="shared" si="6"/>
        <v>0</v>
      </c>
      <c r="GP18">
        <f t="shared" si="6"/>
        <v>0</v>
      </c>
      <c r="GQ18">
        <f t="shared" si="6"/>
        <v>0</v>
      </c>
      <c r="GR18">
        <f t="shared" si="6"/>
        <v>0</v>
      </c>
      <c r="GS18">
        <f t="shared" si="6"/>
        <v>0</v>
      </c>
      <c r="GT18">
        <f t="shared" si="6"/>
        <v>0</v>
      </c>
      <c r="GU18">
        <f t="shared" si="6"/>
        <v>0</v>
      </c>
      <c r="GV18">
        <f t="shared" si="6"/>
        <v>0</v>
      </c>
      <c r="GW18">
        <f t="shared" si="6"/>
        <v>0</v>
      </c>
      <c r="GX18">
        <f t="shared" si="6"/>
        <v>0</v>
      </c>
    </row>
    <row r="20" spans="1:245" x14ac:dyDescent="0.2">
      <c r="A20">
        <v>3</v>
      </c>
      <c r="B20">
        <v>1</v>
      </c>
      <c r="D20">
        <f>ROW(A113)</f>
        <v>113</v>
      </c>
      <c r="F20" t="s">
        <v>12</v>
      </c>
      <c r="G20" t="s">
        <v>12</v>
      </c>
      <c r="H20" t="s">
        <v>5</v>
      </c>
      <c r="I20">
        <v>0</v>
      </c>
      <c r="J20" t="s">
        <v>5</v>
      </c>
      <c r="K20">
        <v>0</v>
      </c>
      <c r="L20" t="s">
        <v>5</v>
      </c>
      <c r="U20" t="s">
        <v>5</v>
      </c>
      <c r="V20">
        <v>0</v>
      </c>
      <c r="AB20" t="s">
        <v>5</v>
      </c>
      <c r="AC20" t="s">
        <v>5</v>
      </c>
      <c r="AD20" t="s">
        <v>5</v>
      </c>
      <c r="AE20" t="s">
        <v>5</v>
      </c>
      <c r="AF20" t="s">
        <v>5</v>
      </c>
      <c r="AG20" t="s">
        <v>5</v>
      </c>
      <c r="AP20" t="s">
        <v>5</v>
      </c>
      <c r="AQ20" t="s">
        <v>5</v>
      </c>
      <c r="AR20" t="s">
        <v>5</v>
      </c>
      <c r="AZ20" t="s">
        <v>5</v>
      </c>
      <c r="BB20" t="s">
        <v>5</v>
      </c>
      <c r="BC20" t="s">
        <v>5</v>
      </c>
      <c r="BD20" t="s">
        <v>5</v>
      </c>
      <c r="BE20" t="s">
        <v>5</v>
      </c>
      <c r="BF20" t="s">
        <v>5</v>
      </c>
      <c r="BG20" t="s">
        <v>5</v>
      </c>
      <c r="BH20" t="s">
        <v>5</v>
      </c>
      <c r="BI20" t="s">
        <v>5</v>
      </c>
      <c r="BJ20" t="s">
        <v>5</v>
      </c>
      <c r="BK20" t="s">
        <v>5</v>
      </c>
      <c r="BL20" t="s">
        <v>5</v>
      </c>
      <c r="BM20" t="s">
        <v>5</v>
      </c>
      <c r="BN20" t="s">
        <v>5</v>
      </c>
      <c r="BO20" t="s">
        <v>5</v>
      </c>
      <c r="BP20" t="s">
        <v>5</v>
      </c>
      <c r="BX20">
        <v>0</v>
      </c>
      <c r="CF20">
        <v>0</v>
      </c>
      <c r="CG20">
        <v>0</v>
      </c>
      <c r="CI20" t="s">
        <v>5</v>
      </c>
      <c r="CJ20" t="s">
        <v>5</v>
      </c>
    </row>
    <row r="22" spans="1:245" x14ac:dyDescent="0.2">
      <c r="A22">
        <v>52</v>
      </c>
      <c r="B22">
        <f t="shared" ref="B22:G22" si="7">B113</f>
        <v>1</v>
      </c>
      <c r="C22">
        <f t="shared" si="7"/>
        <v>3</v>
      </c>
      <c r="D22">
        <f t="shared" si="7"/>
        <v>20</v>
      </c>
      <c r="E22">
        <f t="shared" si="7"/>
        <v>0</v>
      </c>
      <c r="F22" t="str">
        <f t="shared" si="7"/>
        <v>Новая локальная смета</v>
      </c>
      <c r="G22" t="str">
        <f t="shared" si="7"/>
        <v>Новая локальная смета</v>
      </c>
      <c r="O22">
        <f t="shared" ref="O22:AT22" si="8">O113</f>
        <v>253479.77</v>
      </c>
      <c r="P22">
        <f t="shared" si="8"/>
        <v>140211.89000000001</v>
      </c>
      <c r="Q22">
        <f t="shared" si="8"/>
        <v>1994.33</v>
      </c>
      <c r="R22">
        <f t="shared" si="8"/>
        <v>867.26</v>
      </c>
      <c r="S22">
        <f t="shared" si="8"/>
        <v>111273.55</v>
      </c>
      <c r="T22">
        <f t="shared" si="8"/>
        <v>0</v>
      </c>
      <c r="U22">
        <f t="shared" si="8"/>
        <v>278.79684999999995</v>
      </c>
      <c r="V22">
        <f t="shared" si="8"/>
        <v>0</v>
      </c>
      <c r="W22">
        <f t="shared" si="8"/>
        <v>0</v>
      </c>
      <c r="X22">
        <f t="shared" si="8"/>
        <v>82630.02</v>
      </c>
      <c r="Y22">
        <f t="shared" si="8"/>
        <v>45622.16</v>
      </c>
      <c r="Z22">
        <f t="shared" si="8"/>
        <v>0</v>
      </c>
      <c r="AA22">
        <f t="shared" si="8"/>
        <v>0</v>
      </c>
      <c r="AB22">
        <f t="shared" si="8"/>
        <v>0</v>
      </c>
      <c r="AC22">
        <f t="shared" si="8"/>
        <v>0</v>
      </c>
      <c r="AD22">
        <f t="shared" si="8"/>
        <v>0</v>
      </c>
      <c r="AE22">
        <f t="shared" si="8"/>
        <v>0</v>
      </c>
      <c r="AF22">
        <f t="shared" si="8"/>
        <v>0</v>
      </c>
      <c r="AG22">
        <f t="shared" si="8"/>
        <v>0</v>
      </c>
      <c r="AH22">
        <f t="shared" si="8"/>
        <v>0</v>
      </c>
      <c r="AI22">
        <f t="shared" si="8"/>
        <v>0</v>
      </c>
      <c r="AJ22">
        <f t="shared" si="8"/>
        <v>0</v>
      </c>
      <c r="AK22">
        <f t="shared" si="8"/>
        <v>0</v>
      </c>
      <c r="AL22">
        <f t="shared" si="8"/>
        <v>0</v>
      </c>
      <c r="AM22">
        <f t="shared" si="8"/>
        <v>0</v>
      </c>
      <c r="AN22">
        <f t="shared" si="8"/>
        <v>0</v>
      </c>
      <c r="AO22">
        <f t="shared" si="8"/>
        <v>0</v>
      </c>
      <c r="AP22">
        <f t="shared" si="8"/>
        <v>138271.07999999999</v>
      </c>
      <c r="AQ22">
        <f t="shared" si="8"/>
        <v>0</v>
      </c>
      <c r="AR22">
        <f t="shared" si="8"/>
        <v>383093.55</v>
      </c>
      <c r="AS22">
        <f t="shared" si="8"/>
        <v>0</v>
      </c>
      <c r="AT22">
        <f t="shared" si="8"/>
        <v>173980.65</v>
      </c>
      <c r="AU22">
        <f t="shared" ref="AU22:BZ22" si="9">AU113</f>
        <v>70841.820000000007</v>
      </c>
      <c r="AV22">
        <f t="shared" si="9"/>
        <v>140211.89000000001</v>
      </c>
      <c r="AW22">
        <f t="shared" si="9"/>
        <v>1940.81</v>
      </c>
      <c r="AX22">
        <f t="shared" si="9"/>
        <v>0</v>
      </c>
      <c r="AY22">
        <f t="shared" si="9"/>
        <v>1940.81</v>
      </c>
      <c r="AZ22">
        <f t="shared" si="9"/>
        <v>138271.07999999999</v>
      </c>
      <c r="BA22">
        <f t="shared" si="9"/>
        <v>0</v>
      </c>
      <c r="BB22">
        <f t="shared" si="9"/>
        <v>0</v>
      </c>
      <c r="BC22">
        <f t="shared" si="9"/>
        <v>0</v>
      </c>
      <c r="BD22">
        <f t="shared" si="9"/>
        <v>0</v>
      </c>
      <c r="BE22">
        <f t="shared" si="9"/>
        <v>0</v>
      </c>
      <c r="BF22">
        <f t="shared" si="9"/>
        <v>0</v>
      </c>
      <c r="BG22">
        <f t="shared" si="9"/>
        <v>0</v>
      </c>
      <c r="BH22">
        <f t="shared" si="9"/>
        <v>0</v>
      </c>
      <c r="BI22">
        <f t="shared" si="9"/>
        <v>0</v>
      </c>
      <c r="BJ22">
        <f t="shared" si="9"/>
        <v>0</v>
      </c>
      <c r="BK22">
        <f t="shared" si="9"/>
        <v>0</v>
      </c>
      <c r="BL22">
        <f t="shared" si="9"/>
        <v>0</v>
      </c>
      <c r="BM22">
        <f t="shared" si="9"/>
        <v>0</v>
      </c>
      <c r="BN22">
        <f t="shared" si="9"/>
        <v>0</v>
      </c>
      <c r="BO22">
        <f t="shared" si="9"/>
        <v>0</v>
      </c>
      <c r="BP22">
        <f t="shared" si="9"/>
        <v>0</v>
      </c>
      <c r="BQ22">
        <f t="shared" si="9"/>
        <v>0</v>
      </c>
      <c r="BR22">
        <f t="shared" si="9"/>
        <v>0</v>
      </c>
      <c r="BS22">
        <f t="shared" si="9"/>
        <v>0</v>
      </c>
      <c r="BT22">
        <f t="shared" si="9"/>
        <v>0</v>
      </c>
      <c r="BU22">
        <f t="shared" si="9"/>
        <v>0</v>
      </c>
      <c r="BV22">
        <f t="shared" si="9"/>
        <v>0</v>
      </c>
      <c r="BW22">
        <f t="shared" si="9"/>
        <v>0</v>
      </c>
      <c r="BX22">
        <f t="shared" si="9"/>
        <v>0</v>
      </c>
      <c r="BY22">
        <f t="shared" si="9"/>
        <v>0</v>
      </c>
      <c r="BZ22">
        <f t="shared" si="9"/>
        <v>0</v>
      </c>
      <c r="CA22">
        <f t="shared" ref="CA22:DF22" si="10">CA113</f>
        <v>0</v>
      </c>
      <c r="CB22">
        <f t="shared" si="10"/>
        <v>0</v>
      </c>
      <c r="CC22">
        <f t="shared" si="10"/>
        <v>0</v>
      </c>
      <c r="CD22">
        <f t="shared" si="10"/>
        <v>0</v>
      </c>
      <c r="CE22">
        <f t="shared" si="10"/>
        <v>0</v>
      </c>
      <c r="CF22">
        <f t="shared" si="10"/>
        <v>0</v>
      </c>
      <c r="CG22">
        <f t="shared" si="10"/>
        <v>0</v>
      </c>
      <c r="CH22">
        <f t="shared" si="10"/>
        <v>0</v>
      </c>
      <c r="CI22">
        <f t="shared" si="10"/>
        <v>0</v>
      </c>
      <c r="CJ22">
        <f t="shared" si="10"/>
        <v>0</v>
      </c>
      <c r="CK22">
        <f t="shared" si="10"/>
        <v>0</v>
      </c>
      <c r="CL22">
        <f t="shared" si="10"/>
        <v>0</v>
      </c>
      <c r="CM22">
        <f t="shared" si="10"/>
        <v>0</v>
      </c>
      <c r="CN22">
        <f t="shared" si="10"/>
        <v>0</v>
      </c>
      <c r="CO22">
        <f t="shared" si="10"/>
        <v>0</v>
      </c>
      <c r="CP22">
        <f t="shared" si="10"/>
        <v>0</v>
      </c>
      <c r="CQ22">
        <f t="shared" si="10"/>
        <v>0</v>
      </c>
      <c r="CR22">
        <f t="shared" si="10"/>
        <v>0</v>
      </c>
      <c r="CS22">
        <f t="shared" si="10"/>
        <v>0</v>
      </c>
      <c r="CT22">
        <f t="shared" si="10"/>
        <v>0</v>
      </c>
      <c r="CU22">
        <f t="shared" si="10"/>
        <v>0</v>
      </c>
      <c r="CV22">
        <f t="shared" si="10"/>
        <v>0</v>
      </c>
      <c r="CW22">
        <f t="shared" si="10"/>
        <v>0</v>
      </c>
      <c r="CX22">
        <f t="shared" si="10"/>
        <v>0</v>
      </c>
      <c r="CY22">
        <f t="shared" si="10"/>
        <v>0</v>
      </c>
      <c r="CZ22">
        <f t="shared" si="10"/>
        <v>0</v>
      </c>
      <c r="DA22">
        <f t="shared" si="10"/>
        <v>0</v>
      </c>
      <c r="DB22">
        <f t="shared" si="10"/>
        <v>0</v>
      </c>
      <c r="DC22">
        <f t="shared" si="10"/>
        <v>0</v>
      </c>
      <c r="DD22">
        <f t="shared" si="10"/>
        <v>0</v>
      </c>
      <c r="DE22">
        <f t="shared" si="10"/>
        <v>0</v>
      </c>
      <c r="DF22">
        <f t="shared" si="10"/>
        <v>0</v>
      </c>
      <c r="DG22">
        <f t="shared" ref="DG22:EL22" si="11">DG113</f>
        <v>0</v>
      </c>
      <c r="DH22">
        <f t="shared" si="11"/>
        <v>0</v>
      </c>
      <c r="DI22">
        <f t="shared" si="11"/>
        <v>0</v>
      </c>
      <c r="DJ22">
        <f t="shared" si="11"/>
        <v>0</v>
      </c>
      <c r="DK22">
        <f t="shared" si="11"/>
        <v>0</v>
      </c>
      <c r="DL22">
        <f t="shared" si="11"/>
        <v>0</v>
      </c>
      <c r="DM22">
        <f t="shared" si="11"/>
        <v>0</v>
      </c>
      <c r="DN22">
        <f t="shared" si="11"/>
        <v>0</v>
      </c>
      <c r="DO22">
        <f t="shared" si="11"/>
        <v>0</v>
      </c>
      <c r="DP22">
        <f t="shared" si="11"/>
        <v>0</v>
      </c>
      <c r="DQ22">
        <f t="shared" si="11"/>
        <v>0</v>
      </c>
      <c r="DR22">
        <f t="shared" si="11"/>
        <v>0</v>
      </c>
      <c r="DS22">
        <f t="shared" si="11"/>
        <v>0</v>
      </c>
      <c r="DT22">
        <f t="shared" si="11"/>
        <v>0</v>
      </c>
      <c r="DU22">
        <f t="shared" si="11"/>
        <v>0</v>
      </c>
      <c r="DV22">
        <f t="shared" si="11"/>
        <v>0</v>
      </c>
      <c r="DW22">
        <f t="shared" si="11"/>
        <v>0</v>
      </c>
      <c r="DX22">
        <f t="shared" si="11"/>
        <v>0</v>
      </c>
      <c r="DY22">
        <f t="shared" si="11"/>
        <v>0</v>
      </c>
      <c r="DZ22">
        <f t="shared" si="11"/>
        <v>0</v>
      </c>
      <c r="EA22">
        <f t="shared" si="11"/>
        <v>0</v>
      </c>
      <c r="EB22">
        <f t="shared" si="11"/>
        <v>0</v>
      </c>
      <c r="EC22">
        <f t="shared" si="11"/>
        <v>0</v>
      </c>
      <c r="ED22">
        <f t="shared" si="11"/>
        <v>0</v>
      </c>
      <c r="EE22">
        <f t="shared" si="11"/>
        <v>0</v>
      </c>
      <c r="EF22">
        <f t="shared" si="11"/>
        <v>0</v>
      </c>
      <c r="EG22">
        <f t="shared" si="11"/>
        <v>0</v>
      </c>
      <c r="EH22">
        <f t="shared" si="11"/>
        <v>0</v>
      </c>
      <c r="EI22">
        <f t="shared" si="11"/>
        <v>0</v>
      </c>
      <c r="EJ22">
        <f t="shared" si="11"/>
        <v>0</v>
      </c>
      <c r="EK22">
        <f t="shared" si="11"/>
        <v>0</v>
      </c>
      <c r="EL22">
        <f t="shared" si="11"/>
        <v>0</v>
      </c>
      <c r="EM22">
        <f t="shared" ref="EM22:FR22" si="12">EM113</f>
        <v>0</v>
      </c>
      <c r="EN22">
        <f t="shared" si="12"/>
        <v>0</v>
      </c>
      <c r="EO22">
        <f t="shared" si="12"/>
        <v>0</v>
      </c>
      <c r="EP22">
        <f t="shared" si="12"/>
        <v>0</v>
      </c>
      <c r="EQ22">
        <f t="shared" si="12"/>
        <v>0</v>
      </c>
      <c r="ER22">
        <f t="shared" si="12"/>
        <v>0</v>
      </c>
      <c r="ES22">
        <f t="shared" si="12"/>
        <v>0</v>
      </c>
      <c r="ET22">
        <f t="shared" si="12"/>
        <v>0</v>
      </c>
      <c r="EU22">
        <f t="shared" si="12"/>
        <v>0</v>
      </c>
      <c r="EV22">
        <f t="shared" si="12"/>
        <v>0</v>
      </c>
      <c r="EW22">
        <f t="shared" si="12"/>
        <v>0</v>
      </c>
      <c r="EX22">
        <f t="shared" si="12"/>
        <v>0</v>
      </c>
      <c r="EY22">
        <f t="shared" si="12"/>
        <v>0</v>
      </c>
      <c r="EZ22">
        <f t="shared" si="12"/>
        <v>0</v>
      </c>
      <c r="FA22">
        <f t="shared" si="12"/>
        <v>0</v>
      </c>
      <c r="FB22">
        <f t="shared" si="12"/>
        <v>0</v>
      </c>
      <c r="FC22">
        <f t="shared" si="12"/>
        <v>0</v>
      </c>
      <c r="FD22">
        <f t="shared" si="12"/>
        <v>0</v>
      </c>
      <c r="FE22">
        <f t="shared" si="12"/>
        <v>0</v>
      </c>
      <c r="FF22">
        <f t="shared" si="12"/>
        <v>0</v>
      </c>
      <c r="FG22">
        <f t="shared" si="12"/>
        <v>0</v>
      </c>
      <c r="FH22">
        <f t="shared" si="12"/>
        <v>0</v>
      </c>
      <c r="FI22">
        <f t="shared" si="12"/>
        <v>0</v>
      </c>
      <c r="FJ22">
        <f t="shared" si="12"/>
        <v>0</v>
      </c>
      <c r="FK22">
        <f t="shared" si="12"/>
        <v>0</v>
      </c>
      <c r="FL22">
        <f t="shared" si="12"/>
        <v>0</v>
      </c>
      <c r="FM22">
        <f t="shared" si="12"/>
        <v>0</v>
      </c>
      <c r="FN22">
        <f t="shared" si="12"/>
        <v>0</v>
      </c>
      <c r="FO22">
        <f t="shared" si="12"/>
        <v>0</v>
      </c>
      <c r="FP22">
        <f t="shared" si="12"/>
        <v>0</v>
      </c>
      <c r="FQ22">
        <f t="shared" si="12"/>
        <v>0</v>
      </c>
      <c r="FR22">
        <f t="shared" si="12"/>
        <v>0</v>
      </c>
      <c r="FS22">
        <f t="shared" ref="FS22:GX22" si="13">FS113</f>
        <v>0</v>
      </c>
      <c r="FT22">
        <f t="shared" si="13"/>
        <v>0</v>
      </c>
      <c r="FU22">
        <f t="shared" si="13"/>
        <v>0</v>
      </c>
      <c r="FV22">
        <f t="shared" si="13"/>
        <v>0</v>
      </c>
      <c r="FW22">
        <f t="shared" si="13"/>
        <v>0</v>
      </c>
      <c r="FX22">
        <f t="shared" si="13"/>
        <v>0</v>
      </c>
      <c r="FY22">
        <f t="shared" si="13"/>
        <v>0</v>
      </c>
      <c r="FZ22">
        <f t="shared" si="13"/>
        <v>0</v>
      </c>
      <c r="GA22">
        <f t="shared" si="13"/>
        <v>0</v>
      </c>
      <c r="GB22">
        <f t="shared" si="13"/>
        <v>0</v>
      </c>
      <c r="GC22">
        <f t="shared" si="13"/>
        <v>0</v>
      </c>
      <c r="GD22">
        <f t="shared" si="13"/>
        <v>0</v>
      </c>
      <c r="GE22">
        <f t="shared" si="13"/>
        <v>0</v>
      </c>
      <c r="GF22">
        <f t="shared" si="13"/>
        <v>0</v>
      </c>
      <c r="GG22">
        <f t="shared" si="13"/>
        <v>0</v>
      </c>
      <c r="GH22">
        <f t="shared" si="13"/>
        <v>0</v>
      </c>
      <c r="GI22">
        <f t="shared" si="13"/>
        <v>0</v>
      </c>
      <c r="GJ22">
        <f t="shared" si="13"/>
        <v>0</v>
      </c>
      <c r="GK22">
        <f t="shared" si="13"/>
        <v>0</v>
      </c>
      <c r="GL22">
        <f t="shared" si="13"/>
        <v>0</v>
      </c>
      <c r="GM22">
        <f t="shared" si="13"/>
        <v>0</v>
      </c>
      <c r="GN22">
        <f t="shared" si="13"/>
        <v>0</v>
      </c>
      <c r="GO22">
        <f t="shared" si="13"/>
        <v>0</v>
      </c>
      <c r="GP22">
        <f t="shared" si="13"/>
        <v>0</v>
      </c>
      <c r="GQ22">
        <f t="shared" si="13"/>
        <v>0</v>
      </c>
      <c r="GR22">
        <f t="shared" si="13"/>
        <v>0</v>
      </c>
      <c r="GS22">
        <f t="shared" si="13"/>
        <v>0</v>
      </c>
      <c r="GT22">
        <f t="shared" si="13"/>
        <v>0</v>
      </c>
      <c r="GU22">
        <f t="shared" si="13"/>
        <v>0</v>
      </c>
      <c r="GV22">
        <f t="shared" si="13"/>
        <v>0</v>
      </c>
      <c r="GW22">
        <f t="shared" si="13"/>
        <v>0</v>
      </c>
      <c r="GX22">
        <f t="shared" si="13"/>
        <v>0</v>
      </c>
    </row>
    <row r="24" spans="1:245" x14ac:dyDescent="0.2">
      <c r="A24">
        <v>4</v>
      </c>
      <c r="B24">
        <v>1</v>
      </c>
      <c r="D24">
        <f>ROW(A45)</f>
        <v>45</v>
      </c>
      <c r="F24" t="s">
        <v>13</v>
      </c>
      <c r="G24" t="s">
        <v>14</v>
      </c>
      <c r="H24" t="s">
        <v>5</v>
      </c>
      <c r="I24">
        <v>0</v>
      </c>
      <c r="K24">
        <v>0</v>
      </c>
      <c r="U24" t="s">
        <v>5</v>
      </c>
      <c r="V24">
        <v>0</v>
      </c>
      <c r="AB24" t="s">
        <v>5</v>
      </c>
      <c r="AC24" t="s">
        <v>5</v>
      </c>
      <c r="AD24" t="s">
        <v>5</v>
      </c>
      <c r="AE24" t="s">
        <v>5</v>
      </c>
      <c r="AF24" t="s">
        <v>5</v>
      </c>
      <c r="AG24" t="s">
        <v>5</v>
      </c>
      <c r="AP24" t="s">
        <v>5</v>
      </c>
      <c r="AQ24" t="s">
        <v>5</v>
      </c>
      <c r="AR24" t="s">
        <v>5</v>
      </c>
      <c r="AZ24" t="s">
        <v>5</v>
      </c>
      <c r="BB24" t="s">
        <v>5</v>
      </c>
      <c r="BC24" t="s">
        <v>5</v>
      </c>
      <c r="BD24" t="s">
        <v>5</v>
      </c>
      <c r="BE24" t="s">
        <v>5</v>
      </c>
      <c r="BF24" t="s">
        <v>5</v>
      </c>
      <c r="BG24" t="s">
        <v>5</v>
      </c>
      <c r="BH24" t="s">
        <v>5</v>
      </c>
      <c r="BI24" t="s">
        <v>5</v>
      </c>
      <c r="BJ24" t="s">
        <v>5</v>
      </c>
      <c r="BK24" t="s">
        <v>5</v>
      </c>
      <c r="BL24" t="s">
        <v>5</v>
      </c>
      <c r="BM24" t="s">
        <v>5</v>
      </c>
      <c r="BN24" t="s">
        <v>5</v>
      </c>
      <c r="BO24" t="s">
        <v>5</v>
      </c>
      <c r="BP24" t="s">
        <v>5</v>
      </c>
      <c r="BX24">
        <v>0</v>
      </c>
      <c r="CJ24">
        <v>0</v>
      </c>
    </row>
    <row r="26" spans="1:245" x14ac:dyDescent="0.2">
      <c r="A26">
        <v>52</v>
      </c>
      <c r="B26">
        <f t="shared" ref="B26:G26" si="14">B45</f>
        <v>1</v>
      </c>
      <c r="C26">
        <f t="shared" si="14"/>
        <v>4</v>
      </c>
      <c r="D26">
        <f t="shared" si="14"/>
        <v>24</v>
      </c>
      <c r="E26">
        <f t="shared" si="14"/>
        <v>0</v>
      </c>
      <c r="F26" t="str">
        <f t="shared" si="14"/>
        <v>Новый раздел</v>
      </c>
      <c r="G26" t="str">
        <f t="shared" si="14"/>
        <v>Монтажные работы</v>
      </c>
      <c r="O26">
        <f t="shared" ref="O26:AT26" si="15">O45</f>
        <v>94004.1</v>
      </c>
      <c r="P26">
        <f t="shared" si="15"/>
        <v>84315.33</v>
      </c>
      <c r="Q26">
        <f t="shared" si="15"/>
        <v>1994.33</v>
      </c>
      <c r="R26">
        <f t="shared" si="15"/>
        <v>867.26</v>
      </c>
      <c r="S26">
        <f t="shared" si="15"/>
        <v>7694.44</v>
      </c>
      <c r="T26">
        <f t="shared" si="15"/>
        <v>0</v>
      </c>
      <c r="U26">
        <f t="shared" si="15"/>
        <v>28.196850000000001</v>
      </c>
      <c r="V26">
        <f t="shared" si="15"/>
        <v>0</v>
      </c>
      <c r="W26">
        <f t="shared" si="15"/>
        <v>0</v>
      </c>
      <c r="X26">
        <f t="shared" si="15"/>
        <v>5924.71</v>
      </c>
      <c r="Y26">
        <f t="shared" si="15"/>
        <v>3154.72</v>
      </c>
      <c r="Z26">
        <f t="shared" si="15"/>
        <v>0</v>
      </c>
      <c r="AA26">
        <f t="shared" si="15"/>
        <v>0</v>
      </c>
      <c r="AB26">
        <f t="shared" si="15"/>
        <v>94004.1</v>
      </c>
      <c r="AC26">
        <f t="shared" si="15"/>
        <v>84315.33</v>
      </c>
      <c r="AD26">
        <f t="shared" si="15"/>
        <v>1994.33</v>
      </c>
      <c r="AE26">
        <f t="shared" si="15"/>
        <v>867.26</v>
      </c>
      <c r="AF26">
        <f t="shared" si="15"/>
        <v>7694.44</v>
      </c>
      <c r="AG26">
        <f t="shared" si="15"/>
        <v>0</v>
      </c>
      <c r="AH26">
        <f t="shared" si="15"/>
        <v>28.196850000000001</v>
      </c>
      <c r="AI26">
        <f t="shared" si="15"/>
        <v>0</v>
      </c>
      <c r="AJ26">
        <f t="shared" si="15"/>
        <v>0</v>
      </c>
      <c r="AK26">
        <f t="shared" si="15"/>
        <v>5924.71</v>
      </c>
      <c r="AL26">
        <f t="shared" si="15"/>
        <v>3154.72</v>
      </c>
      <c r="AM26">
        <f t="shared" si="15"/>
        <v>0</v>
      </c>
      <c r="AN26">
        <f t="shared" si="15"/>
        <v>0</v>
      </c>
      <c r="AO26">
        <f t="shared" si="15"/>
        <v>0</v>
      </c>
      <c r="AP26">
        <f t="shared" si="15"/>
        <v>82374.52</v>
      </c>
      <c r="AQ26">
        <f t="shared" si="15"/>
        <v>0</v>
      </c>
      <c r="AR26">
        <f t="shared" si="15"/>
        <v>104445.13</v>
      </c>
      <c r="AS26">
        <f t="shared" si="15"/>
        <v>0</v>
      </c>
      <c r="AT26">
        <f t="shared" si="15"/>
        <v>22070.61</v>
      </c>
      <c r="AU26">
        <f t="shared" ref="AU26:BZ26" si="16">AU45</f>
        <v>0</v>
      </c>
      <c r="AV26">
        <f t="shared" si="16"/>
        <v>84315.33</v>
      </c>
      <c r="AW26">
        <f t="shared" si="16"/>
        <v>1940.81</v>
      </c>
      <c r="AX26">
        <f t="shared" si="16"/>
        <v>0</v>
      </c>
      <c r="AY26">
        <f t="shared" si="16"/>
        <v>1940.81</v>
      </c>
      <c r="AZ26">
        <f t="shared" si="16"/>
        <v>82374.52</v>
      </c>
      <c r="BA26">
        <f t="shared" si="16"/>
        <v>0</v>
      </c>
      <c r="BB26">
        <f t="shared" si="16"/>
        <v>0</v>
      </c>
      <c r="BC26">
        <f t="shared" si="16"/>
        <v>0</v>
      </c>
      <c r="BD26">
        <f t="shared" si="16"/>
        <v>0</v>
      </c>
      <c r="BE26">
        <f t="shared" si="16"/>
        <v>0</v>
      </c>
      <c r="BF26">
        <f t="shared" si="16"/>
        <v>0</v>
      </c>
      <c r="BG26">
        <f t="shared" si="16"/>
        <v>0</v>
      </c>
      <c r="BH26">
        <f t="shared" si="16"/>
        <v>0</v>
      </c>
      <c r="BI26">
        <f t="shared" si="16"/>
        <v>0</v>
      </c>
      <c r="BJ26">
        <f t="shared" si="16"/>
        <v>0</v>
      </c>
      <c r="BK26">
        <f t="shared" si="16"/>
        <v>0</v>
      </c>
      <c r="BL26">
        <f t="shared" si="16"/>
        <v>0</v>
      </c>
      <c r="BM26">
        <f t="shared" si="16"/>
        <v>0</v>
      </c>
      <c r="BN26">
        <f t="shared" si="16"/>
        <v>0</v>
      </c>
      <c r="BO26">
        <f t="shared" si="16"/>
        <v>0</v>
      </c>
      <c r="BP26">
        <f t="shared" si="16"/>
        <v>0</v>
      </c>
      <c r="BQ26">
        <f t="shared" si="16"/>
        <v>0</v>
      </c>
      <c r="BR26">
        <f t="shared" si="16"/>
        <v>0</v>
      </c>
      <c r="BS26">
        <f t="shared" si="16"/>
        <v>0</v>
      </c>
      <c r="BT26">
        <f t="shared" si="16"/>
        <v>0</v>
      </c>
      <c r="BU26">
        <f t="shared" si="16"/>
        <v>0</v>
      </c>
      <c r="BV26">
        <f t="shared" si="16"/>
        <v>0</v>
      </c>
      <c r="BW26">
        <f t="shared" si="16"/>
        <v>0</v>
      </c>
      <c r="BX26">
        <f t="shared" si="16"/>
        <v>0</v>
      </c>
      <c r="BY26">
        <f t="shared" si="16"/>
        <v>82374.52</v>
      </c>
      <c r="BZ26">
        <f t="shared" si="16"/>
        <v>0</v>
      </c>
      <c r="CA26">
        <f t="shared" ref="CA26:DF26" si="17">CA45</f>
        <v>104445.13</v>
      </c>
      <c r="CB26">
        <f t="shared" si="17"/>
        <v>0</v>
      </c>
      <c r="CC26">
        <f t="shared" si="17"/>
        <v>22070.61</v>
      </c>
      <c r="CD26">
        <f t="shared" si="17"/>
        <v>0</v>
      </c>
      <c r="CE26">
        <f t="shared" si="17"/>
        <v>84315.33</v>
      </c>
      <c r="CF26">
        <f t="shared" si="17"/>
        <v>1940.8099999999977</v>
      </c>
      <c r="CG26">
        <f t="shared" si="17"/>
        <v>0</v>
      </c>
      <c r="CH26">
        <f t="shared" si="17"/>
        <v>1940.8099999999977</v>
      </c>
      <c r="CI26">
        <f t="shared" si="17"/>
        <v>82374.52</v>
      </c>
      <c r="CJ26">
        <f t="shared" si="17"/>
        <v>0</v>
      </c>
      <c r="CK26">
        <f t="shared" si="17"/>
        <v>0</v>
      </c>
      <c r="CL26">
        <f t="shared" si="17"/>
        <v>0</v>
      </c>
      <c r="CM26">
        <f t="shared" si="17"/>
        <v>0</v>
      </c>
      <c r="CN26">
        <f t="shared" si="17"/>
        <v>0</v>
      </c>
      <c r="CO26">
        <f t="shared" si="17"/>
        <v>0</v>
      </c>
      <c r="CP26">
        <f t="shared" si="17"/>
        <v>0</v>
      </c>
      <c r="CQ26">
        <f t="shared" si="17"/>
        <v>0</v>
      </c>
      <c r="CR26">
        <f t="shared" si="17"/>
        <v>0</v>
      </c>
      <c r="CS26">
        <f t="shared" si="17"/>
        <v>0</v>
      </c>
      <c r="CT26">
        <f t="shared" si="17"/>
        <v>0</v>
      </c>
      <c r="CU26">
        <f t="shared" si="17"/>
        <v>0</v>
      </c>
      <c r="CV26">
        <f t="shared" si="17"/>
        <v>0</v>
      </c>
      <c r="CW26">
        <f t="shared" si="17"/>
        <v>0</v>
      </c>
      <c r="CX26">
        <f t="shared" si="17"/>
        <v>0</v>
      </c>
      <c r="CY26">
        <f t="shared" si="17"/>
        <v>0</v>
      </c>
      <c r="CZ26">
        <f t="shared" si="17"/>
        <v>0</v>
      </c>
      <c r="DA26">
        <f t="shared" si="17"/>
        <v>0</v>
      </c>
      <c r="DB26">
        <f t="shared" si="17"/>
        <v>0</v>
      </c>
      <c r="DC26">
        <f t="shared" si="17"/>
        <v>0</v>
      </c>
      <c r="DD26">
        <f t="shared" si="17"/>
        <v>0</v>
      </c>
      <c r="DE26">
        <f t="shared" si="17"/>
        <v>0</v>
      </c>
      <c r="DF26">
        <f t="shared" si="17"/>
        <v>0</v>
      </c>
      <c r="DG26">
        <f t="shared" ref="DG26:EL26" si="18">DG45</f>
        <v>0</v>
      </c>
      <c r="DH26">
        <f t="shared" si="18"/>
        <v>0</v>
      </c>
      <c r="DI26">
        <f t="shared" si="18"/>
        <v>0</v>
      </c>
      <c r="DJ26">
        <f t="shared" si="18"/>
        <v>0</v>
      </c>
      <c r="DK26">
        <f t="shared" si="18"/>
        <v>0</v>
      </c>
      <c r="DL26">
        <f t="shared" si="18"/>
        <v>0</v>
      </c>
      <c r="DM26">
        <f t="shared" si="18"/>
        <v>0</v>
      </c>
      <c r="DN26">
        <f t="shared" si="18"/>
        <v>0</v>
      </c>
      <c r="DO26">
        <f t="shared" si="18"/>
        <v>0</v>
      </c>
      <c r="DP26">
        <f t="shared" si="18"/>
        <v>0</v>
      </c>
      <c r="DQ26">
        <f t="shared" si="18"/>
        <v>0</v>
      </c>
      <c r="DR26">
        <f t="shared" si="18"/>
        <v>0</v>
      </c>
      <c r="DS26">
        <f t="shared" si="18"/>
        <v>0</v>
      </c>
      <c r="DT26">
        <f t="shared" si="18"/>
        <v>0</v>
      </c>
      <c r="DU26">
        <f t="shared" si="18"/>
        <v>0</v>
      </c>
      <c r="DV26">
        <f t="shared" si="18"/>
        <v>0</v>
      </c>
      <c r="DW26">
        <f t="shared" si="18"/>
        <v>0</v>
      </c>
      <c r="DX26">
        <f t="shared" si="18"/>
        <v>0</v>
      </c>
      <c r="DY26">
        <f t="shared" si="18"/>
        <v>0</v>
      </c>
      <c r="DZ26">
        <f t="shared" si="18"/>
        <v>0</v>
      </c>
      <c r="EA26">
        <f t="shared" si="18"/>
        <v>0</v>
      </c>
      <c r="EB26">
        <f t="shared" si="18"/>
        <v>0</v>
      </c>
      <c r="EC26">
        <f t="shared" si="18"/>
        <v>0</v>
      </c>
      <c r="ED26">
        <f t="shared" si="18"/>
        <v>0</v>
      </c>
      <c r="EE26">
        <f t="shared" si="18"/>
        <v>0</v>
      </c>
      <c r="EF26">
        <f t="shared" si="18"/>
        <v>0</v>
      </c>
      <c r="EG26">
        <f t="shared" si="18"/>
        <v>0</v>
      </c>
      <c r="EH26">
        <f t="shared" si="18"/>
        <v>0</v>
      </c>
      <c r="EI26">
        <f t="shared" si="18"/>
        <v>0</v>
      </c>
      <c r="EJ26">
        <f t="shared" si="18"/>
        <v>0</v>
      </c>
      <c r="EK26">
        <f t="shared" si="18"/>
        <v>0</v>
      </c>
      <c r="EL26">
        <f t="shared" si="18"/>
        <v>0</v>
      </c>
      <c r="EM26">
        <f t="shared" ref="EM26:FR26" si="19">EM45</f>
        <v>0</v>
      </c>
      <c r="EN26">
        <f t="shared" si="19"/>
        <v>0</v>
      </c>
      <c r="EO26">
        <f t="shared" si="19"/>
        <v>0</v>
      </c>
      <c r="EP26">
        <f t="shared" si="19"/>
        <v>0</v>
      </c>
      <c r="EQ26">
        <f t="shared" si="19"/>
        <v>0</v>
      </c>
      <c r="ER26">
        <f t="shared" si="19"/>
        <v>0</v>
      </c>
      <c r="ES26">
        <f t="shared" si="19"/>
        <v>0</v>
      </c>
      <c r="ET26">
        <f t="shared" si="19"/>
        <v>0</v>
      </c>
      <c r="EU26">
        <f t="shared" si="19"/>
        <v>0</v>
      </c>
      <c r="EV26">
        <f t="shared" si="19"/>
        <v>0</v>
      </c>
      <c r="EW26">
        <f t="shared" si="19"/>
        <v>0</v>
      </c>
      <c r="EX26">
        <f t="shared" si="19"/>
        <v>0</v>
      </c>
      <c r="EY26">
        <f t="shared" si="19"/>
        <v>0</v>
      </c>
      <c r="EZ26">
        <f t="shared" si="19"/>
        <v>0</v>
      </c>
      <c r="FA26">
        <f t="shared" si="19"/>
        <v>0</v>
      </c>
      <c r="FB26">
        <f t="shared" si="19"/>
        <v>0</v>
      </c>
      <c r="FC26">
        <f t="shared" si="19"/>
        <v>0</v>
      </c>
      <c r="FD26">
        <f t="shared" si="19"/>
        <v>0</v>
      </c>
      <c r="FE26">
        <f t="shared" si="19"/>
        <v>0</v>
      </c>
      <c r="FF26">
        <f t="shared" si="19"/>
        <v>0</v>
      </c>
      <c r="FG26">
        <f t="shared" si="19"/>
        <v>0</v>
      </c>
      <c r="FH26">
        <f t="shared" si="19"/>
        <v>0</v>
      </c>
      <c r="FI26">
        <f t="shared" si="19"/>
        <v>0</v>
      </c>
      <c r="FJ26">
        <f t="shared" si="19"/>
        <v>0</v>
      </c>
      <c r="FK26">
        <f t="shared" si="19"/>
        <v>0</v>
      </c>
      <c r="FL26">
        <f t="shared" si="19"/>
        <v>0</v>
      </c>
      <c r="FM26">
        <f t="shared" si="19"/>
        <v>0</v>
      </c>
      <c r="FN26">
        <f t="shared" si="19"/>
        <v>0</v>
      </c>
      <c r="FO26">
        <f t="shared" si="19"/>
        <v>0</v>
      </c>
      <c r="FP26">
        <f t="shared" si="19"/>
        <v>0</v>
      </c>
      <c r="FQ26">
        <f t="shared" si="19"/>
        <v>0</v>
      </c>
      <c r="FR26">
        <f t="shared" si="19"/>
        <v>0</v>
      </c>
      <c r="FS26">
        <f t="shared" ref="FS26:GX26" si="20">FS45</f>
        <v>0</v>
      </c>
      <c r="FT26">
        <f t="shared" si="20"/>
        <v>0</v>
      </c>
      <c r="FU26">
        <f t="shared" si="20"/>
        <v>0</v>
      </c>
      <c r="FV26">
        <f t="shared" si="20"/>
        <v>0</v>
      </c>
      <c r="FW26">
        <f t="shared" si="20"/>
        <v>0</v>
      </c>
      <c r="FX26">
        <f t="shared" si="20"/>
        <v>0</v>
      </c>
      <c r="FY26">
        <f t="shared" si="20"/>
        <v>0</v>
      </c>
      <c r="FZ26">
        <f t="shared" si="20"/>
        <v>0</v>
      </c>
      <c r="GA26">
        <f t="shared" si="20"/>
        <v>0</v>
      </c>
      <c r="GB26">
        <f t="shared" si="20"/>
        <v>0</v>
      </c>
      <c r="GC26">
        <f t="shared" si="20"/>
        <v>0</v>
      </c>
      <c r="GD26">
        <f t="shared" si="20"/>
        <v>0</v>
      </c>
      <c r="GE26">
        <f t="shared" si="20"/>
        <v>0</v>
      </c>
      <c r="GF26">
        <f t="shared" si="20"/>
        <v>0</v>
      </c>
      <c r="GG26">
        <f t="shared" si="20"/>
        <v>0</v>
      </c>
      <c r="GH26">
        <f t="shared" si="20"/>
        <v>0</v>
      </c>
      <c r="GI26">
        <f t="shared" si="20"/>
        <v>0</v>
      </c>
      <c r="GJ26">
        <f t="shared" si="20"/>
        <v>0</v>
      </c>
      <c r="GK26">
        <f t="shared" si="20"/>
        <v>0</v>
      </c>
      <c r="GL26">
        <f t="shared" si="20"/>
        <v>0</v>
      </c>
      <c r="GM26">
        <f t="shared" si="20"/>
        <v>0</v>
      </c>
      <c r="GN26">
        <f t="shared" si="20"/>
        <v>0</v>
      </c>
      <c r="GO26">
        <f t="shared" si="20"/>
        <v>0</v>
      </c>
      <c r="GP26">
        <f t="shared" si="20"/>
        <v>0</v>
      </c>
      <c r="GQ26">
        <f t="shared" si="20"/>
        <v>0</v>
      </c>
      <c r="GR26">
        <f t="shared" si="20"/>
        <v>0</v>
      </c>
      <c r="GS26">
        <f t="shared" si="20"/>
        <v>0</v>
      </c>
      <c r="GT26">
        <f t="shared" si="20"/>
        <v>0</v>
      </c>
      <c r="GU26">
        <f t="shared" si="20"/>
        <v>0</v>
      </c>
      <c r="GV26">
        <f t="shared" si="20"/>
        <v>0</v>
      </c>
      <c r="GW26">
        <f t="shared" si="20"/>
        <v>0</v>
      </c>
      <c r="GX26">
        <f t="shared" si="20"/>
        <v>0</v>
      </c>
    </row>
    <row r="28" spans="1:245" x14ac:dyDescent="0.2">
      <c r="A28">
        <v>17</v>
      </c>
      <c r="B28">
        <v>1</v>
      </c>
      <c r="C28">
        <f>ROW(SmtRes!A1)</f>
        <v>1</v>
      </c>
      <c r="D28">
        <f>ROW(EtalonRes!A1)</f>
        <v>1</v>
      </c>
      <c r="E28" t="s">
        <v>15</v>
      </c>
      <c r="F28" t="s">
        <v>16</v>
      </c>
      <c r="G28" t="s">
        <v>17</v>
      </c>
      <c r="H28" t="s">
        <v>18</v>
      </c>
      <c r="I28">
        <v>1</v>
      </c>
      <c r="J28">
        <v>0</v>
      </c>
      <c r="O28">
        <f>ROUND(CP28,2)</f>
        <v>1282.45</v>
      </c>
      <c r="P28">
        <f>ROUND((ROUND((AC28*AW28*I28),2)*BC28),2)</f>
        <v>49.15</v>
      </c>
      <c r="Q28">
        <f>(ROUND((ROUND((((ET28*1.15))*AV28*I28),2)*BB28),2)+ROUND((ROUND(((AE28-((EU28*1.15)))*AV28*I28),2)*BS28),2))</f>
        <v>573.26</v>
      </c>
      <c r="R28">
        <f>ROUND((ROUND((AE28*AV28*I28),2)*BS28),2)</f>
        <v>244.09</v>
      </c>
      <c r="S28">
        <f>ROUND((ROUND((AF28*AV28*I28),2)*BA28),2)</f>
        <v>660.04</v>
      </c>
      <c r="T28">
        <f>ROUND(CU28*I28,2)</f>
        <v>0</v>
      </c>
      <c r="U28">
        <f>CV28*I28</f>
        <v>2.3689999999999998</v>
      </c>
      <c r="V28">
        <f>CW28*I28</f>
        <v>0</v>
      </c>
      <c r="W28">
        <f>ROUND(CX28*I28,2)</f>
        <v>0</v>
      </c>
      <c r="X28">
        <f>ROUND(CY28,2)</f>
        <v>508.23</v>
      </c>
      <c r="Y28">
        <f>ROUND(CZ28,2)</f>
        <v>270.62</v>
      </c>
      <c r="AA28">
        <v>31330642</v>
      </c>
      <c r="AB28">
        <f>ROUND((AC28+AD28+AF28),6)</f>
        <v>113.084</v>
      </c>
      <c r="AC28">
        <f>ROUND((ES28),6)</f>
        <v>9.17</v>
      </c>
      <c r="AD28">
        <f>ROUND(((((ET28*1.15))-((EU28*1.15)))+AE28),6)</f>
        <v>73.117000000000004</v>
      </c>
      <c r="AE28">
        <f>ROUND(((EU28*1.15)),6)</f>
        <v>11.385</v>
      </c>
      <c r="AF28">
        <f>ROUND(((EV28*1.15)),6)</f>
        <v>30.797000000000001</v>
      </c>
      <c r="AG28">
        <f>ROUND((AP28),6)</f>
        <v>0</v>
      </c>
      <c r="AH28">
        <f>((EW28*1.15))</f>
        <v>2.3689999999999998</v>
      </c>
      <c r="AI28">
        <f>((EX28*1.15))</f>
        <v>0</v>
      </c>
      <c r="AJ28">
        <f>(AS28)</f>
        <v>0</v>
      </c>
      <c r="AK28">
        <v>99.53</v>
      </c>
      <c r="AL28">
        <v>9.17</v>
      </c>
      <c r="AM28">
        <v>63.58</v>
      </c>
      <c r="AN28">
        <v>9.9</v>
      </c>
      <c r="AO28">
        <v>26.78</v>
      </c>
      <c r="AP28">
        <v>0</v>
      </c>
      <c r="AQ28">
        <v>2.06</v>
      </c>
      <c r="AR28">
        <v>0</v>
      </c>
      <c r="AS28">
        <v>0</v>
      </c>
      <c r="AT28">
        <v>77</v>
      </c>
      <c r="AU28">
        <v>41</v>
      </c>
      <c r="AV28">
        <v>1</v>
      </c>
      <c r="AW28">
        <v>1</v>
      </c>
      <c r="AZ28">
        <v>1</v>
      </c>
      <c r="BA28">
        <v>21.43</v>
      </c>
      <c r="BB28">
        <v>7.84</v>
      </c>
      <c r="BC28">
        <v>5.36</v>
      </c>
      <c r="BD28" t="s">
        <v>5</v>
      </c>
      <c r="BE28" t="s">
        <v>5</v>
      </c>
      <c r="BF28" t="s">
        <v>5</v>
      </c>
      <c r="BG28" t="s">
        <v>5</v>
      </c>
      <c r="BH28">
        <v>0</v>
      </c>
      <c r="BI28">
        <v>2</v>
      </c>
      <c r="BJ28" t="s">
        <v>19</v>
      </c>
      <c r="BM28">
        <v>333</v>
      </c>
      <c r="BN28">
        <v>0</v>
      </c>
      <c r="BO28" t="s">
        <v>16</v>
      </c>
      <c r="BP28">
        <v>1</v>
      </c>
      <c r="BQ28">
        <v>40</v>
      </c>
      <c r="BR28">
        <v>0</v>
      </c>
      <c r="BS28">
        <v>21.43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5</v>
      </c>
      <c r="BZ28">
        <v>77</v>
      </c>
      <c r="CA28">
        <v>41</v>
      </c>
      <c r="CE28">
        <v>30</v>
      </c>
      <c r="CF28">
        <v>0</v>
      </c>
      <c r="CG28">
        <v>0</v>
      </c>
      <c r="CM28">
        <v>0</v>
      </c>
      <c r="CN28" t="s">
        <v>182</v>
      </c>
      <c r="CO28">
        <v>0</v>
      </c>
      <c r="CP28">
        <f>(P28+Q28+S28)</f>
        <v>1282.4499999999998</v>
      </c>
      <c r="CQ28">
        <f>ROUND((ROUND((AC28*AW28*1),2)*BC28),2)</f>
        <v>49.15</v>
      </c>
      <c r="CR28">
        <f>(ROUND((ROUND((((ET28*1.15))*AV28*1),2)*BB28),2)+ROUND((ROUND(((AE28-((EU28*1.15)))*AV28*1),2)*BS28),2))</f>
        <v>573.26</v>
      </c>
      <c r="CS28">
        <f>ROUND((ROUND((AE28*AV28*1),2)*BS28),2)</f>
        <v>244.09</v>
      </c>
      <c r="CT28">
        <f>ROUND((ROUND((AF28*AV28*1),2)*BA28),2)</f>
        <v>660.04</v>
      </c>
      <c r="CU28">
        <f>AG28</f>
        <v>0</v>
      </c>
      <c r="CV28">
        <f>(AH28*AV28)</f>
        <v>2.3689999999999998</v>
      </c>
      <c r="CW28">
        <f>AI28</f>
        <v>0</v>
      </c>
      <c r="CX28">
        <f>AJ28</f>
        <v>0</v>
      </c>
      <c r="CY28">
        <f>S28*(BZ28/100)</f>
        <v>508.23079999999999</v>
      </c>
      <c r="CZ28">
        <f>S28*(CA28/100)</f>
        <v>270.61639999999994</v>
      </c>
      <c r="DC28" t="s">
        <v>5</v>
      </c>
      <c r="DD28" t="s">
        <v>5</v>
      </c>
      <c r="DE28" t="s">
        <v>20</v>
      </c>
      <c r="DF28" t="s">
        <v>20</v>
      </c>
      <c r="DG28" t="s">
        <v>20</v>
      </c>
      <c r="DH28" t="s">
        <v>5</v>
      </c>
      <c r="DI28" t="s">
        <v>20</v>
      </c>
      <c r="DJ28" t="s">
        <v>20</v>
      </c>
      <c r="DK28" t="s">
        <v>5</v>
      </c>
      <c r="DL28" t="s">
        <v>5</v>
      </c>
      <c r="DM28" t="s">
        <v>5</v>
      </c>
      <c r="DN28">
        <v>114</v>
      </c>
      <c r="DO28">
        <v>67</v>
      </c>
      <c r="DP28">
        <v>1</v>
      </c>
      <c r="DQ28">
        <v>1</v>
      </c>
      <c r="DU28">
        <v>1013</v>
      </c>
      <c r="DV28" t="s">
        <v>18</v>
      </c>
      <c r="DW28" t="s">
        <v>18</v>
      </c>
      <c r="DX28">
        <v>1</v>
      </c>
      <c r="EE28">
        <v>30507529</v>
      </c>
      <c r="EF28">
        <v>40</v>
      </c>
      <c r="EG28" t="s">
        <v>21</v>
      </c>
      <c r="EH28">
        <v>0</v>
      </c>
      <c r="EI28" t="s">
        <v>5</v>
      </c>
      <c r="EJ28">
        <v>2</v>
      </c>
      <c r="EK28">
        <v>333</v>
      </c>
      <c r="EL28" t="s">
        <v>22</v>
      </c>
      <c r="EM28" t="s">
        <v>23</v>
      </c>
      <c r="EO28" t="s">
        <v>24</v>
      </c>
      <c r="EQ28">
        <v>512</v>
      </c>
      <c r="ER28">
        <v>99.53</v>
      </c>
      <c r="ES28">
        <v>9.17</v>
      </c>
      <c r="ET28">
        <v>63.58</v>
      </c>
      <c r="EU28">
        <v>9.9</v>
      </c>
      <c r="EV28">
        <v>26.78</v>
      </c>
      <c r="EW28">
        <v>2.06</v>
      </c>
      <c r="EX28">
        <v>0</v>
      </c>
      <c r="EY28">
        <v>0</v>
      </c>
      <c r="FQ28">
        <v>0</v>
      </c>
      <c r="FR28">
        <f>ROUND(IF(AND(BH28=3,BI28=3),P28,0),2)</f>
        <v>0</v>
      </c>
      <c r="FS28">
        <v>0</v>
      </c>
      <c r="FX28">
        <v>114</v>
      </c>
      <c r="FY28">
        <v>67</v>
      </c>
      <c r="GA28" t="s">
        <v>5</v>
      </c>
      <c r="GD28">
        <v>0</v>
      </c>
      <c r="GF28">
        <v>259156785</v>
      </c>
      <c r="GG28">
        <v>2</v>
      </c>
      <c r="GH28">
        <v>1</v>
      </c>
      <c r="GI28">
        <v>2</v>
      </c>
      <c r="GJ28">
        <v>0</v>
      </c>
      <c r="GK28">
        <f>ROUND(R28*(R12)/100,2)</f>
        <v>383.22</v>
      </c>
      <c r="GL28">
        <f>ROUND(IF(AND(BH28=3,BI28=3,FS28&lt;&gt;0),P28,0),2)</f>
        <v>0</v>
      </c>
      <c r="GM28">
        <f>ROUND(O28+X28+Y28+GK28,2)+GX28</f>
        <v>2444.52</v>
      </c>
      <c r="GN28">
        <f>IF(OR(BI28=0,BI28=1),ROUND(O28+X28+Y28+GK28,2),0)</f>
        <v>0</v>
      </c>
      <c r="GO28">
        <f>IF(BI28=2,ROUND(O28+X28+Y28+GK28,2),0)</f>
        <v>2444.52</v>
      </c>
      <c r="GP28">
        <f>IF(BI28=4,ROUND(O28+X28+Y28+GK28,2)+GX28,0)</f>
        <v>0</v>
      </c>
      <c r="GR28">
        <v>0</v>
      </c>
      <c r="GS28">
        <v>3</v>
      </c>
      <c r="GT28">
        <v>0</v>
      </c>
      <c r="GU28" t="s">
        <v>5</v>
      </c>
      <c r="GV28">
        <f>ROUND((GT28),6)</f>
        <v>0</v>
      </c>
      <c r="GW28">
        <v>1</v>
      </c>
      <c r="GX28">
        <f>ROUND(HC28*I28,2)</f>
        <v>0</v>
      </c>
      <c r="HA28">
        <v>0</v>
      </c>
      <c r="HB28">
        <v>0</v>
      </c>
      <c r="HC28">
        <f>GV28*GW28</f>
        <v>0</v>
      </c>
      <c r="IK28">
        <v>0</v>
      </c>
    </row>
    <row r="29" spans="1:245" x14ac:dyDescent="0.2">
      <c r="A29">
        <v>17</v>
      </c>
      <c r="B29">
        <v>1</v>
      </c>
      <c r="E29" t="s">
        <v>25</v>
      </c>
      <c r="F29" t="s">
        <v>26</v>
      </c>
      <c r="G29" t="s">
        <v>27</v>
      </c>
      <c r="H29" t="s">
        <v>28</v>
      </c>
      <c r="I29">
        <v>1</v>
      </c>
      <c r="J29">
        <v>0</v>
      </c>
      <c r="O29">
        <f>ROUND(CP29,2)</f>
        <v>39049.31</v>
      </c>
      <c r="P29">
        <f>ROUND((ROUND((AC29*AW29*I29),2)*BC29),2)</f>
        <v>39049.31</v>
      </c>
      <c r="Q29">
        <f>(ROUND((ROUND(((ET29)*AV29*I29),2)*BB29),2)+ROUND((ROUND(((AE29-(EU29))*AV29*I29),2)*BS29),2))</f>
        <v>0</v>
      </c>
      <c r="R29">
        <f>ROUND((ROUND((AE29*AV29*I29),2)*BS29),2)</f>
        <v>0</v>
      </c>
      <c r="S29">
        <f>ROUND((ROUND((AF29*AV29*I29),2)*BA29),2)</f>
        <v>0</v>
      </c>
      <c r="T29">
        <f>ROUND(CU29*I29,2)</f>
        <v>0</v>
      </c>
      <c r="U29">
        <f>CV29*I29</f>
        <v>0</v>
      </c>
      <c r="V29">
        <f>CW29*I29</f>
        <v>0</v>
      </c>
      <c r="W29">
        <f>ROUND(CX29*I29,2)</f>
        <v>0</v>
      </c>
      <c r="X29">
        <f>ROUND(CY29,2)</f>
        <v>0</v>
      </c>
      <c r="Y29">
        <f>ROUND(CZ29,2)</f>
        <v>0</v>
      </c>
      <c r="AA29">
        <v>31330642</v>
      </c>
      <c r="AB29">
        <f>ROUND((AC29+AD29+AF29),6)</f>
        <v>39049.31</v>
      </c>
      <c r="AC29">
        <f>ROUND((ES29),6)</f>
        <v>39049.31</v>
      </c>
      <c r="AD29">
        <f>ROUND((((ET29)-(EU29))+AE29),6)</f>
        <v>0</v>
      </c>
      <c r="AE29">
        <f>ROUND((EU29),6)</f>
        <v>0</v>
      </c>
      <c r="AF29">
        <f>ROUND((EV29),6)</f>
        <v>0</v>
      </c>
      <c r="AG29">
        <f>ROUND((AP29),6)</f>
        <v>0</v>
      </c>
      <c r="AH29">
        <f>(EW29)</f>
        <v>0</v>
      </c>
      <c r="AI29">
        <f>(EX29)</f>
        <v>0</v>
      </c>
      <c r="AJ29">
        <f>(AS29)</f>
        <v>0</v>
      </c>
      <c r="AK29">
        <v>39049.310000000005</v>
      </c>
      <c r="AL29">
        <v>39049.310000000005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5</v>
      </c>
      <c r="BE29" t="s">
        <v>5</v>
      </c>
      <c r="BF29" t="s">
        <v>5</v>
      </c>
      <c r="BG29" t="s">
        <v>5</v>
      </c>
      <c r="BH29">
        <v>3</v>
      </c>
      <c r="BI29">
        <v>3</v>
      </c>
      <c r="BJ29" t="s">
        <v>5</v>
      </c>
      <c r="BM29">
        <v>746</v>
      </c>
      <c r="BN29">
        <v>0</v>
      </c>
      <c r="BO29" t="s">
        <v>5</v>
      </c>
      <c r="BP29">
        <v>0</v>
      </c>
      <c r="BQ29">
        <v>130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5</v>
      </c>
      <c r="BZ29">
        <v>0</v>
      </c>
      <c r="CA29">
        <v>0</v>
      </c>
      <c r="CE29">
        <v>30</v>
      </c>
      <c r="CF29">
        <v>0</v>
      </c>
      <c r="CG29">
        <v>0</v>
      </c>
      <c r="CM29">
        <v>0</v>
      </c>
      <c r="CN29" t="s">
        <v>5</v>
      </c>
      <c r="CO29">
        <v>0</v>
      </c>
      <c r="CP29">
        <f>(P29+Q29+S29)</f>
        <v>39049.31</v>
      </c>
      <c r="CQ29">
        <f>ROUND((ROUND((AC29*AW29*1),2)*BC29),2)</f>
        <v>39049.31</v>
      </c>
      <c r="CR29">
        <f>(ROUND((ROUND(((ET29)*AV29*1),2)*BB29),2)+ROUND((ROUND(((AE29-(EU29))*AV29*1),2)*BS29),2))</f>
        <v>0</v>
      </c>
      <c r="CS29">
        <f>ROUND((ROUND((AE29*AV29*1),2)*BS29),2)</f>
        <v>0</v>
      </c>
      <c r="CT29">
        <f>ROUND((ROUND((AF29*AV29*1),2)*BA29),2)</f>
        <v>0</v>
      </c>
      <c r="CU29">
        <f>AG29</f>
        <v>0</v>
      </c>
      <c r="CV29">
        <f>(AH29*AV29)</f>
        <v>0</v>
      </c>
      <c r="CW29">
        <f>AI29</f>
        <v>0</v>
      </c>
      <c r="CX29">
        <f>AJ29</f>
        <v>0</v>
      </c>
      <c r="CY29">
        <f>S29*(BZ29/100)</f>
        <v>0</v>
      </c>
      <c r="CZ29">
        <f>S29*(CA29/100)</f>
        <v>0</v>
      </c>
      <c r="DC29" t="s">
        <v>5</v>
      </c>
      <c r="DD29" t="s">
        <v>5</v>
      </c>
      <c r="DE29" t="s">
        <v>5</v>
      </c>
      <c r="DF29" t="s">
        <v>5</v>
      </c>
      <c r="DG29" t="s">
        <v>5</v>
      </c>
      <c r="DH29" t="s">
        <v>5</v>
      </c>
      <c r="DI29" t="s">
        <v>5</v>
      </c>
      <c r="DJ29" t="s">
        <v>5</v>
      </c>
      <c r="DK29" t="s">
        <v>5</v>
      </c>
      <c r="DL29" t="s">
        <v>5</v>
      </c>
      <c r="DM29" t="s">
        <v>5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28</v>
      </c>
      <c r="DW29" t="s">
        <v>28</v>
      </c>
      <c r="DX29">
        <v>1</v>
      </c>
      <c r="EE29">
        <v>30507942</v>
      </c>
      <c r="EF29">
        <v>130</v>
      </c>
      <c r="EG29" t="s">
        <v>29</v>
      </c>
      <c r="EH29">
        <v>0</v>
      </c>
      <c r="EI29" t="s">
        <v>5</v>
      </c>
      <c r="EJ29">
        <v>3</v>
      </c>
      <c r="EK29">
        <v>746</v>
      </c>
      <c r="EL29" t="s">
        <v>30</v>
      </c>
      <c r="EM29" t="s">
        <v>31</v>
      </c>
      <c r="EO29" t="s">
        <v>5</v>
      </c>
      <c r="EQ29">
        <v>0</v>
      </c>
      <c r="ER29">
        <v>39358.000000000007</v>
      </c>
      <c r="ES29">
        <v>39049.310000000005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5</v>
      </c>
      <c r="FC29">
        <v>1</v>
      </c>
      <c r="FD29">
        <v>18</v>
      </c>
      <c r="FF29">
        <v>44954.879999999997</v>
      </c>
      <c r="FQ29">
        <v>0</v>
      </c>
      <c r="FR29">
        <f>ROUND(IF(AND(BH29=3,BI29=3),P29,0),2)</f>
        <v>39049.31</v>
      </c>
      <c r="FS29">
        <v>0</v>
      </c>
      <c r="FX29">
        <v>0</v>
      </c>
      <c r="FY29">
        <v>0</v>
      </c>
      <c r="GA29" t="s">
        <v>32</v>
      </c>
      <c r="GD29">
        <v>0</v>
      </c>
      <c r="GF29">
        <v>2146189594</v>
      </c>
      <c r="GG29">
        <v>2</v>
      </c>
      <c r="GH29">
        <v>3</v>
      </c>
      <c r="GI29">
        <v>-2</v>
      </c>
      <c r="GJ29">
        <v>0</v>
      </c>
      <c r="GK29">
        <f>ROUND(R29*(R12)/100,2)</f>
        <v>0</v>
      </c>
      <c r="GL29">
        <f>ROUND(IF(AND(BH29=3,BI29=3,FS29&lt;&gt;0),P29,0),2)</f>
        <v>0</v>
      </c>
      <c r="GM29">
        <f>ROUND(O29+X29+Y29+GK29,2)+GX29</f>
        <v>39049.31</v>
      </c>
      <c r="GN29">
        <f>IF(OR(BI29=0,BI29=1),ROUND(O29+X29+Y29+GK29,2),0)</f>
        <v>0</v>
      </c>
      <c r="GO29">
        <f>IF(BI29=2,ROUND(O29+X29+Y29+GK29,2),0)</f>
        <v>0</v>
      </c>
      <c r="GP29">
        <f>IF(BI29=4,ROUND(O29+X29+Y29+GK29,2)+GX29,0)</f>
        <v>0</v>
      </c>
      <c r="GR29">
        <v>1</v>
      </c>
      <c r="GS29">
        <v>1</v>
      </c>
      <c r="GT29">
        <v>0</v>
      </c>
      <c r="GU29" t="s">
        <v>5</v>
      </c>
      <c r="GV29">
        <f>ROUND((GT29),6)</f>
        <v>0</v>
      </c>
      <c r="GW29">
        <v>1</v>
      </c>
      <c r="GX29">
        <f>ROUND(HC29*I29,2)</f>
        <v>0</v>
      </c>
      <c r="HA29">
        <v>0</v>
      </c>
      <c r="HB29">
        <v>0</v>
      </c>
      <c r="HC29">
        <f>GV29*GW29</f>
        <v>0</v>
      </c>
      <c r="IK29">
        <v>0</v>
      </c>
    </row>
    <row r="30" spans="1:245" x14ac:dyDescent="0.2">
      <c r="A30">
        <v>19</v>
      </c>
      <c r="B30">
        <v>1</v>
      </c>
      <c r="F30" t="s">
        <v>5</v>
      </c>
      <c r="G30" t="s">
        <v>33</v>
      </c>
      <c r="H30" t="s">
        <v>5</v>
      </c>
      <c r="AA30">
        <v>1</v>
      </c>
      <c r="IK30">
        <v>0</v>
      </c>
    </row>
    <row r="31" spans="1:245" x14ac:dyDescent="0.2">
      <c r="A31">
        <v>17</v>
      </c>
      <c r="B31">
        <v>1</v>
      </c>
      <c r="C31">
        <f>ROW(SmtRes!A2)</f>
        <v>2</v>
      </c>
      <c r="D31">
        <f>ROW(EtalonRes!A2)</f>
        <v>2</v>
      </c>
      <c r="E31" t="s">
        <v>34</v>
      </c>
      <c r="F31" t="s">
        <v>35</v>
      </c>
      <c r="G31" t="s">
        <v>36</v>
      </c>
      <c r="H31" t="s">
        <v>18</v>
      </c>
      <c r="I31">
        <v>1</v>
      </c>
      <c r="J31">
        <v>0</v>
      </c>
      <c r="O31">
        <f>ROUND(CP31,2)</f>
        <v>407.06</v>
      </c>
      <c r="P31">
        <f>ROUND((ROUND((AC31*AW31*I31),2)*BC31),2)</f>
        <v>10.51</v>
      </c>
      <c r="Q31">
        <f>(ROUND((ROUND((((ET31*1.15))*AV31*I31),2)*BB31),2)+ROUND((ROUND(((AE31-((EU31*1.15)))*AV31*I31),2)*BS31),2))</f>
        <v>0.52</v>
      </c>
      <c r="R31">
        <f>ROUND((ROUND((AE31*AV31*I31),2)*BS31),2)</f>
        <v>0.21</v>
      </c>
      <c r="S31">
        <f>ROUND((ROUND((AF31*AV31*I31),2)*BA31),2)</f>
        <v>396.03</v>
      </c>
      <c r="T31">
        <f>ROUND(CU31*I31,2)</f>
        <v>0</v>
      </c>
      <c r="U31">
        <f>CV31*I31</f>
        <v>1.38</v>
      </c>
      <c r="V31">
        <f>CW31*I31</f>
        <v>0</v>
      </c>
      <c r="W31">
        <f>ROUND(CX31*I31,2)</f>
        <v>0</v>
      </c>
      <c r="X31">
        <f>ROUND(CY31,2)</f>
        <v>304.94</v>
      </c>
      <c r="Y31">
        <f>ROUND(CZ31,2)</f>
        <v>162.37</v>
      </c>
      <c r="AA31">
        <v>31330642</v>
      </c>
      <c r="AB31">
        <f>ROUND((AC31+AD31+AF31),6)</f>
        <v>20.498000000000001</v>
      </c>
      <c r="AC31">
        <f>ROUND((ES31),6)</f>
        <v>1.96</v>
      </c>
      <c r="AD31">
        <f>ROUND(((((ET31*1.15))-((EU31*1.15)))+AE31),6)</f>
        <v>5.7500000000000002E-2</v>
      </c>
      <c r="AE31">
        <f>ROUND(((EU31*1.15)),6)</f>
        <v>1.15E-2</v>
      </c>
      <c r="AF31">
        <f>ROUND(((EV31*1.15)),6)</f>
        <v>18.480499999999999</v>
      </c>
      <c r="AG31">
        <f>ROUND((AP31),6)</f>
        <v>0</v>
      </c>
      <c r="AH31">
        <f>((EW31*1.15))</f>
        <v>1.38</v>
      </c>
      <c r="AI31">
        <f>((EX31*1.15))</f>
        <v>0</v>
      </c>
      <c r="AJ31">
        <f>(AS31)</f>
        <v>0</v>
      </c>
      <c r="AK31">
        <v>18.079999999999998</v>
      </c>
      <c r="AL31">
        <v>1.96</v>
      </c>
      <c r="AM31">
        <v>0.05</v>
      </c>
      <c r="AN31">
        <v>0.01</v>
      </c>
      <c r="AO31">
        <v>16.07</v>
      </c>
      <c r="AP31">
        <v>0</v>
      </c>
      <c r="AQ31">
        <v>1.2</v>
      </c>
      <c r="AR31">
        <v>0</v>
      </c>
      <c r="AS31">
        <v>0</v>
      </c>
      <c r="AT31">
        <v>77</v>
      </c>
      <c r="AU31">
        <v>41</v>
      </c>
      <c r="AV31">
        <v>1</v>
      </c>
      <c r="AW31">
        <v>1</v>
      </c>
      <c r="AZ31">
        <v>1</v>
      </c>
      <c r="BA31">
        <v>21.43</v>
      </c>
      <c r="BB31">
        <v>8.6</v>
      </c>
      <c r="BC31">
        <v>5.36</v>
      </c>
      <c r="BD31" t="s">
        <v>5</v>
      </c>
      <c r="BE31" t="s">
        <v>5</v>
      </c>
      <c r="BF31" t="s">
        <v>5</v>
      </c>
      <c r="BG31" t="s">
        <v>5</v>
      </c>
      <c r="BH31">
        <v>0</v>
      </c>
      <c r="BI31">
        <v>2</v>
      </c>
      <c r="BJ31" t="s">
        <v>37</v>
      </c>
      <c r="BM31">
        <v>336</v>
      </c>
      <c r="BN31">
        <v>0</v>
      </c>
      <c r="BO31" t="s">
        <v>35</v>
      </c>
      <c r="BP31">
        <v>1</v>
      </c>
      <c r="BQ31">
        <v>40</v>
      </c>
      <c r="BR31">
        <v>0</v>
      </c>
      <c r="BS31">
        <v>21.43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5</v>
      </c>
      <c r="BZ31">
        <v>77</v>
      </c>
      <c r="CA31">
        <v>41</v>
      </c>
      <c r="CE31">
        <v>30</v>
      </c>
      <c r="CF31">
        <v>0</v>
      </c>
      <c r="CG31">
        <v>0</v>
      </c>
      <c r="CM31">
        <v>0</v>
      </c>
      <c r="CN31" t="s">
        <v>182</v>
      </c>
      <c r="CO31">
        <v>0</v>
      </c>
      <c r="CP31">
        <f>(P31+Q31+S31)</f>
        <v>407.05999999999995</v>
      </c>
      <c r="CQ31">
        <f>ROUND((ROUND((AC31*AW31*1),2)*BC31),2)</f>
        <v>10.51</v>
      </c>
      <c r="CR31">
        <f>(ROUND((ROUND((((ET31*1.15))*AV31*1),2)*BB31),2)+ROUND((ROUND(((AE31-((EU31*1.15)))*AV31*1),2)*BS31),2))</f>
        <v>0.52</v>
      </c>
      <c r="CS31">
        <f>ROUND((ROUND((AE31*AV31*1),2)*BS31),2)</f>
        <v>0.21</v>
      </c>
      <c r="CT31">
        <f>ROUND((ROUND((AF31*AV31*1),2)*BA31),2)</f>
        <v>396.03</v>
      </c>
      <c r="CU31">
        <f>AG31</f>
        <v>0</v>
      </c>
      <c r="CV31">
        <f>(AH31*AV31)</f>
        <v>1.38</v>
      </c>
      <c r="CW31">
        <f>AI31</f>
        <v>0</v>
      </c>
      <c r="CX31">
        <f>AJ31</f>
        <v>0</v>
      </c>
      <c r="CY31">
        <f>S31*(BZ31/100)</f>
        <v>304.94309999999996</v>
      </c>
      <c r="CZ31">
        <f>S31*(CA31/100)</f>
        <v>162.37229999999997</v>
      </c>
      <c r="DC31" t="s">
        <v>5</v>
      </c>
      <c r="DD31" t="s">
        <v>5</v>
      </c>
      <c r="DE31" t="s">
        <v>20</v>
      </c>
      <c r="DF31" t="s">
        <v>20</v>
      </c>
      <c r="DG31" t="s">
        <v>20</v>
      </c>
      <c r="DH31" t="s">
        <v>5</v>
      </c>
      <c r="DI31" t="s">
        <v>20</v>
      </c>
      <c r="DJ31" t="s">
        <v>20</v>
      </c>
      <c r="DK31" t="s">
        <v>5</v>
      </c>
      <c r="DL31" t="s">
        <v>5</v>
      </c>
      <c r="DM31" t="s">
        <v>5</v>
      </c>
      <c r="DN31">
        <v>114</v>
      </c>
      <c r="DO31">
        <v>67</v>
      </c>
      <c r="DP31">
        <v>1</v>
      </c>
      <c r="DQ31">
        <v>1</v>
      </c>
      <c r="DU31">
        <v>1013</v>
      </c>
      <c r="DV31" t="s">
        <v>18</v>
      </c>
      <c r="DW31" t="s">
        <v>18</v>
      </c>
      <c r="DX31">
        <v>1</v>
      </c>
      <c r="EE31">
        <v>30507532</v>
      </c>
      <c r="EF31">
        <v>40</v>
      </c>
      <c r="EG31" t="s">
        <v>21</v>
      </c>
      <c r="EH31">
        <v>0</v>
      </c>
      <c r="EI31" t="s">
        <v>5</v>
      </c>
      <c r="EJ31">
        <v>2</v>
      </c>
      <c r="EK31">
        <v>336</v>
      </c>
      <c r="EL31" t="s">
        <v>38</v>
      </c>
      <c r="EM31" t="s">
        <v>39</v>
      </c>
      <c r="EO31" t="s">
        <v>24</v>
      </c>
      <c r="EQ31">
        <v>512</v>
      </c>
      <c r="ER31">
        <v>18.079999999999998</v>
      </c>
      <c r="ES31">
        <v>1.96</v>
      </c>
      <c r="ET31">
        <v>0.05</v>
      </c>
      <c r="EU31">
        <v>0.01</v>
      </c>
      <c r="EV31">
        <v>16.07</v>
      </c>
      <c r="EW31">
        <v>1.2</v>
      </c>
      <c r="EX31">
        <v>0</v>
      </c>
      <c r="EY31">
        <v>0</v>
      </c>
      <c r="FQ31">
        <v>0</v>
      </c>
      <c r="FR31">
        <f>ROUND(IF(AND(BH31=3,BI31=3),P31,0),2)</f>
        <v>0</v>
      </c>
      <c r="FS31">
        <v>0</v>
      </c>
      <c r="FX31">
        <v>114</v>
      </c>
      <c r="FY31">
        <v>67</v>
      </c>
      <c r="GA31" t="s">
        <v>5</v>
      </c>
      <c r="GD31">
        <v>0</v>
      </c>
      <c r="GF31">
        <v>1026676790</v>
      </c>
      <c r="GG31">
        <v>2</v>
      </c>
      <c r="GH31">
        <v>1</v>
      </c>
      <c r="GI31">
        <v>2</v>
      </c>
      <c r="GJ31">
        <v>0</v>
      </c>
      <c r="GK31">
        <f>ROUND(R31*(R12)/100,2)</f>
        <v>0.33</v>
      </c>
      <c r="GL31">
        <f>ROUND(IF(AND(BH31=3,BI31=3,FS31&lt;&gt;0),P31,0),2)</f>
        <v>0</v>
      </c>
      <c r="GM31">
        <f>ROUND(O31+X31+Y31+GK31,2)+GX31</f>
        <v>874.7</v>
      </c>
      <c r="GN31">
        <f>IF(OR(BI31=0,BI31=1),ROUND(O31+X31+Y31+GK31,2),0)</f>
        <v>0</v>
      </c>
      <c r="GO31">
        <f>IF(BI31=2,ROUND(O31+X31+Y31+GK31,2),0)</f>
        <v>874.7</v>
      </c>
      <c r="GP31">
        <f>IF(BI31=4,ROUND(O31+X31+Y31+GK31,2)+GX31,0)</f>
        <v>0</v>
      </c>
      <c r="GR31">
        <v>0</v>
      </c>
      <c r="GS31">
        <v>3</v>
      </c>
      <c r="GT31">
        <v>0</v>
      </c>
      <c r="GU31" t="s">
        <v>5</v>
      </c>
      <c r="GV31">
        <f>ROUND((GT31),6)</f>
        <v>0</v>
      </c>
      <c r="GW31">
        <v>1</v>
      </c>
      <c r="GX31">
        <f>ROUND(HC31*I31,2)</f>
        <v>0</v>
      </c>
      <c r="HA31">
        <v>0</v>
      </c>
      <c r="HB31">
        <v>0</v>
      </c>
      <c r="HC31">
        <f>GV31*GW31</f>
        <v>0</v>
      </c>
      <c r="IK31">
        <v>0</v>
      </c>
    </row>
    <row r="32" spans="1:245" x14ac:dyDescent="0.2">
      <c r="A32">
        <v>19</v>
      </c>
      <c r="B32">
        <v>1</v>
      </c>
      <c r="F32" t="s">
        <v>5</v>
      </c>
      <c r="G32" t="s">
        <v>40</v>
      </c>
      <c r="H32" t="s">
        <v>5</v>
      </c>
      <c r="AA32">
        <v>1</v>
      </c>
      <c r="IK32">
        <v>0</v>
      </c>
    </row>
    <row r="33" spans="1:245" x14ac:dyDescent="0.2">
      <c r="A33">
        <v>17</v>
      </c>
      <c r="B33">
        <v>1</v>
      </c>
      <c r="C33">
        <f>ROW(SmtRes!A3)</f>
        <v>3</v>
      </c>
      <c r="D33">
        <f>ROW(EtalonRes!A3)</f>
        <v>3</v>
      </c>
      <c r="E33" t="s">
        <v>41</v>
      </c>
      <c r="F33" t="s">
        <v>42</v>
      </c>
      <c r="G33" t="s">
        <v>43</v>
      </c>
      <c r="H33" t="s">
        <v>18</v>
      </c>
      <c r="I33">
        <v>1</v>
      </c>
      <c r="J33">
        <v>0</v>
      </c>
      <c r="O33">
        <f t="shared" ref="O33:O43" si="21">ROUND(CP33,2)</f>
        <v>1642.3</v>
      </c>
      <c r="P33">
        <f t="shared" ref="P33:P43" si="22">ROUND((ROUND((AC33*AW33*I33),2)*BC33),2)</f>
        <v>371.07</v>
      </c>
      <c r="Q33">
        <f>(ROUND((ROUND((((ET33*1.15))*AV33*I33),2)*BB33),2)+ROUND((ROUND(((AE33-((EU33*1.15)))*AV33*I33),2)*BS33),2))</f>
        <v>43.72</v>
      </c>
      <c r="R33">
        <f t="shared" ref="R33:R43" si="23">ROUND((ROUND((AE33*AV33*I33),2)*BS33),2)</f>
        <v>12.64</v>
      </c>
      <c r="S33">
        <f t="shared" ref="S33:S43" si="24">ROUND((ROUND((AF33*AV33*I33),2)*BA33),2)</f>
        <v>1227.51</v>
      </c>
      <c r="T33">
        <f t="shared" ref="T33:T43" si="25">ROUND(CU33*I33,2)</f>
        <v>0</v>
      </c>
      <c r="U33">
        <f t="shared" ref="U33:U43" si="26">CV33*I33</f>
        <v>4.6459999999999999</v>
      </c>
      <c r="V33">
        <f t="shared" ref="V33:V43" si="27">CW33*I33</f>
        <v>0</v>
      </c>
      <c r="W33">
        <f t="shared" ref="W33:W43" si="28">ROUND(CX33*I33,2)</f>
        <v>0</v>
      </c>
      <c r="X33">
        <f t="shared" ref="X33:X43" si="29">ROUND(CY33,2)</f>
        <v>945.18</v>
      </c>
      <c r="Y33">
        <f t="shared" ref="Y33:Y43" si="30">ROUND(CZ33,2)</f>
        <v>503.28</v>
      </c>
      <c r="AA33">
        <v>31330642</v>
      </c>
      <c r="AB33">
        <f t="shared" ref="AB33:AB43" si="31">ROUND((AC33+AD33+AF33),6)</f>
        <v>132.94</v>
      </c>
      <c r="AC33">
        <f t="shared" ref="AC33:AC43" si="32">ROUND((ES33),6)</f>
        <v>69.23</v>
      </c>
      <c r="AD33">
        <f>ROUND(((((ET33*1.15))-((EU33*1.15)))+AE33),6)</f>
        <v>6.4284999999999997</v>
      </c>
      <c r="AE33">
        <f>ROUND(((EU33*1.15)),6)</f>
        <v>0.58650000000000002</v>
      </c>
      <c r="AF33">
        <f>ROUND(((EV33*1.15)),6)</f>
        <v>57.281500000000001</v>
      </c>
      <c r="AG33">
        <f t="shared" ref="AG33:AG43" si="33">ROUND((AP33),6)</f>
        <v>0</v>
      </c>
      <c r="AH33">
        <f>((EW33*1.15))</f>
        <v>4.6459999999999999</v>
      </c>
      <c r="AI33">
        <f>((EX33*1.15))</f>
        <v>0</v>
      </c>
      <c r="AJ33">
        <f t="shared" ref="AJ33:AJ43" si="34">(AS33)</f>
        <v>0</v>
      </c>
      <c r="AK33">
        <v>124.63</v>
      </c>
      <c r="AL33">
        <v>69.23</v>
      </c>
      <c r="AM33">
        <v>5.59</v>
      </c>
      <c r="AN33">
        <v>0.51</v>
      </c>
      <c r="AO33">
        <v>49.81</v>
      </c>
      <c r="AP33">
        <v>0</v>
      </c>
      <c r="AQ33">
        <v>4.04</v>
      </c>
      <c r="AR33">
        <v>0</v>
      </c>
      <c r="AS33">
        <v>0</v>
      </c>
      <c r="AT33">
        <v>77</v>
      </c>
      <c r="AU33">
        <v>41</v>
      </c>
      <c r="AV33">
        <v>1</v>
      </c>
      <c r="AW33">
        <v>1</v>
      </c>
      <c r="AZ33">
        <v>1</v>
      </c>
      <c r="BA33">
        <v>21.43</v>
      </c>
      <c r="BB33">
        <v>6.8</v>
      </c>
      <c r="BC33">
        <v>5.36</v>
      </c>
      <c r="BD33" t="s">
        <v>5</v>
      </c>
      <c r="BE33" t="s">
        <v>5</v>
      </c>
      <c r="BF33" t="s">
        <v>5</v>
      </c>
      <c r="BG33" t="s">
        <v>5</v>
      </c>
      <c r="BH33">
        <v>0</v>
      </c>
      <c r="BI33">
        <v>2</v>
      </c>
      <c r="BJ33" t="s">
        <v>44</v>
      </c>
      <c r="BM33">
        <v>333</v>
      </c>
      <c r="BN33">
        <v>0</v>
      </c>
      <c r="BO33" t="s">
        <v>42</v>
      </c>
      <c r="BP33">
        <v>1</v>
      </c>
      <c r="BQ33">
        <v>40</v>
      </c>
      <c r="BR33">
        <v>0</v>
      </c>
      <c r="BS33">
        <v>21.43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5</v>
      </c>
      <c r="BZ33">
        <v>77</v>
      </c>
      <c r="CA33">
        <v>41</v>
      </c>
      <c r="CE33">
        <v>30</v>
      </c>
      <c r="CF33">
        <v>0</v>
      </c>
      <c r="CG33">
        <v>0</v>
      </c>
      <c r="CM33">
        <v>0</v>
      </c>
      <c r="CN33" t="s">
        <v>182</v>
      </c>
      <c r="CO33">
        <v>0</v>
      </c>
      <c r="CP33">
        <f t="shared" ref="CP33:CP43" si="35">(P33+Q33+S33)</f>
        <v>1642.3</v>
      </c>
      <c r="CQ33">
        <f t="shared" ref="CQ33:CQ43" si="36">ROUND((ROUND((AC33*AW33*1),2)*BC33),2)</f>
        <v>371.07</v>
      </c>
      <c r="CR33">
        <f>(ROUND((ROUND((((ET33*1.15))*AV33*1),2)*BB33),2)+ROUND((ROUND(((AE33-((EU33*1.15)))*AV33*1),2)*BS33),2))</f>
        <v>43.72</v>
      </c>
      <c r="CS33">
        <f t="shared" ref="CS33:CS43" si="37">ROUND((ROUND((AE33*AV33*1),2)*BS33),2)</f>
        <v>12.64</v>
      </c>
      <c r="CT33">
        <f t="shared" ref="CT33:CT43" si="38">ROUND((ROUND((AF33*AV33*1),2)*BA33),2)</f>
        <v>1227.51</v>
      </c>
      <c r="CU33">
        <f t="shared" ref="CU33:CU43" si="39">AG33</f>
        <v>0</v>
      </c>
      <c r="CV33">
        <f t="shared" ref="CV33:CV43" si="40">(AH33*AV33)</f>
        <v>4.6459999999999999</v>
      </c>
      <c r="CW33">
        <f t="shared" ref="CW33:CW43" si="41">AI33</f>
        <v>0</v>
      </c>
      <c r="CX33">
        <f t="shared" ref="CX33:CX43" si="42">AJ33</f>
        <v>0</v>
      </c>
      <c r="CY33">
        <f t="shared" ref="CY33:CY43" si="43">S33*(BZ33/100)</f>
        <v>945.18270000000007</v>
      </c>
      <c r="CZ33">
        <f t="shared" ref="CZ33:CZ43" si="44">S33*(CA33/100)</f>
        <v>503.27909999999997</v>
      </c>
      <c r="DC33" t="s">
        <v>5</v>
      </c>
      <c r="DD33" t="s">
        <v>5</v>
      </c>
      <c r="DE33" t="s">
        <v>20</v>
      </c>
      <c r="DF33" t="s">
        <v>20</v>
      </c>
      <c r="DG33" t="s">
        <v>20</v>
      </c>
      <c r="DH33" t="s">
        <v>5</v>
      </c>
      <c r="DI33" t="s">
        <v>20</v>
      </c>
      <c r="DJ33" t="s">
        <v>20</v>
      </c>
      <c r="DK33" t="s">
        <v>5</v>
      </c>
      <c r="DL33" t="s">
        <v>5</v>
      </c>
      <c r="DM33" t="s">
        <v>5</v>
      </c>
      <c r="DN33">
        <v>114</v>
      </c>
      <c r="DO33">
        <v>67</v>
      </c>
      <c r="DP33">
        <v>1</v>
      </c>
      <c r="DQ33">
        <v>1</v>
      </c>
      <c r="DU33">
        <v>1013</v>
      </c>
      <c r="DV33" t="s">
        <v>18</v>
      </c>
      <c r="DW33" t="s">
        <v>18</v>
      </c>
      <c r="DX33">
        <v>1</v>
      </c>
      <c r="EE33">
        <v>30507529</v>
      </c>
      <c r="EF33">
        <v>40</v>
      </c>
      <c r="EG33" t="s">
        <v>21</v>
      </c>
      <c r="EH33">
        <v>0</v>
      </c>
      <c r="EI33" t="s">
        <v>5</v>
      </c>
      <c r="EJ33">
        <v>2</v>
      </c>
      <c r="EK33">
        <v>333</v>
      </c>
      <c r="EL33" t="s">
        <v>22</v>
      </c>
      <c r="EM33" t="s">
        <v>23</v>
      </c>
      <c r="EO33" t="s">
        <v>24</v>
      </c>
      <c r="EQ33">
        <v>512</v>
      </c>
      <c r="ER33">
        <v>124.63</v>
      </c>
      <c r="ES33">
        <v>69.23</v>
      </c>
      <c r="ET33">
        <v>5.59</v>
      </c>
      <c r="EU33">
        <v>0.51</v>
      </c>
      <c r="EV33">
        <v>49.81</v>
      </c>
      <c r="EW33">
        <v>4.04</v>
      </c>
      <c r="EX33">
        <v>0</v>
      </c>
      <c r="EY33">
        <v>0</v>
      </c>
      <c r="FQ33">
        <v>0</v>
      </c>
      <c r="FR33">
        <f t="shared" ref="FR33:FR43" si="45">ROUND(IF(AND(BH33=3,BI33=3),P33,0),2)</f>
        <v>0</v>
      </c>
      <c r="FS33">
        <v>0</v>
      </c>
      <c r="FX33">
        <v>114</v>
      </c>
      <c r="FY33">
        <v>67</v>
      </c>
      <c r="GA33" t="s">
        <v>5</v>
      </c>
      <c r="GD33">
        <v>0</v>
      </c>
      <c r="GF33">
        <v>-1467683658</v>
      </c>
      <c r="GG33">
        <v>2</v>
      </c>
      <c r="GH33">
        <v>1</v>
      </c>
      <c r="GI33">
        <v>2</v>
      </c>
      <c r="GJ33">
        <v>0</v>
      </c>
      <c r="GK33">
        <f>ROUND(R33*(R12)/100,2)</f>
        <v>19.84</v>
      </c>
      <c r="GL33">
        <f t="shared" ref="GL33:GL43" si="46">ROUND(IF(AND(BH33=3,BI33=3,FS33&lt;&gt;0),P33,0),2)</f>
        <v>0</v>
      </c>
      <c r="GM33">
        <f t="shared" ref="GM33:GM43" si="47">ROUND(O33+X33+Y33+GK33,2)+GX33</f>
        <v>3110.6</v>
      </c>
      <c r="GN33">
        <f t="shared" ref="GN33:GN43" si="48">IF(OR(BI33=0,BI33=1),ROUND(O33+X33+Y33+GK33,2),0)</f>
        <v>0</v>
      </c>
      <c r="GO33">
        <f t="shared" ref="GO33:GO43" si="49">IF(BI33=2,ROUND(O33+X33+Y33+GK33,2),0)</f>
        <v>3110.6</v>
      </c>
      <c r="GP33">
        <f t="shared" ref="GP33:GP43" si="50">IF(BI33=4,ROUND(O33+X33+Y33+GK33,2)+GX33,0)</f>
        <v>0</v>
      </c>
      <c r="GR33">
        <v>0</v>
      </c>
      <c r="GS33">
        <v>3</v>
      </c>
      <c r="GT33">
        <v>0</v>
      </c>
      <c r="GU33" t="s">
        <v>5</v>
      </c>
      <c r="GV33">
        <f t="shared" ref="GV33:GV43" si="51">ROUND((GT33),6)</f>
        <v>0</v>
      </c>
      <c r="GW33">
        <v>1</v>
      </c>
      <c r="GX33">
        <f t="shared" ref="GX33:GX43" si="52">ROUND(HC33*I33,2)</f>
        <v>0</v>
      </c>
      <c r="HA33">
        <v>0</v>
      </c>
      <c r="HB33">
        <v>0</v>
      </c>
      <c r="HC33">
        <f t="shared" ref="HC33:HC43" si="53">GV33*GW33</f>
        <v>0</v>
      </c>
      <c r="IK33">
        <v>0</v>
      </c>
    </row>
    <row r="34" spans="1:245" x14ac:dyDescent="0.2">
      <c r="A34">
        <v>17</v>
      </c>
      <c r="B34">
        <v>1</v>
      </c>
      <c r="E34" t="s">
        <v>45</v>
      </c>
      <c r="F34" t="s">
        <v>26</v>
      </c>
      <c r="G34" t="s">
        <v>46</v>
      </c>
      <c r="H34" t="s">
        <v>28</v>
      </c>
      <c r="I34">
        <v>1</v>
      </c>
      <c r="J34">
        <v>0</v>
      </c>
      <c r="O34">
        <f t="shared" si="21"/>
        <v>12335.29</v>
      </c>
      <c r="P34">
        <f t="shared" si="22"/>
        <v>12335.29</v>
      </c>
      <c r="Q34">
        <f>(ROUND((ROUND(((ET34)*AV34*I34),2)*BB34),2)+ROUND((ROUND(((AE34-(EU34))*AV34*I34),2)*BS34),2))</f>
        <v>0</v>
      </c>
      <c r="R34">
        <f t="shared" si="23"/>
        <v>0</v>
      </c>
      <c r="S34">
        <f t="shared" si="24"/>
        <v>0</v>
      </c>
      <c r="T34">
        <f t="shared" si="25"/>
        <v>0</v>
      </c>
      <c r="U34">
        <f t="shared" si="26"/>
        <v>0</v>
      </c>
      <c r="V34">
        <f t="shared" si="27"/>
        <v>0</v>
      </c>
      <c r="W34">
        <f t="shared" si="28"/>
        <v>0</v>
      </c>
      <c r="X34">
        <f t="shared" si="29"/>
        <v>0</v>
      </c>
      <c r="Y34">
        <f t="shared" si="30"/>
        <v>0</v>
      </c>
      <c r="AA34">
        <v>31330642</v>
      </c>
      <c r="AB34">
        <f t="shared" si="31"/>
        <v>12335.29</v>
      </c>
      <c r="AC34">
        <f t="shared" si="32"/>
        <v>12335.29</v>
      </c>
      <c r="AD34">
        <f>ROUND((((ET34)-(EU34))+AE34),6)</f>
        <v>0</v>
      </c>
      <c r="AE34">
        <f t="shared" ref="AE34:AF37" si="54">ROUND((EU34),6)</f>
        <v>0</v>
      </c>
      <c r="AF34">
        <f t="shared" si="54"/>
        <v>0</v>
      </c>
      <c r="AG34">
        <f t="shared" si="33"/>
        <v>0</v>
      </c>
      <c r="AH34">
        <f t="shared" ref="AH34:AI37" si="55">(EW34)</f>
        <v>0</v>
      </c>
      <c r="AI34">
        <f t="shared" si="55"/>
        <v>0</v>
      </c>
      <c r="AJ34">
        <f t="shared" si="34"/>
        <v>0</v>
      </c>
      <c r="AK34">
        <v>12335.29</v>
      </c>
      <c r="AL34">
        <v>12335.29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5</v>
      </c>
      <c r="BE34" t="s">
        <v>5</v>
      </c>
      <c r="BF34" t="s">
        <v>5</v>
      </c>
      <c r="BG34" t="s">
        <v>5</v>
      </c>
      <c r="BH34">
        <v>3</v>
      </c>
      <c r="BI34">
        <v>3</v>
      </c>
      <c r="BJ34" t="s">
        <v>5</v>
      </c>
      <c r="BM34">
        <v>746</v>
      </c>
      <c r="BN34">
        <v>0</v>
      </c>
      <c r="BO34" t="s">
        <v>5</v>
      </c>
      <c r="BP34">
        <v>0</v>
      </c>
      <c r="BQ34">
        <v>130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5</v>
      </c>
      <c r="BZ34">
        <v>0</v>
      </c>
      <c r="CA34">
        <v>0</v>
      </c>
      <c r="CE34">
        <v>30</v>
      </c>
      <c r="CF34">
        <v>0</v>
      </c>
      <c r="CG34">
        <v>0</v>
      </c>
      <c r="CM34">
        <v>0</v>
      </c>
      <c r="CN34" t="s">
        <v>5</v>
      </c>
      <c r="CO34">
        <v>0</v>
      </c>
      <c r="CP34">
        <f t="shared" si="35"/>
        <v>12335.29</v>
      </c>
      <c r="CQ34">
        <f t="shared" si="36"/>
        <v>12335.29</v>
      </c>
      <c r="CR34">
        <f>(ROUND((ROUND(((ET34)*AV34*1),2)*BB34),2)+ROUND((ROUND(((AE34-(EU34))*AV34*1),2)*BS34),2))</f>
        <v>0</v>
      </c>
      <c r="CS34">
        <f t="shared" si="37"/>
        <v>0</v>
      </c>
      <c r="CT34">
        <f t="shared" si="38"/>
        <v>0</v>
      </c>
      <c r="CU34">
        <f t="shared" si="39"/>
        <v>0</v>
      </c>
      <c r="CV34">
        <f t="shared" si="40"/>
        <v>0</v>
      </c>
      <c r="CW34">
        <f t="shared" si="41"/>
        <v>0</v>
      </c>
      <c r="CX34">
        <f t="shared" si="42"/>
        <v>0</v>
      </c>
      <c r="CY34">
        <f t="shared" si="43"/>
        <v>0</v>
      </c>
      <c r="CZ34">
        <f t="shared" si="44"/>
        <v>0</v>
      </c>
      <c r="DC34" t="s">
        <v>5</v>
      </c>
      <c r="DD34" t="s">
        <v>5</v>
      </c>
      <c r="DE34" t="s">
        <v>5</v>
      </c>
      <c r="DF34" t="s">
        <v>5</v>
      </c>
      <c r="DG34" t="s">
        <v>5</v>
      </c>
      <c r="DH34" t="s">
        <v>5</v>
      </c>
      <c r="DI34" t="s">
        <v>5</v>
      </c>
      <c r="DJ34" t="s">
        <v>5</v>
      </c>
      <c r="DK34" t="s">
        <v>5</v>
      </c>
      <c r="DL34" t="s">
        <v>5</v>
      </c>
      <c r="DM34" t="s">
        <v>5</v>
      </c>
      <c r="DN34">
        <v>0</v>
      </c>
      <c r="DO34">
        <v>0</v>
      </c>
      <c r="DP34">
        <v>1</v>
      </c>
      <c r="DQ34">
        <v>1</v>
      </c>
      <c r="DU34">
        <v>1013</v>
      </c>
      <c r="DV34" t="s">
        <v>28</v>
      </c>
      <c r="DW34" t="s">
        <v>28</v>
      </c>
      <c r="DX34">
        <v>1</v>
      </c>
      <c r="EE34">
        <v>30507942</v>
      </c>
      <c r="EF34">
        <v>130</v>
      </c>
      <c r="EG34" t="s">
        <v>29</v>
      </c>
      <c r="EH34">
        <v>0</v>
      </c>
      <c r="EI34" t="s">
        <v>5</v>
      </c>
      <c r="EJ34">
        <v>3</v>
      </c>
      <c r="EK34">
        <v>746</v>
      </c>
      <c r="EL34" t="s">
        <v>30</v>
      </c>
      <c r="EM34" t="s">
        <v>31</v>
      </c>
      <c r="EO34" t="s">
        <v>5</v>
      </c>
      <c r="EQ34">
        <v>0</v>
      </c>
      <c r="ER34">
        <v>12432.800000000001</v>
      </c>
      <c r="ES34">
        <v>12335.29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5</v>
      </c>
      <c r="FC34">
        <v>1</v>
      </c>
      <c r="FD34">
        <v>18</v>
      </c>
      <c r="FF34">
        <v>14200.8</v>
      </c>
      <c r="FQ34">
        <v>0</v>
      </c>
      <c r="FR34">
        <f t="shared" si="45"/>
        <v>12335.29</v>
      </c>
      <c r="FS34">
        <v>0</v>
      </c>
      <c r="FX34">
        <v>0</v>
      </c>
      <c r="FY34">
        <v>0</v>
      </c>
      <c r="GA34" t="s">
        <v>47</v>
      </c>
      <c r="GD34">
        <v>0</v>
      </c>
      <c r="GF34">
        <v>-1662823159</v>
      </c>
      <c r="GG34">
        <v>2</v>
      </c>
      <c r="GH34">
        <v>3</v>
      </c>
      <c r="GI34">
        <v>-2</v>
      </c>
      <c r="GJ34">
        <v>0</v>
      </c>
      <c r="GK34">
        <f>ROUND(R34*(R12)/100,2)</f>
        <v>0</v>
      </c>
      <c r="GL34">
        <f t="shared" si="46"/>
        <v>0</v>
      </c>
      <c r="GM34">
        <f t="shared" si="47"/>
        <v>12335.29</v>
      </c>
      <c r="GN34">
        <f t="shared" si="48"/>
        <v>0</v>
      </c>
      <c r="GO34">
        <f t="shared" si="49"/>
        <v>0</v>
      </c>
      <c r="GP34">
        <f t="shared" si="50"/>
        <v>0</v>
      </c>
      <c r="GR34">
        <v>1</v>
      </c>
      <c r="GS34">
        <v>1</v>
      </c>
      <c r="GT34">
        <v>0</v>
      </c>
      <c r="GU34" t="s">
        <v>5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IK34">
        <v>0</v>
      </c>
    </row>
    <row r="35" spans="1:245" x14ac:dyDescent="0.2">
      <c r="A35">
        <v>17</v>
      </c>
      <c r="B35">
        <v>1</v>
      </c>
      <c r="C35">
        <f>ROW(SmtRes!A5)</f>
        <v>5</v>
      </c>
      <c r="D35">
        <f>ROW(EtalonRes!A5)</f>
        <v>5</v>
      </c>
      <c r="E35" t="s">
        <v>5</v>
      </c>
      <c r="F35" t="s">
        <v>48</v>
      </c>
      <c r="G35" t="s">
        <v>49</v>
      </c>
      <c r="H35" t="s">
        <v>18</v>
      </c>
      <c r="I35">
        <v>1</v>
      </c>
      <c r="J35">
        <v>0</v>
      </c>
      <c r="O35">
        <f t="shared" si="21"/>
        <v>3189.7</v>
      </c>
      <c r="P35">
        <f t="shared" si="22"/>
        <v>27.39</v>
      </c>
      <c r="Q35">
        <f>(ROUND((ROUND(((ET35)*AV35*I35),2)*BB35),2)+ROUND((ROUND(((AE35-(EU35))*AV35*I35),2)*BS35),2))</f>
        <v>264.55</v>
      </c>
      <c r="R35">
        <f t="shared" si="23"/>
        <v>144.87</v>
      </c>
      <c r="S35">
        <f t="shared" si="24"/>
        <v>2897.76</v>
      </c>
      <c r="T35">
        <f t="shared" si="25"/>
        <v>0</v>
      </c>
      <c r="U35">
        <f t="shared" si="26"/>
        <v>9.3000000000000007</v>
      </c>
      <c r="V35">
        <f t="shared" si="27"/>
        <v>0</v>
      </c>
      <c r="W35">
        <f t="shared" si="28"/>
        <v>0</v>
      </c>
      <c r="X35">
        <f t="shared" si="29"/>
        <v>2231.2800000000002</v>
      </c>
      <c r="Y35">
        <f t="shared" si="30"/>
        <v>1188.08</v>
      </c>
      <c r="AA35">
        <v>-1</v>
      </c>
      <c r="AB35">
        <f t="shared" si="31"/>
        <v>169.53</v>
      </c>
      <c r="AC35">
        <f t="shared" si="32"/>
        <v>5.1100000000000003</v>
      </c>
      <c r="AD35">
        <f>ROUND((((ET35)-(EU35))+AE35),6)</f>
        <v>29.2</v>
      </c>
      <c r="AE35">
        <f t="shared" si="54"/>
        <v>6.76</v>
      </c>
      <c r="AF35">
        <f t="shared" si="54"/>
        <v>135.22</v>
      </c>
      <c r="AG35">
        <f t="shared" si="33"/>
        <v>0</v>
      </c>
      <c r="AH35">
        <f t="shared" si="55"/>
        <v>9.3000000000000007</v>
      </c>
      <c r="AI35">
        <f t="shared" si="55"/>
        <v>0</v>
      </c>
      <c r="AJ35">
        <f t="shared" si="34"/>
        <v>0</v>
      </c>
      <c r="AK35">
        <v>169.53</v>
      </c>
      <c r="AL35">
        <v>5.1100000000000003</v>
      </c>
      <c r="AM35">
        <v>29.2</v>
      </c>
      <c r="AN35">
        <v>6.76</v>
      </c>
      <c r="AO35">
        <v>135.22</v>
      </c>
      <c r="AP35">
        <v>0</v>
      </c>
      <c r="AQ35">
        <v>9.3000000000000007</v>
      </c>
      <c r="AR35">
        <v>0</v>
      </c>
      <c r="AS35">
        <v>0</v>
      </c>
      <c r="AT35">
        <v>77</v>
      </c>
      <c r="AU35">
        <v>41</v>
      </c>
      <c r="AV35">
        <v>1</v>
      </c>
      <c r="AW35">
        <v>1</v>
      </c>
      <c r="AZ35">
        <v>1</v>
      </c>
      <c r="BA35">
        <v>21.43</v>
      </c>
      <c r="BB35">
        <v>9.06</v>
      </c>
      <c r="BC35">
        <v>5.36</v>
      </c>
      <c r="BD35" t="s">
        <v>5</v>
      </c>
      <c r="BE35" t="s">
        <v>5</v>
      </c>
      <c r="BF35" t="s">
        <v>5</v>
      </c>
      <c r="BG35" t="s">
        <v>5</v>
      </c>
      <c r="BH35">
        <v>0</v>
      </c>
      <c r="BI35">
        <v>2</v>
      </c>
      <c r="BJ35" t="s">
        <v>50</v>
      </c>
      <c r="BM35">
        <v>336</v>
      </c>
      <c r="BN35">
        <v>0</v>
      </c>
      <c r="BO35" t="s">
        <v>48</v>
      </c>
      <c r="BP35">
        <v>1</v>
      </c>
      <c r="BQ35">
        <v>40</v>
      </c>
      <c r="BR35">
        <v>0</v>
      </c>
      <c r="BS35">
        <v>21.43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5</v>
      </c>
      <c r="BZ35">
        <v>77</v>
      </c>
      <c r="CA35">
        <v>41</v>
      </c>
      <c r="CE35">
        <v>30</v>
      </c>
      <c r="CF35">
        <v>0</v>
      </c>
      <c r="CG35">
        <v>0</v>
      </c>
      <c r="CM35">
        <v>0</v>
      </c>
      <c r="CN35" t="s">
        <v>5</v>
      </c>
      <c r="CO35">
        <v>0</v>
      </c>
      <c r="CP35">
        <f t="shared" si="35"/>
        <v>3189.7000000000003</v>
      </c>
      <c r="CQ35">
        <f t="shared" si="36"/>
        <v>27.39</v>
      </c>
      <c r="CR35">
        <f>(ROUND((ROUND(((ET35)*AV35*1),2)*BB35),2)+ROUND((ROUND(((AE35-(EU35))*AV35*1),2)*BS35),2))</f>
        <v>264.55</v>
      </c>
      <c r="CS35">
        <f t="shared" si="37"/>
        <v>144.87</v>
      </c>
      <c r="CT35">
        <f t="shared" si="38"/>
        <v>2897.76</v>
      </c>
      <c r="CU35">
        <f t="shared" si="39"/>
        <v>0</v>
      </c>
      <c r="CV35">
        <f t="shared" si="40"/>
        <v>9.3000000000000007</v>
      </c>
      <c r="CW35">
        <f t="shared" si="41"/>
        <v>0</v>
      </c>
      <c r="CX35">
        <f t="shared" si="42"/>
        <v>0</v>
      </c>
      <c r="CY35">
        <f t="shared" si="43"/>
        <v>2231.2752</v>
      </c>
      <c r="CZ35">
        <f t="shared" si="44"/>
        <v>1188.0816</v>
      </c>
      <c r="DC35" t="s">
        <v>5</v>
      </c>
      <c r="DD35" t="s">
        <v>5</v>
      </c>
      <c r="DE35" t="s">
        <v>5</v>
      </c>
      <c r="DF35" t="s">
        <v>5</v>
      </c>
      <c r="DG35" t="s">
        <v>5</v>
      </c>
      <c r="DH35" t="s">
        <v>5</v>
      </c>
      <c r="DI35" t="s">
        <v>5</v>
      </c>
      <c r="DJ35" t="s">
        <v>5</v>
      </c>
      <c r="DK35" t="s">
        <v>5</v>
      </c>
      <c r="DL35" t="s">
        <v>5</v>
      </c>
      <c r="DM35" t="s">
        <v>5</v>
      </c>
      <c r="DN35">
        <v>114</v>
      </c>
      <c r="DO35">
        <v>67</v>
      </c>
      <c r="DP35">
        <v>1</v>
      </c>
      <c r="DQ35">
        <v>1</v>
      </c>
      <c r="DU35">
        <v>1013</v>
      </c>
      <c r="DV35" t="s">
        <v>18</v>
      </c>
      <c r="DW35" t="s">
        <v>18</v>
      </c>
      <c r="DX35">
        <v>1</v>
      </c>
      <c r="EE35">
        <v>30507532</v>
      </c>
      <c r="EF35">
        <v>40</v>
      </c>
      <c r="EG35" t="s">
        <v>21</v>
      </c>
      <c r="EH35">
        <v>0</v>
      </c>
      <c r="EI35" t="s">
        <v>5</v>
      </c>
      <c r="EJ35">
        <v>2</v>
      </c>
      <c r="EK35">
        <v>336</v>
      </c>
      <c r="EL35" t="s">
        <v>38</v>
      </c>
      <c r="EM35" t="s">
        <v>39</v>
      </c>
      <c r="EO35" t="s">
        <v>5</v>
      </c>
      <c r="EQ35">
        <v>1024</v>
      </c>
      <c r="ER35">
        <v>169.53</v>
      </c>
      <c r="ES35">
        <v>5.1100000000000003</v>
      </c>
      <c r="ET35">
        <v>29.2</v>
      </c>
      <c r="EU35">
        <v>6.76</v>
      </c>
      <c r="EV35">
        <v>135.22</v>
      </c>
      <c r="EW35">
        <v>9.3000000000000007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114</v>
      </c>
      <c r="FY35">
        <v>67</v>
      </c>
      <c r="GA35" t="s">
        <v>5</v>
      </c>
      <c r="GD35">
        <v>0</v>
      </c>
      <c r="GF35">
        <v>1307608644</v>
      </c>
      <c r="GG35">
        <v>2</v>
      </c>
      <c r="GH35">
        <v>1</v>
      </c>
      <c r="GI35">
        <v>2</v>
      </c>
      <c r="GJ35">
        <v>0</v>
      </c>
      <c r="GK35">
        <f>ROUND(R35*(R12)/100,2)</f>
        <v>227.45</v>
      </c>
      <c r="GL35">
        <f t="shared" si="46"/>
        <v>0</v>
      </c>
      <c r="GM35">
        <f t="shared" si="47"/>
        <v>6836.51</v>
      </c>
      <c r="GN35">
        <f t="shared" si="48"/>
        <v>0</v>
      </c>
      <c r="GO35">
        <f t="shared" si="49"/>
        <v>6836.51</v>
      </c>
      <c r="GP35">
        <f t="shared" si="50"/>
        <v>0</v>
      </c>
      <c r="GR35">
        <v>0</v>
      </c>
      <c r="GS35">
        <v>3</v>
      </c>
      <c r="GT35">
        <v>0</v>
      </c>
      <c r="GU35" t="s">
        <v>5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IK35">
        <v>0</v>
      </c>
    </row>
    <row r="36" spans="1:245" x14ac:dyDescent="0.2">
      <c r="A36">
        <v>17</v>
      </c>
      <c r="B36">
        <v>1</v>
      </c>
      <c r="C36">
        <f>ROW(SmtRes!A6)</f>
        <v>6</v>
      </c>
      <c r="D36">
        <f>ROW(EtalonRes!A6)</f>
        <v>6</v>
      </c>
      <c r="E36" t="s">
        <v>5</v>
      </c>
      <c r="F36" t="s">
        <v>51</v>
      </c>
      <c r="G36" t="s">
        <v>52</v>
      </c>
      <c r="H36" t="s">
        <v>18</v>
      </c>
      <c r="I36">
        <v>1</v>
      </c>
      <c r="J36">
        <v>0</v>
      </c>
      <c r="O36">
        <f t="shared" si="21"/>
        <v>1714.9</v>
      </c>
      <c r="P36">
        <f t="shared" si="22"/>
        <v>39.4</v>
      </c>
      <c r="Q36">
        <f>(ROUND((ROUND(((ET36)*AV36*I36),2)*BB36),2)+ROUND((ROUND(((AE36-(EU36))*AV36*I36),2)*BS36),2))</f>
        <v>0.53</v>
      </c>
      <c r="R36">
        <f t="shared" si="23"/>
        <v>0.21</v>
      </c>
      <c r="S36">
        <f t="shared" si="24"/>
        <v>1674.97</v>
      </c>
      <c r="T36">
        <f t="shared" si="25"/>
        <v>0</v>
      </c>
      <c r="U36">
        <f t="shared" si="26"/>
        <v>5.76</v>
      </c>
      <c r="V36">
        <f t="shared" si="27"/>
        <v>0</v>
      </c>
      <c r="W36">
        <f t="shared" si="28"/>
        <v>0</v>
      </c>
      <c r="X36">
        <f t="shared" si="29"/>
        <v>1289.73</v>
      </c>
      <c r="Y36">
        <f t="shared" si="30"/>
        <v>686.74</v>
      </c>
      <c r="AA36">
        <v>-1</v>
      </c>
      <c r="AB36">
        <f t="shared" si="31"/>
        <v>85.58</v>
      </c>
      <c r="AC36">
        <f t="shared" si="32"/>
        <v>7.35</v>
      </c>
      <c r="AD36">
        <f>ROUND((((ET36)-(EU36))+AE36),6)</f>
        <v>7.0000000000000007E-2</v>
      </c>
      <c r="AE36">
        <f t="shared" si="54"/>
        <v>0.01</v>
      </c>
      <c r="AF36">
        <f t="shared" si="54"/>
        <v>78.16</v>
      </c>
      <c r="AG36">
        <f t="shared" si="33"/>
        <v>0</v>
      </c>
      <c r="AH36">
        <f t="shared" si="55"/>
        <v>5.76</v>
      </c>
      <c r="AI36">
        <f t="shared" si="55"/>
        <v>0</v>
      </c>
      <c r="AJ36">
        <f t="shared" si="34"/>
        <v>0</v>
      </c>
      <c r="AK36">
        <v>85.58</v>
      </c>
      <c r="AL36">
        <v>7.35</v>
      </c>
      <c r="AM36">
        <v>7.0000000000000007E-2</v>
      </c>
      <c r="AN36">
        <v>0.01</v>
      </c>
      <c r="AO36">
        <v>78.16</v>
      </c>
      <c r="AP36">
        <v>0</v>
      </c>
      <c r="AQ36">
        <v>5.76</v>
      </c>
      <c r="AR36">
        <v>0</v>
      </c>
      <c r="AS36">
        <v>0</v>
      </c>
      <c r="AT36">
        <v>77</v>
      </c>
      <c r="AU36">
        <v>41</v>
      </c>
      <c r="AV36">
        <v>1</v>
      </c>
      <c r="AW36">
        <v>1</v>
      </c>
      <c r="AZ36">
        <v>1</v>
      </c>
      <c r="BA36">
        <v>21.43</v>
      </c>
      <c r="BB36">
        <v>7.57</v>
      </c>
      <c r="BC36">
        <v>5.36</v>
      </c>
      <c r="BD36" t="s">
        <v>5</v>
      </c>
      <c r="BE36" t="s">
        <v>5</v>
      </c>
      <c r="BF36" t="s">
        <v>5</v>
      </c>
      <c r="BG36" t="s">
        <v>5</v>
      </c>
      <c r="BH36">
        <v>0</v>
      </c>
      <c r="BI36">
        <v>2</v>
      </c>
      <c r="BJ36" t="s">
        <v>53</v>
      </c>
      <c r="BM36">
        <v>336</v>
      </c>
      <c r="BN36">
        <v>0</v>
      </c>
      <c r="BO36" t="s">
        <v>51</v>
      </c>
      <c r="BP36">
        <v>1</v>
      </c>
      <c r="BQ36">
        <v>40</v>
      </c>
      <c r="BR36">
        <v>0</v>
      </c>
      <c r="BS36">
        <v>21.43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5</v>
      </c>
      <c r="BZ36">
        <v>77</v>
      </c>
      <c r="CA36">
        <v>41</v>
      </c>
      <c r="CE36">
        <v>30</v>
      </c>
      <c r="CF36">
        <v>0</v>
      </c>
      <c r="CG36">
        <v>0</v>
      </c>
      <c r="CM36">
        <v>0</v>
      </c>
      <c r="CN36" t="s">
        <v>5</v>
      </c>
      <c r="CO36">
        <v>0</v>
      </c>
      <c r="CP36">
        <f t="shared" si="35"/>
        <v>1714.9</v>
      </c>
      <c r="CQ36">
        <f t="shared" si="36"/>
        <v>39.4</v>
      </c>
      <c r="CR36">
        <f>(ROUND((ROUND(((ET36)*AV36*1),2)*BB36),2)+ROUND((ROUND(((AE36-(EU36))*AV36*1),2)*BS36),2))</f>
        <v>0.53</v>
      </c>
      <c r="CS36">
        <f t="shared" si="37"/>
        <v>0.21</v>
      </c>
      <c r="CT36">
        <f t="shared" si="38"/>
        <v>1674.97</v>
      </c>
      <c r="CU36">
        <f t="shared" si="39"/>
        <v>0</v>
      </c>
      <c r="CV36">
        <f t="shared" si="40"/>
        <v>5.76</v>
      </c>
      <c r="CW36">
        <f t="shared" si="41"/>
        <v>0</v>
      </c>
      <c r="CX36">
        <f t="shared" si="42"/>
        <v>0</v>
      </c>
      <c r="CY36">
        <f t="shared" si="43"/>
        <v>1289.7269000000001</v>
      </c>
      <c r="CZ36">
        <f t="shared" si="44"/>
        <v>686.73770000000002</v>
      </c>
      <c r="DC36" t="s">
        <v>5</v>
      </c>
      <c r="DD36" t="s">
        <v>5</v>
      </c>
      <c r="DE36" t="s">
        <v>5</v>
      </c>
      <c r="DF36" t="s">
        <v>5</v>
      </c>
      <c r="DG36" t="s">
        <v>5</v>
      </c>
      <c r="DH36" t="s">
        <v>5</v>
      </c>
      <c r="DI36" t="s">
        <v>5</v>
      </c>
      <c r="DJ36" t="s">
        <v>5</v>
      </c>
      <c r="DK36" t="s">
        <v>5</v>
      </c>
      <c r="DL36" t="s">
        <v>5</v>
      </c>
      <c r="DM36" t="s">
        <v>5</v>
      </c>
      <c r="DN36">
        <v>114</v>
      </c>
      <c r="DO36">
        <v>67</v>
      </c>
      <c r="DP36">
        <v>1</v>
      </c>
      <c r="DQ36">
        <v>1</v>
      </c>
      <c r="DU36">
        <v>1013</v>
      </c>
      <c r="DV36" t="s">
        <v>18</v>
      </c>
      <c r="DW36" t="s">
        <v>18</v>
      </c>
      <c r="DX36">
        <v>1</v>
      </c>
      <c r="EE36">
        <v>30507532</v>
      </c>
      <c r="EF36">
        <v>40</v>
      </c>
      <c r="EG36" t="s">
        <v>21</v>
      </c>
      <c r="EH36">
        <v>0</v>
      </c>
      <c r="EI36" t="s">
        <v>5</v>
      </c>
      <c r="EJ36">
        <v>2</v>
      </c>
      <c r="EK36">
        <v>336</v>
      </c>
      <c r="EL36" t="s">
        <v>38</v>
      </c>
      <c r="EM36" t="s">
        <v>39</v>
      </c>
      <c r="EO36" t="s">
        <v>5</v>
      </c>
      <c r="EQ36">
        <v>1024</v>
      </c>
      <c r="ER36">
        <v>85.58</v>
      </c>
      <c r="ES36">
        <v>7.35</v>
      </c>
      <c r="ET36">
        <v>7.0000000000000007E-2</v>
      </c>
      <c r="EU36">
        <v>0.01</v>
      </c>
      <c r="EV36">
        <v>78.16</v>
      </c>
      <c r="EW36">
        <v>5.76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114</v>
      </c>
      <c r="FY36">
        <v>67</v>
      </c>
      <c r="GA36" t="s">
        <v>5</v>
      </c>
      <c r="GD36">
        <v>0</v>
      </c>
      <c r="GF36">
        <v>-275081836</v>
      </c>
      <c r="GG36">
        <v>2</v>
      </c>
      <c r="GH36">
        <v>1</v>
      </c>
      <c r="GI36">
        <v>2</v>
      </c>
      <c r="GJ36">
        <v>0</v>
      </c>
      <c r="GK36">
        <f>ROUND(R36*(R12)/100,2)</f>
        <v>0.33</v>
      </c>
      <c r="GL36">
        <f t="shared" si="46"/>
        <v>0</v>
      </c>
      <c r="GM36">
        <f t="shared" si="47"/>
        <v>3691.7</v>
      </c>
      <c r="GN36">
        <f t="shared" si="48"/>
        <v>0</v>
      </c>
      <c r="GO36">
        <f t="shared" si="49"/>
        <v>3691.7</v>
      </c>
      <c r="GP36">
        <f t="shared" si="50"/>
        <v>0</v>
      </c>
      <c r="GR36">
        <v>0</v>
      </c>
      <c r="GS36">
        <v>3</v>
      </c>
      <c r="GT36">
        <v>0</v>
      </c>
      <c r="GU36" t="s">
        <v>5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IK36">
        <v>0</v>
      </c>
    </row>
    <row r="37" spans="1:245" x14ac:dyDescent="0.2">
      <c r="A37">
        <v>17</v>
      </c>
      <c r="B37">
        <v>1</v>
      </c>
      <c r="C37">
        <f>ROW(SmtRes!A7)</f>
        <v>7</v>
      </c>
      <c r="D37">
        <f>ROW(EtalonRes!A7)</f>
        <v>7</v>
      </c>
      <c r="E37" t="s">
        <v>5</v>
      </c>
      <c r="F37" t="s">
        <v>54</v>
      </c>
      <c r="G37" t="s">
        <v>55</v>
      </c>
      <c r="H37" t="s">
        <v>18</v>
      </c>
      <c r="I37">
        <v>1</v>
      </c>
      <c r="J37">
        <v>0</v>
      </c>
      <c r="O37">
        <f t="shared" si="21"/>
        <v>1051.3699999999999</v>
      </c>
      <c r="P37">
        <f t="shared" si="22"/>
        <v>18.010000000000002</v>
      </c>
      <c r="Q37">
        <f>(ROUND((ROUND(((ET37)*AV37*I37),2)*BB37),2)+ROUND((ROUND(((AE37-(EU37))*AV37*I37),2)*BS37),2))</f>
        <v>0.43</v>
      </c>
      <c r="R37">
        <f t="shared" si="23"/>
        <v>0.21</v>
      </c>
      <c r="S37">
        <f t="shared" si="24"/>
        <v>1032.93</v>
      </c>
      <c r="T37">
        <f t="shared" si="25"/>
        <v>0</v>
      </c>
      <c r="U37">
        <f t="shared" si="26"/>
        <v>3.6</v>
      </c>
      <c r="V37">
        <f t="shared" si="27"/>
        <v>0</v>
      </c>
      <c r="W37">
        <f t="shared" si="28"/>
        <v>0</v>
      </c>
      <c r="X37">
        <f t="shared" si="29"/>
        <v>795.36</v>
      </c>
      <c r="Y37">
        <f t="shared" si="30"/>
        <v>423.5</v>
      </c>
      <c r="AA37">
        <v>-1</v>
      </c>
      <c r="AB37">
        <f t="shared" si="31"/>
        <v>51.61</v>
      </c>
      <c r="AC37">
        <f t="shared" si="32"/>
        <v>3.36</v>
      </c>
      <c r="AD37">
        <f>ROUND((((ET37)-(EU37))+AE37),6)</f>
        <v>0.05</v>
      </c>
      <c r="AE37">
        <f t="shared" si="54"/>
        <v>0.01</v>
      </c>
      <c r="AF37">
        <f t="shared" si="54"/>
        <v>48.2</v>
      </c>
      <c r="AG37">
        <f t="shared" si="33"/>
        <v>0</v>
      </c>
      <c r="AH37">
        <f t="shared" si="55"/>
        <v>3.6</v>
      </c>
      <c r="AI37">
        <f t="shared" si="55"/>
        <v>0</v>
      </c>
      <c r="AJ37">
        <f t="shared" si="34"/>
        <v>0</v>
      </c>
      <c r="AK37">
        <v>51.61</v>
      </c>
      <c r="AL37">
        <v>3.36</v>
      </c>
      <c r="AM37">
        <v>0.05</v>
      </c>
      <c r="AN37">
        <v>0.01</v>
      </c>
      <c r="AO37">
        <v>48.2</v>
      </c>
      <c r="AP37">
        <v>0</v>
      </c>
      <c r="AQ37">
        <v>3.6</v>
      </c>
      <c r="AR37">
        <v>0</v>
      </c>
      <c r="AS37">
        <v>0</v>
      </c>
      <c r="AT37">
        <v>77</v>
      </c>
      <c r="AU37">
        <v>41</v>
      </c>
      <c r="AV37">
        <v>1</v>
      </c>
      <c r="AW37">
        <v>1</v>
      </c>
      <c r="AZ37">
        <v>1</v>
      </c>
      <c r="BA37">
        <v>21.43</v>
      </c>
      <c r="BB37">
        <v>8.6</v>
      </c>
      <c r="BC37">
        <v>5.36</v>
      </c>
      <c r="BD37" t="s">
        <v>5</v>
      </c>
      <c r="BE37" t="s">
        <v>5</v>
      </c>
      <c r="BF37" t="s">
        <v>5</v>
      </c>
      <c r="BG37" t="s">
        <v>5</v>
      </c>
      <c r="BH37">
        <v>0</v>
      </c>
      <c r="BI37">
        <v>2</v>
      </c>
      <c r="BJ37" t="s">
        <v>56</v>
      </c>
      <c r="BM37">
        <v>336</v>
      </c>
      <c r="BN37">
        <v>0</v>
      </c>
      <c r="BO37" t="s">
        <v>54</v>
      </c>
      <c r="BP37">
        <v>1</v>
      </c>
      <c r="BQ37">
        <v>40</v>
      </c>
      <c r="BR37">
        <v>0</v>
      </c>
      <c r="BS37">
        <v>21.43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5</v>
      </c>
      <c r="BZ37">
        <v>77</v>
      </c>
      <c r="CA37">
        <v>41</v>
      </c>
      <c r="CE37">
        <v>30</v>
      </c>
      <c r="CF37">
        <v>0</v>
      </c>
      <c r="CG37">
        <v>0</v>
      </c>
      <c r="CM37">
        <v>0</v>
      </c>
      <c r="CN37" t="s">
        <v>5</v>
      </c>
      <c r="CO37">
        <v>0</v>
      </c>
      <c r="CP37">
        <f t="shared" si="35"/>
        <v>1051.3700000000001</v>
      </c>
      <c r="CQ37">
        <f t="shared" si="36"/>
        <v>18.010000000000002</v>
      </c>
      <c r="CR37">
        <f>(ROUND((ROUND(((ET37)*AV37*1),2)*BB37),2)+ROUND((ROUND(((AE37-(EU37))*AV37*1),2)*BS37),2))</f>
        <v>0.43</v>
      </c>
      <c r="CS37">
        <f t="shared" si="37"/>
        <v>0.21</v>
      </c>
      <c r="CT37">
        <f t="shared" si="38"/>
        <v>1032.93</v>
      </c>
      <c r="CU37">
        <f t="shared" si="39"/>
        <v>0</v>
      </c>
      <c r="CV37">
        <f t="shared" si="40"/>
        <v>3.6</v>
      </c>
      <c r="CW37">
        <f t="shared" si="41"/>
        <v>0</v>
      </c>
      <c r="CX37">
        <f t="shared" si="42"/>
        <v>0</v>
      </c>
      <c r="CY37">
        <f t="shared" si="43"/>
        <v>795.35610000000008</v>
      </c>
      <c r="CZ37">
        <f t="shared" si="44"/>
        <v>423.50130000000001</v>
      </c>
      <c r="DC37" t="s">
        <v>5</v>
      </c>
      <c r="DD37" t="s">
        <v>5</v>
      </c>
      <c r="DE37" t="s">
        <v>5</v>
      </c>
      <c r="DF37" t="s">
        <v>5</v>
      </c>
      <c r="DG37" t="s">
        <v>5</v>
      </c>
      <c r="DH37" t="s">
        <v>5</v>
      </c>
      <c r="DI37" t="s">
        <v>5</v>
      </c>
      <c r="DJ37" t="s">
        <v>5</v>
      </c>
      <c r="DK37" t="s">
        <v>5</v>
      </c>
      <c r="DL37" t="s">
        <v>5</v>
      </c>
      <c r="DM37" t="s">
        <v>5</v>
      </c>
      <c r="DN37">
        <v>114</v>
      </c>
      <c r="DO37">
        <v>67</v>
      </c>
      <c r="DP37">
        <v>1</v>
      </c>
      <c r="DQ37">
        <v>1</v>
      </c>
      <c r="DU37">
        <v>1013</v>
      </c>
      <c r="DV37" t="s">
        <v>18</v>
      </c>
      <c r="DW37" t="s">
        <v>18</v>
      </c>
      <c r="DX37">
        <v>1</v>
      </c>
      <c r="EE37">
        <v>30507532</v>
      </c>
      <c r="EF37">
        <v>40</v>
      </c>
      <c r="EG37" t="s">
        <v>21</v>
      </c>
      <c r="EH37">
        <v>0</v>
      </c>
      <c r="EI37" t="s">
        <v>5</v>
      </c>
      <c r="EJ37">
        <v>2</v>
      </c>
      <c r="EK37">
        <v>336</v>
      </c>
      <c r="EL37" t="s">
        <v>38</v>
      </c>
      <c r="EM37" t="s">
        <v>39</v>
      </c>
      <c r="EO37" t="s">
        <v>5</v>
      </c>
      <c r="EQ37">
        <v>1024</v>
      </c>
      <c r="ER37">
        <v>51.61</v>
      </c>
      <c r="ES37">
        <v>3.36</v>
      </c>
      <c r="ET37">
        <v>0.05</v>
      </c>
      <c r="EU37">
        <v>0.01</v>
      </c>
      <c r="EV37">
        <v>48.2</v>
      </c>
      <c r="EW37">
        <v>3.6</v>
      </c>
      <c r="EX37">
        <v>0</v>
      </c>
      <c r="EY37">
        <v>0</v>
      </c>
      <c r="FQ37">
        <v>0</v>
      </c>
      <c r="FR37">
        <f t="shared" si="45"/>
        <v>0</v>
      </c>
      <c r="FS37">
        <v>0</v>
      </c>
      <c r="FX37">
        <v>114</v>
      </c>
      <c r="FY37">
        <v>67</v>
      </c>
      <c r="GA37" t="s">
        <v>5</v>
      </c>
      <c r="GD37">
        <v>0</v>
      </c>
      <c r="GF37">
        <v>-2092704030</v>
      </c>
      <c r="GG37">
        <v>2</v>
      </c>
      <c r="GH37">
        <v>1</v>
      </c>
      <c r="GI37">
        <v>2</v>
      </c>
      <c r="GJ37">
        <v>0</v>
      </c>
      <c r="GK37">
        <f>ROUND(R37*(R12)/100,2)</f>
        <v>0.33</v>
      </c>
      <c r="GL37">
        <f t="shared" si="46"/>
        <v>0</v>
      </c>
      <c r="GM37">
        <f t="shared" si="47"/>
        <v>2270.56</v>
      </c>
      <c r="GN37">
        <f t="shared" si="48"/>
        <v>0</v>
      </c>
      <c r="GO37">
        <f t="shared" si="49"/>
        <v>2270.56</v>
      </c>
      <c r="GP37">
        <f t="shared" si="50"/>
        <v>0</v>
      </c>
      <c r="GR37">
        <v>0</v>
      </c>
      <c r="GS37">
        <v>3</v>
      </c>
      <c r="GT37">
        <v>0</v>
      </c>
      <c r="GU37" t="s">
        <v>5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IK37">
        <v>0</v>
      </c>
    </row>
    <row r="38" spans="1:245" x14ac:dyDescent="0.2">
      <c r="A38">
        <v>17</v>
      </c>
      <c r="B38">
        <v>1</v>
      </c>
      <c r="C38">
        <f>ROW(SmtRes!A8)</f>
        <v>8</v>
      </c>
      <c r="D38">
        <f>ROW(EtalonRes!A8)</f>
        <v>8</v>
      </c>
      <c r="E38" t="s">
        <v>57</v>
      </c>
      <c r="F38" t="s">
        <v>58</v>
      </c>
      <c r="G38" t="s">
        <v>59</v>
      </c>
      <c r="H38" t="s">
        <v>18</v>
      </c>
      <c r="I38">
        <v>1</v>
      </c>
      <c r="J38">
        <v>0</v>
      </c>
      <c r="O38">
        <f t="shared" si="21"/>
        <v>168.39</v>
      </c>
      <c r="P38">
        <f t="shared" si="22"/>
        <v>1.88</v>
      </c>
      <c r="Q38">
        <f>(ROUND((ROUND((((ET38*1.15))*AV38*I38),2)*BB38),2)+ROUND((ROUND(((AE38-((EU38*1.15)))*AV38*I38),2)*BS38),2))</f>
        <v>0</v>
      </c>
      <c r="R38">
        <f t="shared" si="23"/>
        <v>0</v>
      </c>
      <c r="S38">
        <f t="shared" si="24"/>
        <v>166.51</v>
      </c>
      <c r="T38">
        <f t="shared" si="25"/>
        <v>0</v>
      </c>
      <c r="U38">
        <f t="shared" si="26"/>
        <v>0.59799999999999998</v>
      </c>
      <c r="V38">
        <f t="shared" si="27"/>
        <v>0</v>
      </c>
      <c r="W38">
        <f t="shared" si="28"/>
        <v>0</v>
      </c>
      <c r="X38">
        <f t="shared" si="29"/>
        <v>128.21</v>
      </c>
      <c r="Y38">
        <f t="shared" si="30"/>
        <v>68.27</v>
      </c>
      <c r="AA38">
        <v>31330642</v>
      </c>
      <c r="AB38">
        <f t="shared" si="31"/>
        <v>8.1240000000000006</v>
      </c>
      <c r="AC38">
        <f t="shared" si="32"/>
        <v>0.35</v>
      </c>
      <c r="AD38">
        <f>ROUND(((((ET38*1.15))-((EU38*1.15)))+AE38),6)</f>
        <v>0</v>
      </c>
      <c r="AE38">
        <f>ROUND(((EU38*1.15)),6)</f>
        <v>0</v>
      </c>
      <c r="AF38">
        <f>ROUND(((EV38*1.15)),6)</f>
        <v>7.774</v>
      </c>
      <c r="AG38">
        <f t="shared" si="33"/>
        <v>0</v>
      </c>
      <c r="AH38">
        <f>((EW38*1.15))</f>
        <v>0.59799999999999998</v>
      </c>
      <c r="AI38">
        <f>((EX38*1.15))</f>
        <v>0</v>
      </c>
      <c r="AJ38">
        <f t="shared" si="34"/>
        <v>0</v>
      </c>
      <c r="AK38">
        <v>7.11</v>
      </c>
      <c r="AL38">
        <v>0.35</v>
      </c>
      <c r="AM38">
        <v>0</v>
      </c>
      <c r="AN38">
        <v>0</v>
      </c>
      <c r="AO38">
        <v>6.76</v>
      </c>
      <c r="AP38">
        <v>0</v>
      </c>
      <c r="AQ38">
        <v>0.52</v>
      </c>
      <c r="AR38">
        <v>0</v>
      </c>
      <c r="AS38">
        <v>0</v>
      </c>
      <c r="AT38">
        <v>77</v>
      </c>
      <c r="AU38">
        <v>41</v>
      </c>
      <c r="AV38">
        <v>1</v>
      </c>
      <c r="AW38">
        <v>1</v>
      </c>
      <c r="AZ38">
        <v>1</v>
      </c>
      <c r="BA38">
        <v>21.43</v>
      </c>
      <c r="BB38">
        <v>1</v>
      </c>
      <c r="BC38">
        <v>5.37</v>
      </c>
      <c r="BD38" t="s">
        <v>5</v>
      </c>
      <c r="BE38" t="s">
        <v>5</v>
      </c>
      <c r="BF38" t="s">
        <v>5</v>
      </c>
      <c r="BG38" t="s">
        <v>5</v>
      </c>
      <c r="BH38">
        <v>0</v>
      </c>
      <c r="BI38">
        <v>2</v>
      </c>
      <c r="BJ38" t="s">
        <v>60</v>
      </c>
      <c r="BM38">
        <v>355</v>
      </c>
      <c r="BN38">
        <v>0</v>
      </c>
      <c r="BO38" t="s">
        <v>58</v>
      </c>
      <c r="BP38">
        <v>1</v>
      </c>
      <c r="BQ38">
        <v>40</v>
      </c>
      <c r="BR38">
        <v>0</v>
      </c>
      <c r="BS38">
        <v>21.43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5</v>
      </c>
      <c r="BZ38">
        <v>77</v>
      </c>
      <c r="CA38">
        <v>41</v>
      </c>
      <c r="CE38">
        <v>30</v>
      </c>
      <c r="CF38">
        <v>0</v>
      </c>
      <c r="CG38">
        <v>0</v>
      </c>
      <c r="CM38">
        <v>0</v>
      </c>
      <c r="CN38" t="s">
        <v>182</v>
      </c>
      <c r="CO38">
        <v>0</v>
      </c>
      <c r="CP38">
        <f t="shared" si="35"/>
        <v>168.39</v>
      </c>
      <c r="CQ38">
        <f t="shared" si="36"/>
        <v>1.88</v>
      </c>
      <c r="CR38">
        <f>(ROUND((ROUND((((ET38*1.15))*AV38*1),2)*BB38),2)+ROUND((ROUND(((AE38-((EU38*1.15)))*AV38*1),2)*BS38),2))</f>
        <v>0</v>
      </c>
      <c r="CS38">
        <f t="shared" si="37"/>
        <v>0</v>
      </c>
      <c r="CT38">
        <f t="shared" si="38"/>
        <v>166.51</v>
      </c>
      <c r="CU38">
        <f t="shared" si="39"/>
        <v>0</v>
      </c>
      <c r="CV38">
        <f t="shared" si="40"/>
        <v>0.59799999999999998</v>
      </c>
      <c r="CW38">
        <f t="shared" si="41"/>
        <v>0</v>
      </c>
      <c r="CX38">
        <f t="shared" si="42"/>
        <v>0</v>
      </c>
      <c r="CY38">
        <f t="shared" si="43"/>
        <v>128.21269999999998</v>
      </c>
      <c r="CZ38">
        <f t="shared" si="44"/>
        <v>68.269099999999995</v>
      </c>
      <c r="DC38" t="s">
        <v>5</v>
      </c>
      <c r="DD38" t="s">
        <v>5</v>
      </c>
      <c r="DE38" t="s">
        <v>20</v>
      </c>
      <c r="DF38" t="s">
        <v>20</v>
      </c>
      <c r="DG38" t="s">
        <v>20</v>
      </c>
      <c r="DH38" t="s">
        <v>5</v>
      </c>
      <c r="DI38" t="s">
        <v>20</v>
      </c>
      <c r="DJ38" t="s">
        <v>20</v>
      </c>
      <c r="DK38" t="s">
        <v>5</v>
      </c>
      <c r="DL38" t="s">
        <v>5</v>
      </c>
      <c r="DM38" t="s">
        <v>5</v>
      </c>
      <c r="DN38">
        <v>114</v>
      </c>
      <c r="DO38">
        <v>67</v>
      </c>
      <c r="DP38">
        <v>1</v>
      </c>
      <c r="DQ38">
        <v>1</v>
      </c>
      <c r="DU38">
        <v>1013</v>
      </c>
      <c r="DV38" t="s">
        <v>18</v>
      </c>
      <c r="DW38" t="s">
        <v>18</v>
      </c>
      <c r="DX38">
        <v>1</v>
      </c>
      <c r="EE38">
        <v>30507551</v>
      </c>
      <c r="EF38">
        <v>40</v>
      </c>
      <c r="EG38" t="s">
        <v>21</v>
      </c>
      <c r="EH38">
        <v>0</v>
      </c>
      <c r="EI38" t="s">
        <v>5</v>
      </c>
      <c r="EJ38">
        <v>2</v>
      </c>
      <c r="EK38">
        <v>355</v>
      </c>
      <c r="EL38" t="s">
        <v>61</v>
      </c>
      <c r="EM38" t="s">
        <v>62</v>
      </c>
      <c r="EO38" t="s">
        <v>24</v>
      </c>
      <c r="EQ38">
        <v>512</v>
      </c>
      <c r="ER38">
        <v>7.11</v>
      </c>
      <c r="ES38">
        <v>0.35</v>
      </c>
      <c r="ET38">
        <v>0</v>
      </c>
      <c r="EU38">
        <v>0</v>
      </c>
      <c r="EV38">
        <v>6.76</v>
      </c>
      <c r="EW38">
        <v>0.52</v>
      </c>
      <c r="EX38">
        <v>0</v>
      </c>
      <c r="EY38">
        <v>0</v>
      </c>
      <c r="FQ38">
        <v>0</v>
      </c>
      <c r="FR38">
        <f t="shared" si="45"/>
        <v>0</v>
      </c>
      <c r="FS38">
        <v>0</v>
      </c>
      <c r="FX38">
        <v>114</v>
      </c>
      <c r="FY38">
        <v>67</v>
      </c>
      <c r="GA38" t="s">
        <v>5</v>
      </c>
      <c r="GD38">
        <v>0</v>
      </c>
      <c r="GF38">
        <v>279441602</v>
      </c>
      <c r="GG38">
        <v>2</v>
      </c>
      <c r="GH38">
        <v>1</v>
      </c>
      <c r="GI38">
        <v>2</v>
      </c>
      <c r="GJ38">
        <v>0</v>
      </c>
      <c r="GK38">
        <f>ROUND(R38*(R12)/100,2)</f>
        <v>0</v>
      </c>
      <c r="GL38">
        <f t="shared" si="46"/>
        <v>0</v>
      </c>
      <c r="GM38">
        <f t="shared" si="47"/>
        <v>364.87</v>
      </c>
      <c r="GN38">
        <f t="shared" si="48"/>
        <v>0</v>
      </c>
      <c r="GO38">
        <f t="shared" si="49"/>
        <v>364.87</v>
      </c>
      <c r="GP38">
        <f t="shared" si="50"/>
        <v>0</v>
      </c>
      <c r="GR38">
        <v>0</v>
      </c>
      <c r="GS38">
        <v>3</v>
      </c>
      <c r="GT38">
        <v>0</v>
      </c>
      <c r="GU38" t="s">
        <v>5</v>
      </c>
      <c r="GV38">
        <f t="shared" si="51"/>
        <v>0</v>
      </c>
      <c r="GW38">
        <v>1</v>
      </c>
      <c r="GX38">
        <f t="shared" si="52"/>
        <v>0</v>
      </c>
      <c r="HA38">
        <v>0</v>
      </c>
      <c r="HB38">
        <v>0</v>
      </c>
      <c r="HC38">
        <f t="shared" si="53"/>
        <v>0</v>
      </c>
      <c r="IK38">
        <v>0</v>
      </c>
    </row>
    <row r="39" spans="1:245" x14ac:dyDescent="0.2">
      <c r="A39">
        <v>17</v>
      </c>
      <c r="B39">
        <v>1</v>
      </c>
      <c r="E39" t="s">
        <v>63</v>
      </c>
      <c r="F39" t="s">
        <v>26</v>
      </c>
      <c r="G39" t="s">
        <v>64</v>
      </c>
      <c r="H39" t="s">
        <v>28</v>
      </c>
      <c r="I39">
        <v>1</v>
      </c>
      <c r="J39">
        <v>0</v>
      </c>
      <c r="O39">
        <f t="shared" si="21"/>
        <v>1921.07</v>
      </c>
      <c r="P39">
        <f t="shared" si="22"/>
        <v>1921.07</v>
      </c>
      <c r="Q39">
        <f>(ROUND((ROUND(((ET39)*AV39*I39),2)*BB39),2)+ROUND((ROUND(((AE39-(EU39))*AV39*I39),2)*BS39),2))</f>
        <v>0</v>
      </c>
      <c r="R39">
        <f t="shared" si="23"/>
        <v>0</v>
      </c>
      <c r="S39">
        <f t="shared" si="24"/>
        <v>0</v>
      </c>
      <c r="T39">
        <f t="shared" si="25"/>
        <v>0</v>
      </c>
      <c r="U39">
        <f t="shared" si="26"/>
        <v>0</v>
      </c>
      <c r="V39">
        <f t="shared" si="27"/>
        <v>0</v>
      </c>
      <c r="W39">
        <f t="shared" si="28"/>
        <v>0</v>
      </c>
      <c r="X39">
        <f t="shared" si="29"/>
        <v>0</v>
      </c>
      <c r="Y39">
        <f t="shared" si="30"/>
        <v>0</v>
      </c>
      <c r="AA39">
        <v>31330642</v>
      </c>
      <c r="AB39">
        <f t="shared" si="31"/>
        <v>1921.07</v>
      </c>
      <c r="AC39">
        <f t="shared" si="32"/>
        <v>1921.07</v>
      </c>
      <c r="AD39">
        <f>ROUND((((ET39)-(EU39))+AE39),6)</f>
        <v>0</v>
      </c>
      <c r="AE39">
        <f>ROUND((EU39),6)</f>
        <v>0</v>
      </c>
      <c r="AF39">
        <f>ROUND((EV39),6)</f>
        <v>0</v>
      </c>
      <c r="AG39">
        <f t="shared" si="33"/>
        <v>0</v>
      </c>
      <c r="AH39">
        <f>(EW39)</f>
        <v>0</v>
      </c>
      <c r="AI39">
        <f>(EX39)</f>
        <v>0</v>
      </c>
      <c r="AJ39">
        <f t="shared" si="34"/>
        <v>0</v>
      </c>
      <c r="AK39">
        <v>1921.07</v>
      </c>
      <c r="AL39">
        <v>1921.07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5</v>
      </c>
      <c r="BE39" t="s">
        <v>5</v>
      </c>
      <c r="BF39" t="s">
        <v>5</v>
      </c>
      <c r="BG39" t="s">
        <v>5</v>
      </c>
      <c r="BH39">
        <v>3</v>
      </c>
      <c r="BI39">
        <v>3</v>
      </c>
      <c r="BJ39" t="s">
        <v>5</v>
      </c>
      <c r="BM39">
        <v>746</v>
      </c>
      <c r="BN39">
        <v>0</v>
      </c>
      <c r="BO39" t="s">
        <v>5</v>
      </c>
      <c r="BP39">
        <v>0</v>
      </c>
      <c r="BQ39">
        <v>130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5</v>
      </c>
      <c r="BZ39">
        <v>0</v>
      </c>
      <c r="CA39">
        <v>0</v>
      </c>
      <c r="CE39">
        <v>30</v>
      </c>
      <c r="CF39">
        <v>0</v>
      </c>
      <c r="CG39">
        <v>0</v>
      </c>
      <c r="CM39">
        <v>0</v>
      </c>
      <c r="CN39" t="s">
        <v>5</v>
      </c>
      <c r="CO39">
        <v>0</v>
      </c>
      <c r="CP39">
        <f t="shared" si="35"/>
        <v>1921.07</v>
      </c>
      <c r="CQ39">
        <f t="shared" si="36"/>
        <v>1921.07</v>
      </c>
      <c r="CR39">
        <f>(ROUND((ROUND(((ET39)*AV39*1),2)*BB39),2)+ROUND((ROUND(((AE39-(EU39))*AV39*1),2)*BS39),2))</f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>
        <f t="shared" si="43"/>
        <v>0</v>
      </c>
      <c r="CZ39">
        <f t="shared" si="44"/>
        <v>0</v>
      </c>
      <c r="DC39" t="s">
        <v>5</v>
      </c>
      <c r="DD39" t="s">
        <v>5</v>
      </c>
      <c r="DE39" t="s">
        <v>5</v>
      </c>
      <c r="DF39" t="s">
        <v>5</v>
      </c>
      <c r="DG39" t="s">
        <v>5</v>
      </c>
      <c r="DH39" t="s">
        <v>5</v>
      </c>
      <c r="DI39" t="s">
        <v>5</v>
      </c>
      <c r="DJ39" t="s">
        <v>5</v>
      </c>
      <c r="DK39" t="s">
        <v>5</v>
      </c>
      <c r="DL39" t="s">
        <v>5</v>
      </c>
      <c r="DM39" t="s">
        <v>5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28</v>
      </c>
      <c r="DW39" t="s">
        <v>28</v>
      </c>
      <c r="DX39">
        <v>1</v>
      </c>
      <c r="EE39">
        <v>30507942</v>
      </c>
      <c r="EF39">
        <v>130</v>
      </c>
      <c r="EG39" t="s">
        <v>29</v>
      </c>
      <c r="EH39">
        <v>0</v>
      </c>
      <c r="EI39" t="s">
        <v>5</v>
      </c>
      <c r="EJ39">
        <v>3</v>
      </c>
      <c r="EK39">
        <v>746</v>
      </c>
      <c r="EL39" t="s">
        <v>30</v>
      </c>
      <c r="EM39" t="s">
        <v>31</v>
      </c>
      <c r="EO39" t="s">
        <v>5</v>
      </c>
      <c r="EQ39">
        <v>0</v>
      </c>
      <c r="ER39">
        <v>1921.07</v>
      </c>
      <c r="ES39">
        <v>1921.07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5</v>
      </c>
      <c r="FC39">
        <v>1</v>
      </c>
      <c r="FD39">
        <v>18</v>
      </c>
      <c r="FF39">
        <v>2211.6</v>
      </c>
      <c r="FQ39">
        <v>0</v>
      </c>
      <c r="FR39">
        <f t="shared" si="45"/>
        <v>1921.07</v>
      </c>
      <c r="FS39">
        <v>0</v>
      </c>
      <c r="FX39">
        <v>0</v>
      </c>
      <c r="FY39">
        <v>0</v>
      </c>
      <c r="GA39" t="s">
        <v>65</v>
      </c>
      <c r="GD39">
        <v>0</v>
      </c>
      <c r="GF39">
        <v>-375613217</v>
      </c>
      <c r="GG39">
        <v>2</v>
      </c>
      <c r="GH39">
        <v>3</v>
      </c>
      <c r="GI39">
        <v>-2</v>
      </c>
      <c r="GJ39">
        <v>0</v>
      </c>
      <c r="GK39">
        <f>ROUND(R39*(R12)/100,2)</f>
        <v>0</v>
      </c>
      <c r="GL39">
        <f t="shared" si="46"/>
        <v>0</v>
      </c>
      <c r="GM39">
        <f t="shared" si="47"/>
        <v>1921.07</v>
      </c>
      <c r="GN39">
        <f t="shared" si="48"/>
        <v>0</v>
      </c>
      <c r="GO39">
        <f t="shared" si="49"/>
        <v>0</v>
      </c>
      <c r="GP39">
        <f t="shared" si="50"/>
        <v>0</v>
      </c>
      <c r="GR39">
        <v>1</v>
      </c>
      <c r="GS39">
        <v>1</v>
      </c>
      <c r="GT39">
        <v>0</v>
      </c>
      <c r="GU39" t="s">
        <v>5</v>
      </c>
      <c r="GV39">
        <f t="shared" si="51"/>
        <v>0</v>
      </c>
      <c r="GW39">
        <v>1</v>
      </c>
      <c r="GX39">
        <f t="shared" si="52"/>
        <v>0</v>
      </c>
      <c r="HA39">
        <v>0</v>
      </c>
      <c r="HB39">
        <v>0</v>
      </c>
      <c r="HC39">
        <f t="shared" si="53"/>
        <v>0</v>
      </c>
      <c r="IK39">
        <v>0</v>
      </c>
    </row>
    <row r="40" spans="1:245" x14ac:dyDescent="0.2">
      <c r="A40">
        <v>17</v>
      </c>
      <c r="B40">
        <v>1</v>
      </c>
      <c r="C40">
        <f>ROW(SmtRes!A9)</f>
        <v>9</v>
      </c>
      <c r="D40">
        <f>ROW(EtalonRes!A9)</f>
        <v>9</v>
      </c>
      <c r="E40" t="s">
        <v>66</v>
      </c>
      <c r="F40" t="s">
        <v>67</v>
      </c>
      <c r="G40" t="s">
        <v>68</v>
      </c>
      <c r="H40" t="s">
        <v>18</v>
      </c>
      <c r="I40">
        <v>5</v>
      </c>
      <c r="J40">
        <v>0</v>
      </c>
      <c r="O40">
        <f t="shared" si="21"/>
        <v>5309.91</v>
      </c>
      <c r="P40">
        <f t="shared" si="22"/>
        <v>1452.02</v>
      </c>
      <c r="Q40">
        <f>(ROUND((ROUND((((ET40*1.15))*AV40*I40),2)*BB40),2)+ROUND((ROUND(((AE40-((EU40*1.15)))*AV40*I40),2)*BS40),2))</f>
        <v>557.88</v>
      </c>
      <c r="R40">
        <f t="shared" si="23"/>
        <v>242.8</v>
      </c>
      <c r="S40">
        <f t="shared" si="24"/>
        <v>3300.01</v>
      </c>
      <c r="T40">
        <f t="shared" si="25"/>
        <v>0</v>
      </c>
      <c r="U40">
        <f t="shared" si="26"/>
        <v>11.844999999999999</v>
      </c>
      <c r="V40">
        <f t="shared" si="27"/>
        <v>0</v>
      </c>
      <c r="W40">
        <f t="shared" si="28"/>
        <v>0</v>
      </c>
      <c r="X40">
        <f t="shared" si="29"/>
        <v>2541.0100000000002</v>
      </c>
      <c r="Y40">
        <f t="shared" si="30"/>
        <v>1353</v>
      </c>
      <c r="AA40">
        <v>31330642</v>
      </c>
      <c r="AB40">
        <f t="shared" si="31"/>
        <v>99.064499999999995</v>
      </c>
      <c r="AC40">
        <f t="shared" si="32"/>
        <v>54.18</v>
      </c>
      <c r="AD40">
        <f>ROUND(((((ET40*1.15))-((EU40*1.15)))+AE40),6)</f>
        <v>14.0875</v>
      </c>
      <c r="AE40">
        <f>ROUND(((EU40*1.15)),6)</f>
        <v>2.2654999999999998</v>
      </c>
      <c r="AF40">
        <f>ROUND(((EV40*1.15)),6)</f>
        <v>30.797000000000001</v>
      </c>
      <c r="AG40">
        <f t="shared" si="33"/>
        <v>0</v>
      </c>
      <c r="AH40">
        <f>((EW40*1.15))</f>
        <v>2.3689999999999998</v>
      </c>
      <c r="AI40">
        <f>((EX40*1.15))</f>
        <v>0</v>
      </c>
      <c r="AJ40">
        <f t="shared" si="34"/>
        <v>0</v>
      </c>
      <c r="AK40">
        <v>93.21</v>
      </c>
      <c r="AL40">
        <v>54.18</v>
      </c>
      <c r="AM40">
        <v>12.25</v>
      </c>
      <c r="AN40">
        <v>1.97</v>
      </c>
      <c r="AO40">
        <v>26.78</v>
      </c>
      <c r="AP40">
        <v>0</v>
      </c>
      <c r="AQ40">
        <v>2.06</v>
      </c>
      <c r="AR40">
        <v>0</v>
      </c>
      <c r="AS40">
        <v>0</v>
      </c>
      <c r="AT40">
        <v>77</v>
      </c>
      <c r="AU40">
        <v>41</v>
      </c>
      <c r="AV40">
        <v>1</v>
      </c>
      <c r="AW40">
        <v>1</v>
      </c>
      <c r="AZ40">
        <v>1</v>
      </c>
      <c r="BA40">
        <v>21.43</v>
      </c>
      <c r="BB40">
        <v>7.92</v>
      </c>
      <c r="BC40">
        <v>5.36</v>
      </c>
      <c r="BD40" t="s">
        <v>5</v>
      </c>
      <c r="BE40" t="s">
        <v>5</v>
      </c>
      <c r="BF40" t="s">
        <v>5</v>
      </c>
      <c r="BG40" t="s">
        <v>5</v>
      </c>
      <c r="BH40">
        <v>0</v>
      </c>
      <c r="BI40">
        <v>2</v>
      </c>
      <c r="BJ40" t="s">
        <v>69</v>
      </c>
      <c r="BM40">
        <v>355</v>
      </c>
      <c r="BN40">
        <v>0</v>
      </c>
      <c r="BO40" t="s">
        <v>67</v>
      </c>
      <c r="BP40">
        <v>1</v>
      </c>
      <c r="BQ40">
        <v>40</v>
      </c>
      <c r="BR40">
        <v>0</v>
      </c>
      <c r="BS40">
        <v>21.43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5</v>
      </c>
      <c r="BZ40">
        <v>77</v>
      </c>
      <c r="CA40">
        <v>41</v>
      </c>
      <c r="CE40">
        <v>30</v>
      </c>
      <c r="CF40">
        <v>0</v>
      </c>
      <c r="CG40">
        <v>0</v>
      </c>
      <c r="CM40">
        <v>0</v>
      </c>
      <c r="CN40" t="s">
        <v>182</v>
      </c>
      <c r="CO40">
        <v>0</v>
      </c>
      <c r="CP40">
        <f t="shared" si="35"/>
        <v>5309.91</v>
      </c>
      <c r="CQ40">
        <f t="shared" si="36"/>
        <v>290.39999999999998</v>
      </c>
      <c r="CR40">
        <f>(ROUND((ROUND((((ET40*1.15))*AV40*1),2)*BB40),2)+ROUND((ROUND(((AE40-((EU40*1.15)))*AV40*1),2)*BS40),2))</f>
        <v>111.59</v>
      </c>
      <c r="CS40">
        <f t="shared" si="37"/>
        <v>48.65</v>
      </c>
      <c r="CT40">
        <f t="shared" si="38"/>
        <v>660.04</v>
      </c>
      <c r="CU40">
        <f t="shared" si="39"/>
        <v>0</v>
      </c>
      <c r="CV40">
        <f t="shared" si="40"/>
        <v>2.3689999999999998</v>
      </c>
      <c r="CW40">
        <f t="shared" si="41"/>
        <v>0</v>
      </c>
      <c r="CX40">
        <f t="shared" si="42"/>
        <v>0</v>
      </c>
      <c r="CY40">
        <f t="shared" si="43"/>
        <v>2541.0077000000001</v>
      </c>
      <c r="CZ40">
        <f t="shared" si="44"/>
        <v>1353.0041000000001</v>
      </c>
      <c r="DC40" t="s">
        <v>5</v>
      </c>
      <c r="DD40" t="s">
        <v>5</v>
      </c>
      <c r="DE40" t="s">
        <v>20</v>
      </c>
      <c r="DF40" t="s">
        <v>20</v>
      </c>
      <c r="DG40" t="s">
        <v>20</v>
      </c>
      <c r="DH40" t="s">
        <v>5</v>
      </c>
      <c r="DI40" t="s">
        <v>20</v>
      </c>
      <c r="DJ40" t="s">
        <v>20</v>
      </c>
      <c r="DK40" t="s">
        <v>5</v>
      </c>
      <c r="DL40" t="s">
        <v>5</v>
      </c>
      <c r="DM40" t="s">
        <v>5</v>
      </c>
      <c r="DN40">
        <v>114</v>
      </c>
      <c r="DO40">
        <v>67</v>
      </c>
      <c r="DP40">
        <v>1</v>
      </c>
      <c r="DQ40">
        <v>1</v>
      </c>
      <c r="DU40">
        <v>1013</v>
      </c>
      <c r="DV40" t="s">
        <v>18</v>
      </c>
      <c r="DW40" t="s">
        <v>18</v>
      </c>
      <c r="DX40">
        <v>1</v>
      </c>
      <c r="EE40">
        <v>30507551</v>
      </c>
      <c r="EF40">
        <v>40</v>
      </c>
      <c r="EG40" t="s">
        <v>21</v>
      </c>
      <c r="EH40">
        <v>0</v>
      </c>
      <c r="EI40" t="s">
        <v>5</v>
      </c>
      <c r="EJ40">
        <v>2</v>
      </c>
      <c r="EK40">
        <v>355</v>
      </c>
      <c r="EL40" t="s">
        <v>61</v>
      </c>
      <c r="EM40" t="s">
        <v>62</v>
      </c>
      <c r="EO40" t="s">
        <v>24</v>
      </c>
      <c r="EQ40">
        <v>512</v>
      </c>
      <c r="ER40">
        <v>93.21</v>
      </c>
      <c r="ES40">
        <v>54.18</v>
      </c>
      <c r="ET40">
        <v>12.25</v>
      </c>
      <c r="EU40">
        <v>1.97</v>
      </c>
      <c r="EV40">
        <v>26.78</v>
      </c>
      <c r="EW40">
        <v>2.06</v>
      </c>
      <c r="EX40">
        <v>0</v>
      </c>
      <c r="EY40">
        <v>0</v>
      </c>
      <c r="FQ40">
        <v>0</v>
      </c>
      <c r="FR40">
        <f t="shared" si="45"/>
        <v>0</v>
      </c>
      <c r="FS40">
        <v>0</v>
      </c>
      <c r="FX40">
        <v>114</v>
      </c>
      <c r="FY40">
        <v>67</v>
      </c>
      <c r="GA40" t="s">
        <v>5</v>
      </c>
      <c r="GD40">
        <v>0</v>
      </c>
      <c r="GF40">
        <v>-1221244534</v>
      </c>
      <c r="GG40">
        <v>2</v>
      </c>
      <c r="GH40">
        <v>1</v>
      </c>
      <c r="GI40">
        <v>2</v>
      </c>
      <c r="GJ40">
        <v>0</v>
      </c>
      <c r="GK40">
        <f>ROUND(R40*(R12)/100,2)</f>
        <v>381.2</v>
      </c>
      <c r="GL40">
        <f t="shared" si="46"/>
        <v>0</v>
      </c>
      <c r="GM40">
        <f t="shared" si="47"/>
        <v>9585.1200000000008</v>
      </c>
      <c r="GN40">
        <f t="shared" si="48"/>
        <v>0</v>
      </c>
      <c r="GO40">
        <f t="shared" si="49"/>
        <v>9585.1200000000008</v>
      </c>
      <c r="GP40">
        <f t="shared" si="50"/>
        <v>0</v>
      </c>
      <c r="GR40">
        <v>0</v>
      </c>
      <c r="GS40">
        <v>3</v>
      </c>
      <c r="GT40">
        <v>0</v>
      </c>
      <c r="GU40" t="s">
        <v>5</v>
      </c>
      <c r="GV40">
        <f t="shared" si="51"/>
        <v>0</v>
      </c>
      <c r="GW40">
        <v>1</v>
      </c>
      <c r="GX40">
        <f t="shared" si="52"/>
        <v>0</v>
      </c>
      <c r="HA40">
        <v>0</v>
      </c>
      <c r="HB40">
        <v>0</v>
      </c>
      <c r="HC40">
        <f t="shared" si="53"/>
        <v>0</v>
      </c>
      <c r="IK40">
        <v>0</v>
      </c>
    </row>
    <row r="41" spans="1:245" x14ac:dyDescent="0.2">
      <c r="A41">
        <v>17</v>
      </c>
      <c r="B41">
        <v>1</v>
      </c>
      <c r="E41" t="s">
        <v>70</v>
      </c>
      <c r="F41" t="s">
        <v>26</v>
      </c>
      <c r="G41" t="s">
        <v>71</v>
      </c>
      <c r="H41" t="s">
        <v>28</v>
      </c>
      <c r="I41">
        <v>5</v>
      </c>
      <c r="J41">
        <v>0</v>
      </c>
      <c r="O41">
        <f t="shared" si="21"/>
        <v>29068.85</v>
      </c>
      <c r="P41">
        <f t="shared" si="22"/>
        <v>29068.85</v>
      </c>
      <c r="Q41">
        <f>(ROUND((ROUND(((ET41)*AV41*I41),2)*BB41),2)+ROUND((ROUND(((AE41-(EU41))*AV41*I41),2)*BS41),2))</f>
        <v>0</v>
      </c>
      <c r="R41">
        <f t="shared" si="23"/>
        <v>0</v>
      </c>
      <c r="S41">
        <f t="shared" si="24"/>
        <v>0</v>
      </c>
      <c r="T41">
        <f t="shared" si="25"/>
        <v>0</v>
      </c>
      <c r="U41">
        <f t="shared" si="26"/>
        <v>0</v>
      </c>
      <c r="V41">
        <f t="shared" si="27"/>
        <v>0</v>
      </c>
      <c r="W41">
        <f t="shared" si="28"/>
        <v>0</v>
      </c>
      <c r="X41">
        <f t="shared" si="29"/>
        <v>0</v>
      </c>
      <c r="Y41">
        <f t="shared" si="30"/>
        <v>0</v>
      </c>
      <c r="AA41">
        <v>31330642</v>
      </c>
      <c r="AB41">
        <f t="shared" si="31"/>
        <v>5813.77</v>
      </c>
      <c r="AC41">
        <f t="shared" si="32"/>
        <v>5813.77</v>
      </c>
      <c r="AD41">
        <f>ROUND((((ET41)-(EU41))+AE41),6)</f>
        <v>0</v>
      </c>
      <c r="AE41">
        <f>ROUND((EU41),6)</f>
        <v>0</v>
      </c>
      <c r="AF41">
        <f>ROUND((EV41),6)</f>
        <v>0</v>
      </c>
      <c r="AG41">
        <f t="shared" si="33"/>
        <v>0</v>
      </c>
      <c r="AH41">
        <f>(EW41)</f>
        <v>0</v>
      </c>
      <c r="AI41">
        <f>(EX41)</f>
        <v>0</v>
      </c>
      <c r="AJ41">
        <f t="shared" si="34"/>
        <v>0</v>
      </c>
      <c r="AK41">
        <v>5813.7699999999995</v>
      </c>
      <c r="AL41">
        <v>5813.7699999999995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5</v>
      </c>
      <c r="BE41" t="s">
        <v>5</v>
      </c>
      <c r="BF41" t="s">
        <v>5</v>
      </c>
      <c r="BG41" t="s">
        <v>5</v>
      </c>
      <c r="BH41">
        <v>3</v>
      </c>
      <c r="BI41">
        <v>3</v>
      </c>
      <c r="BJ41" t="s">
        <v>5</v>
      </c>
      <c r="BM41">
        <v>746</v>
      </c>
      <c r="BN41">
        <v>0</v>
      </c>
      <c r="BO41" t="s">
        <v>5</v>
      </c>
      <c r="BP41">
        <v>0</v>
      </c>
      <c r="BQ41">
        <v>130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5</v>
      </c>
      <c r="BZ41">
        <v>0</v>
      </c>
      <c r="CA41">
        <v>0</v>
      </c>
      <c r="CE41">
        <v>30</v>
      </c>
      <c r="CF41">
        <v>0</v>
      </c>
      <c r="CG41">
        <v>0</v>
      </c>
      <c r="CM41">
        <v>0</v>
      </c>
      <c r="CN41" t="s">
        <v>5</v>
      </c>
      <c r="CO41">
        <v>0</v>
      </c>
      <c r="CP41">
        <f t="shared" si="35"/>
        <v>29068.85</v>
      </c>
      <c r="CQ41">
        <f t="shared" si="36"/>
        <v>5813.77</v>
      </c>
      <c r="CR41">
        <f>(ROUND((ROUND(((ET41)*AV41*1),2)*BB41),2)+ROUND((ROUND(((AE41-(EU41))*AV41*1),2)*BS41),2))</f>
        <v>0</v>
      </c>
      <c r="CS41">
        <f t="shared" si="37"/>
        <v>0</v>
      </c>
      <c r="CT41">
        <f t="shared" si="38"/>
        <v>0</v>
      </c>
      <c r="CU41">
        <f t="shared" si="39"/>
        <v>0</v>
      </c>
      <c r="CV41">
        <f t="shared" si="40"/>
        <v>0</v>
      </c>
      <c r="CW41">
        <f t="shared" si="41"/>
        <v>0</v>
      </c>
      <c r="CX41">
        <f t="shared" si="42"/>
        <v>0</v>
      </c>
      <c r="CY41">
        <f t="shared" si="43"/>
        <v>0</v>
      </c>
      <c r="CZ41">
        <f t="shared" si="44"/>
        <v>0</v>
      </c>
      <c r="DC41" t="s">
        <v>5</v>
      </c>
      <c r="DD41" t="s">
        <v>5</v>
      </c>
      <c r="DE41" t="s">
        <v>5</v>
      </c>
      <c r="DF41" t="s">
        <v>5</v>
      </c>
      <c r="DG41" t="s">
        <v>5</v>
      </c>
      <c r="DH41" t="s">
        <v>5</v>
      </c>
      <c r="DI41" t="s">
        <v>5</v>
      </c>
      <c r="DJ41" t="s">
        <v>5</v>
      </c>
      <c r="DK41" t="s">
        <v>5</v>
      </c>
      <c r="DL41" t="s">
        <v>5</v>
      </c>
      <c r="DM41" t="s">
        <v>5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28</v>
      </c>
      <c r="DW41" t="s">
        <v>28</v>
      </c>
      <c r="DX41">
        <v>1</v>
      </c>
      <c r="EE41">
        <v>30507942</v>
      </c>
      <c r="EF41">
        <v>130</v>
      </c>
      <c r="EG41" t="s">
        <v>29</v>
      </c>
      <c r="EH41">
        <v>0</v>
      </c>
      <c r="EI41" t="s">
        <v>5</v>
      </c>
      <c r="EJ41">
        <v>3</v>
      </c>
      <c r="EK41">
        <v>746</v>
      </c>
      <c r="EL41" t="s">
        <v>30</v>
      </c>
      <c r="EM41" t="s">
        <v>31</v>
      </c>
      <c r="EO41" t="s">
        <v>5</v>
      </c>
      <c r="EQ41">
        <v>0</v>
      </c>
      <c r="ER41">
        <v>5859.73</v>
      </c>
      <c r="ES41">
        <v>5813.7699999999995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5</v>
      </c>
      <c r="FC41">
        <v>1</v>
      </c>
      <c r="FD41">
        <v>18</v>
      </c>
      <c r="FF41">
        <v>6693</v>
      </c>
      <c r="FQ41">
        <v>0</v>
      </c>
      <c r="FR41">
        <f t="shared" si="45"/>
        <v>29068.85</v>
      </c>
      <c r="FS41">
        <v>0</v>
      </c>
      <c r="FX41">
        <v>0</v>
      </c>
      <c r="FY41">
        <v>0</v>
      </c>
      <c r="GA41" t="s">
        <v>72</v>
      </c>
      <c r="GD41">
        <v>0</v>
      </c>
      <c r="GF41">
        <v>-555678782</v>
      </c>
      <c r="GG41">
        <v>2</v>
      </c>
      <c r="GH41">
        <v>3</v>
      </c>
      <c r="GI41">
        <v>-2</v>
      </c>
      <c r="GJ41">
        <v>0</v>
      </c>
      <c r="GK41">
        <f>ROUND(R41*(R12)/100,2)</f>
        <v>0</v>
      </c>
      <c r="GL41">
        <f t="shared" si="46"/>
        <v>0</v>
      </c>
      <c r="GM41">
        <f t="shared" si="47"/>
        <v>29068.85</v>
      </c>
      <c r="GN41">
        <f t="shared" si="48"/>
        <v>0</v>
      </c>
      <c r="GO41">
        <f t="shared" si="49"/>
        <v>0</v>
      </c>
      <c r="GP41">
        <f t="shared" si="50"/>
        <v>0</v>
      </c>
      <c r="GR41">
        <v>1</v>
      </c>
      <c r="GS41">
        <v>1</v>
      </c>
      <c r="GT41">
        <v>0</v>
      </c>
      <c r="GU41" t="s">
        <v>5</v>
      </c>
      <c r="GV41">
        <f t="shared" si="51"/>
        <v>0</v>
      </c>
      <c r="GW41">
        <v>1</v>
      </c>
      <c r="GX41">
        <f t="shared" si="52"/>
        <v>0</v>
      </c>
      <c r="HA41">
        <v>0</v>
      </c>
      <c r="HB41">
        <v>0</v>
      </c>
      <c r="HC41">
        <f t="shared" si="53"/>
        <v>0</v>
      </c>
      <c r="IK41">
        <v>0</v>
      </c>
    </row>
    <row r="42" spans="1:245" x14ac:dyDescent="0.2">
      <c r="A42">
        <v>17</v>
      </c>
      <c r="B42">
        <v>1</v>
      </c>
      <c r="C42">
        <f>ROW(SmtRes!A10)</f>
        <v>10</v>
      </c>
      <c r="D42">
        <f>ROW(EtalonRes!A10)</f>
        <v>10</v>
      </c>
      <c r="E42" t="s">
        <v>73</v>
      </c>
      <c r="F42" t="s">
        <v>74</v>
      </c>
      <c r="G42" t="s">
        <v>75</v>
      </c>
      <c r="H42" t="s">
        <v>76</v>
      </c>
      <c r="I42">
        <f>ROUND(30/100,9)</f>
        <v>0.3</v>
      </c>
      <c r="J42">
        <v>0</v>
      </c>
      <c r="O42">
        <f t="shared" si="21"/>
        <v>229.11</v>
      </c>
      <c r="P42">
        <f t="shared" si="22"/>
        <v>5.74</v>
      </c>
      <c r="Q42">
        <f>(ROUND((ROUND((((ET42*1.15))*AV42*I42),2)*BB42),2)+ROUND((ROUND(((AE42-((EU42*1.15)))*AV42*I42),2)*BS42),2))</f>
        <v>129.51</v>
      </c>
      <c r="R42">
        <f t="shared" si="23"/>
        <v>67.930000000000007</v>
      </c>
      <c r="S42">
        <f t="shared" si="24"/>
        <v>93.86</v>
      </c>
      <c r="T42">
        <f t="shared" si="25"/>
        <v>0</v>
      </c>
      <c r="U42">
        <f t="shared" si="26"/>
        <v>0.35534999999999994</v>
      </c>
      <c r="V42">
        <f t="shared" si="27"/>
        <v>0</v>
      </c>
      <c r="W42">
        <f t="shared" si="28"/>
        <v>0</v>
      </c>
      <c r="X42">
        <f t="shared" si="29"/>
        <v>72.27</v>
      </c>
      <c r="Y42">
        <f t="shared" si="30"/>
        <v>38.479999999999997</v>
      </c>
      <c r="AA42">
        <v>31330642</v>
      </c>
      <c r="AB42">
        <f t="shared" si="31"/>
        <v>67.165000000000006</v>
      </c>
      <c r="AC42">
        <f t="shared" si="32"/>
        <v>3.57</v>
      </c>
      <c r="AD42">
        <f>ROUND(((((ET42*1.15))-((EU42*1.15)))+AE42),6)</f>
        <v>48.99</v>
      </c>
      <c r="AE42">
        <f>ROUND(((EU42*1.15)),6)</f>
        <v>10.58</v>
      </c>
      <c r="AF42">
        <f>ROUND(((EV42*1.15)),6)</f>
        <v>14.605</v>
      </c>
      <c r="AG42">
        <f t="shared" si="33"/>
        <v>0</v>
      </c>
      <c r="AH42">
        <f>((EW42*1.15))</f>
        <v>1.1844999999999999</v>
      </c>
      <c r="AI42">
        <f>((EX42*1.15))</f>
        <v>0</v>
      </c>
      <c r="AJ42">
        <f t="shared" si="34"/>
        <v>0</v>
      </c>
      <c r="AK42">
        <v>58.87</v>
      </c>
      <c r="AL42">
        <v>3.57</v>
      </c>
      <c r="AM42">
        <v>42.6</v>
      </c>
      <c r="AN42">
        <v>9.1999999999999993</v>
      </c>
      <c r="AO42">
        <v>12.7</v>
      </c>
      <c r="AP42">
        <v>0</v>
      </c>
      <c r="AQ42">
        <v>1.03</v>
      </c>
      <c r="AR42">
        <v>0</v>
      </c>
      <c r="AS42">
        <v>0</v>
      </c>
      <c r="AT42">
        <v>77</v>
      </c>
      <c r="AU42">
        <v>41</v>
      </c>
      <c r="AV42">
        <v>1</v>
      </c>
      <c r="AW42">
        <v>1</v>
      </c>
      <c r="AZ42">
        <v>1</v>
      </c>
      <c r="BA42">
        <v>21.43</v>
      </c>
      <c r="BB42">
        <v>8.81</v>
      </c>
      <c r="BC42">
        <v>5.36</v>
      </c>
      <c r="BD42" t="s">
        <v>5</v>
      </c>
      <c r="BE42" t="s">
        <v>5</v>
      </c>
      <c r="BF42" t="s">
        <v>5</v>
      </c>
      <c r="BG42" t="s">
        <v>5</v>
      </c>
      <c r="BH42">
        <v>0</v>
      </c>
      <c r="BI42">
        <v>2</v>
      </c>
      <c r="BJ42" t="s">
        <v>77</v>
      </c>
      <c r="BM42">
        <v>331</v>
      </c>
      <c r="BN42">
        <v>0</v>
      </c>
      <c r="BO42" t="s">
        <v>74</v>
      </c>
      <c r="BP42">
        <v>1</v>
      </c>
      <c r="BQ42">
        <v>40</v>
      </c>
      <c r="BR42">
        <v>0</v>
      </c>
      <c r="BS42">
        <v>21.43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5</v>
      </c>
      <c r="BZ42">
        <v>77</v>
      </c>
      <c r="CA42">
        <v>41</v>
      </c>
      <c r="CE42">
        <v>30</v>
      </c>
      <c r="CF42">
        <v>0</v>
      </c>
      <c r="CG42">
        <v>0</v>
      </c>
      <c r="CM42">
        <v>0</v>
      </c>
      <c r="CN42" t="s">
        <v>182</v>
      </c>
      <c r="CO42">
        <v>0</v>
      </c>
      <c r="CP42">
        <f t="shared" si="35"/>
        <v>229.11</v>
      </c>
      <c r="CQ42">
        <f t="shared" si="36"/>
        <v>19.14</v>
      </c>
      <c r="CR42">
        <f>(ROUND((ROUND((((ET42*1.15))*AV42*1),2)*BB42),2)+ROUND((ROUND(((AE42-((EU42*1.15)))*AV42*1),2)*BS42),2))</f>
        <v>431.6</v>
      </c>
      <c r="CS42">
        <f t="shared" si="37"/>
        <v>226.73</v>
      </c>
      <c r="CT42">
        <f t="shared" si="38"/>
        <v>313.08999999999997</v>
      </c>
      <c r="CU42">
        <f t="shared" si="39"/>
        <v>0</v>
      </c>
      <c r="CV42">
        <f t="shared" si="40"/>
        <v>1.1844999999999999</v>
      </c>
      <c r="CW42">
        <f t="shared" si="41"/>
        <v>0</v>
      </c>
      <c r="CX42">
        <f t="shared" si="42"/>
        <v>0</v>
      </c>
      <c r="CY42">
        <f t="shared" si="43"/>
        <v>72.272199999999998</v>
      </c>
      <c r="CZ42">
        <f t="shared" si="44"/>
        <v>38.482599999999998</v>
      </c>
      <c r="DC42" t="s">
        <v>5</v>
      </c>
      <c r="DD42" t="s">
        <v>5</v>
      </c>
      <c r="DE42" t="s">
        <v>20</v>
      </c>
      <c r="DF42" t="s">
        <v>20</v>
      </c>
      <c r="DG42" t="s">
        <v>20</v>
      </c>
      <c r="DH42" t="s">
        <v>5</v>
      </c>
      <c r="DI42" t="s">
        <v>20</v>
      </c>
      <c r="DJ42" t="s">
        <v>20</v>
      </c>
      <c r="DK42" t="s">
        <v>5</v>
      </c>
      <c r="DL42" t="s">
        <v>5</v>
      </c>
      <c r="DM42" t="s">
        <v>5</v>
      </c>
      <c r="DN42">
        <v>114</v>
      </c>
      <c r="DO42">
        <v>67</v>
      </c>
      <c r="DP42">
        <v>1</v>
      </c>
      <c r="DQ42">
        <v>1</v>
      </c>
      <c r="DU42">
        <v>1013</v>
      </c>
      <c r="DV42" t="s">
        <v>76</v>
      </c>
      <c r="DW42" t="s">
        <v>76</v>
      </c>
      <c r="DX42">
        <v>1</v>
      </c>
      <c r="EE42">
        <v>30507527</v>
      </c>
      <c r="EF42">
        <v>40</v>
      </c>
      <c r="EG42" t="s">
        <v>21</v>
      </c>
      <c r="EH42">
        <v>0</v>
      </c>
      <c r="EI42" t="s">
        <v>5</v>
      </c>
      <c r="EJ42">
        <v>2</v>
      </c>
      <c r="EK42">
        <v>331</v>
      </c>
      <c r="EL42" t="s">
        <v>78</v>
      </c>
      <c r="EM42" t="s">
        <v>79</v>
      </c>
      <c r="EO42" t="s">
        <v>24</v>
      </c>
      <c r="EQ42">
        <v>0</v>
      </c>
      <c r="ER42">
        <v>58.87</v>
      </c>
      <c r="ES42">
        <v>3.57</v>
      </c>
      <c r="ET42">
        <v>42.6</v>
      </c>
      <c r="EU42">
        <v>9.1999999999999993</v>
      </c>
      <c r="EV42">
        <v>12.7</v>
      </c>
      <c r="EW42">
        <v>1.03</v>
      </c>
      <c r="EX42">
        <v>0</v>
      </c>
      <c r="EY42">
        <v>0</v>
      </c>
      <c r="FQ42">
        <v>0</v>
      </c>
      <c r="FR42">
        <f t="shared" si="45"/>
        <v>0</v>
      </c>
      <c r="FS42">
        <v>0</v>
      </c>
      <c r="FX42">
        <v>114</v>
      </c>
      <c r="FY42">
        <v>67</v>
      </c>
      <c r="GA42" t="s">
        <v>5</v>
      </c>
      <c r="GD42">
        <v>0</v>
      </c>
      <c r="GF42">
        <v>1192063443</v>
      </c>
      <c r="GG42">
        <v>2</v>
      </c>
      <c r="GH42">
        <v>1</v>
      </c>
      <c r="GI42">
        <v>2</v>
      </c>
      <c r="GJ42">
        <v>0</v>
      </c>
      <c r="GK42">
        <f>ROUND(R42*(R12)/100,2)</f>
        <v>106.65</v>
      </c>
      <c r="GL42">
        <f t="shared" si="46"/>
        <v>0</v>
      </c>
      <c r="GM42">
        <f t="shared" si="47"/>
        <v>446.51</v>
      </c>
      <c r="GN42">
        <f t="shared" si="48"/>
        <v>0</v>
      </c>
      <c r="GO42">
        <f t="shared" si="49"/>
        <v>446.51</v>
      </c>
      <c r="GP42">
        <f t="shared" si="50"/>
        <v>0</v>
      </c>
      <c r="GR42">
        <v>0</v>
      </c>
      <c r="GS42">
        <v>3</v>
      </c>
      <c r="GT42">
        <v>0</v>
      </c>
      <c r="GU42" t="s">
        <v>5</v>
      </c>
      <c r="GV42">
        <f t="shared" si="51"/>
        <v>0</v>
      </c>
      <c r="GW42">
        <v>1</v>
      </c>
      <c r="GX42">
        <f t="shared" si="52"/>
        <v>0</v>
      </c>
      <c r="HA42">
        <v>0</v>
      </c>
      <c r="HB42">
        <v>0</v>
      </c>
      <c r="HC42">
        <f t="shared" si="53"/>
        <v>0</v>
      </c>
      <c r="IK42">
        <v>0</v>
      </c>
    </row>
    <row r="43" spans="1:245" x14ac:dyDescent="0.2">
      <c r="A43">
        <v>17</v>
      </c>
      <c r="B43">
        <v>1</v>
      </c>
      <c r="C43">
        <f>ROW(SmtRes!A11)</f>
        <v>11</v>
      </c>
      <c r="D43">
        <f>ROW(EtalonRes!A11)</f>
        <v>11</v>
      </c>
      <c r="E43" t="s">
        <v>80</v>
      </c>
      <c r="F43" t="s">
        <v>81</v>
      </c>
      <c r="G43" t="s">
        <v>82</v>
      </c>
      <c r="H43" t="s">
        <v>83</v>
      </c>
      <c r="I43">
        <f>ROUND(30/100,9)</f>
        <v>0.3</v>
      </c>
      <c r="J43">
        <v>0</v>
      </c>
      <c r="O43">
        <f t="shared" si="21"/>
        <v>2590.36</v>
      </c>
      <c r="P43">
        <f t="shared" si="22"/>
        <v>50.44</v>
      </c>
      <c r="Q43">
        <f>(ROUND((ROUND((((ET43*1.15))*AV43*I43),2)*BB43),2)+ROUND((ROUND(((AE43-((EU43*1.15)))*AV43*I43),2)*BS43),2))</f>
        <v>689.44</v>
      </c>
      <c r="R43">
        <f t="shared" si="23"/>
        <v>299.58999999999997</v>
      </c>
      <c r="S43">
        <f t="shared" si="24"/>
        <v>1850.48</v>
      </c>
      <c r="T43">
        <f t="shared" si="25"/>
        <v>0</v>
      </c>
      <c r="U43">
        <f t="shared" si="26"/>
        <v>7.0034999999999998</v>
      </c>
      <c r="V43">
        <f t="shared" si="27"/>
        <v>0</v>
      </c>
      <c r="W43">
        <f t="shared" si="28"/>
        <v>0</v>
      </c>
      <c r="X43">
        <f t="shared" si="29"/>
        <v>1424.87</v>
      </c>
      <c r="Y43">
        <f t="shared" si="30"/>
        <v>758.7</v>
      </c>
      <c r="AA43">
        <v>31330642</v>
      </c>
      <c r="AB43">
        <f t="shared" si="31"/>
        <v>609.36149999999998</v>
      </c>
      <c r="AC43">
        <f t="shared" si="32"/>
        <v>31.36</v>
      </c>
      <c r="AD43">
        <f>ROUND(((((ET43*1.15))-((EU43*1.15)))+AE43),6)</f>
        <v>290.15649999999999</v>
      </c>
      <c r="AE43">
        <f>ROUND(((EU43*1.15)),6)</f>
        <v>46.597999999999999</v>
      </c>
      <c r="AF43">
        <f>ROUND(((EV43*1.15)),6)</f>
        <v>287.84500000000003</v>
      </c>
      <c r="AG43">
        <f t="shared" si="33"/>
        <v>0</v>
      </c>
      <c r="AH43">
        <f>((EW43*1.15))</f>
        <v>23.344999999999999</v>
      </c>
      <c r="AI43">
        <f>((EX43*1.15))</f>
        <v>0</v>
      </c>
      <c r="AJ43">
        <f t="shared" si="34"/>
        <v>0</v>
      </c>
      <c r="AK43">
        <v>533.97</v>
      </c>
      <c r="AL43">
        <v>31.36</v>
      </c>
      <c r="AM43">
        <v>252.31</v>
      </c>
      <c r="AN43">
        <v>40.520000000000003</v>
      </c>
      <c r="AO43">
        <v>250.3</v>
      </c>
      <c r="AP43">
        <v>0</v>
      </c>
      <c r="AQ43">
        <v>20.3</v>
      </c>
      <c r="AR43">
        <v>0</v>
      </c>
      <c r="AS43">
        <v>0</v>
      </c>
      <c r="AT43">
        <v>77</v>
      </c>
      <c r="AU43">
        <v>41</v>
      </c>
      <c r="AV43">
        <v>1</v>
      </c>
      <c r="AW43">
        <v>1</v>
      </c>
      <c r="AZ43">
        <v>1</v>
      </c>
      <c r="BA43">
        <v>21.43</v>
      </c>
      <c r="BB43">
        <v>7.92</v>
      </c>
      <c r="BC43">
        <v>5.36</v>
      </c>
      <c r="BD43" t="s">
        <v>5</v>
      </c>
      <c r="BE43" t="s">
        <v>5</v>
      </c>
      <c r="BF43" t="s">
        <v>5</v>
      </c>
      <c r="BG43" t="s">
        <v>5</v>
      </c>
      <c r="BH43">
        <v>0</v>
      </c>
      <c r="BI43">
        <v>2</v>
      </c>
      <c r="BJ43" t="s">
        <v>84</v>
      </c>
      <c r="BM43">
        <v>331</v>
      </c>
      <c r="BN43">
        <v>0</v>
      </c>
      <c r="BO43" t="s">
        <v>81</v>
      </c>
      <c r="BP43">
        <v>1</v>
      </c>
      <c r="BQ43">
        <v>40</v>
      </c>
      <c r="BR43">
        <v>0</v>
      </c>
      <c r="BS43">
        <v>21.43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5</v>
      </c>
      <c r="BZ43">
        <v>77</v>
      </c>
      <c r="CA43">
        <v>41</v>
      </c>
      <c r="CE43">
        <v>30</v>
      </c>
      <c r="CF43">
        <v>0</v>
      </c>
      <c r="CG43">
        <v>0</v>
      </c>
      <c r="CM43">
        <v>0</v>
      </c>
      <c r="CN43" t="s">
        <v>182</v>
      </c>
      <c r="CO43">
        <v>0</v>
      </c>
      <c r="CP43">
        <f t="shared" si="35"/>
        <v>2590.36</v>
      </c>
      <c r="CQ43">
        <f t="shared" si="36"/>
        <v>168.09</v>
      </c>
      <c r="CR43">
        <f>(ROUND((ROUND((((ET43*1.15))*AV43*1),2)*BB43),2)+ROUND((ROUND(((AE43-((EU43*1.15)))*AV43*1),2)*BS43),2))</f>
        <v>2298.0700000000002</v>
      </c>
      <c r="CS43">
        <f t="shared" si="37"/>
        <v>998.64</v>
      </c>
      <c r="CT43">
        <f t="shared" si="38"/>
        <v>6168.63</v>
      </c>
      <c r="CU43">
        <f t="shared" si="39"/>
        <v>0</v>
      </c>
      <c r="CV43">
        <f t="shared" si="40"/>
        <v>23.344999999999999</v>
      </c>
      <c r="CW43">
        <f t="shared" si="41"/>
        <v>0</v>
      </c>
      <c r="CX43">
        <f t="shared" si="42"/>
        <v>0</v>
      </c>
      <c r="CY43">
        <f t="shared" si="43"/>
        <v>1424.8696</v>
      </c>
      <c r="CZ43">
        <f t="shared" si="44"/>
        <v>758.69679999999994</v>
      </c>
      <c r="DC43" t="s">
        <v>5</v>
      </c>
      <c r="DD43" t="s">
        <v>5</v>
      </c>
      <c r="DE43" t="s">
        <v>20</v>
      </c>
      <c r="DF43" t="s">
        <v>20</v>
      </c>
      <c r="DG43" t="s">
        <v>20</v>
      </c>
      <c r="DH43" t="s">
        <v>5</v>
      </c>
      <c r="DI43" t="s">
        <v>20</v>
      </c>
      <c r="DJ43" t="s">
        <v>20</v>
      </c>
      <c r="DK43" t="s">
        <v>5</v>
      </c>
      <c r="DL43" t="s">
        <v>5</v>
      </c>
      <c r="DM43" t="s">
        <v>5</v>
      </c>
      <c r="DN43">
        <v>114</v>
      </c>
      <c r="DO43">
        <v>67</v>
      </c>
      <c r="DP43">
        <v>1</v>
      </c>
      <c r="DQ43">
        <v>1</v>
      </c>
      <c r="DU43">
        <v>1013</v>
      </c>
      <c r="DV43" t="s">
        <v>83</v>
      </c>
      <c r="DW43" t="s">
        <v>83</v>
      </c>
      <c r="DX43">
        <v>1</v>
      </c>
      <c r="EE43">
        <v>30507527</v>
      </c>
      <c r="EF43">
        <v>40</v>
      </c>
      <c r="EG43" t="s">
        <v>21</v>
      </c>
      <c r="EH43">
        <v>0</v>
      </c>
      <c r="EI43" t="s">
        <v>5</v>
      </c>
      <c r="EJ43">
        <v>2</v>
      </c>
      <c r="EK43">
        <v>331</v>
      </c>
      <c r="EL43" t="s">
        <v>78</v>
      </c>
      <c r="EM43" t="s">
        <v>79</v>
      </c>
      <c r="EO43" t="s">
        <v>24</v>
      </c>
      <c r="EQ43">
        <v>0</v>
      </c>
      <c r="ER43">
        <v>533.97</v>
      </c>
      <c r="ES43">
        <v>31.36</v>
      </c>
      <c r="ET43">
        <v>252.31</v>
      </c>
      <c r="EU43">
        <v>40.520000000000003</v>
      </c>
      <c r="EV43">
        <v>250.3</v>
      </c>
      <c r="EW43">
        <v>20.3</v>
      </c>
      <c r="EX43">
        <v>0</v>
      </c>
      <c r="EY43">
        <v>0</v>
      </c>
      <c r="FQ43">
        <v>0</v>
      </c>
      <c r="FR43">
        <f t="shared" si="45"/>
        <v>0</v>
      </c>
      <c r="FS43">
        <v>0</v>
      </c>
      <c r="FX43">
        <v>114</v>
      </c>
      <c r="FY43">
        <v>67</v>
      </c>
      <c r="GA43" t="s">
        <v>5</v>
      </c>
      <c r="GD43">
        <v>0</v>
      </c>
      <c r="GF43">
        <v>-927856675</v>
      </c>
      <c r="GG43">
        <v>2</v>
      </c>
      <c r="GH43">
        <v>1</v>
      </c>
      <c r="GI43">
        <v>2</v>
      </c>
      <c r="GJ43">
        <v>0</v>
      </c>
      <c r="GK43">
        <f>ROUND(R43*(R12)/100,2)</f>
        <v>470.36</v>
      </c>
      <c r="GL43">
        <f t="shared" si="46"/>
        <v>0</v>
      </c>
      <c r="GM43">
        <f t="shared" si="47"/>
        <v>5244.29</v>
      </c>
      <c r="GN43">
        <f t="shared" si="48"/>
        <v>0</v>
      </c>
      <c r="GO43">
        <f t="shared" si="49"/>
        <v>5244.29</v>
      </c>
      <c r="GP43">
        <f t="shared" si="50"/>
        <v>0</v>
      </c>
      <c r="GR43">
        <v>0</v>
      </c>
      <c r="GS43">
        <v>3</v>
      </c>
      <c r="GT43">
        <v>0</v>
      </c>
      <c r="GU43" t="s">
        <v>5</v>
      </c>
      <c r="GV43">
        <f t="shared" si="51"/>
        <v>0</v>
      </c>
      <c r="GW43">
        <v>1</v>
      </c>
      <c r="GX43">
        <f t="shared" si="52"/>
        <v>0</v>
      </c>
      <c r="HA43">
        <v>0</v>
      </c>
      <c r="HB43">
        <v>0</v>
      </c>
      <c r="HC43">
        <f t="shared" si="53"/>
        <v>0</v>
      </c>
      <c r="IK43">
        <v>0</v>
      </c>
    </row>
    <row r="45" spans="1:245" x14ac:dyDescent="0.2">
      <c r="A45">
        <v>51</v>
      </c>
      <c r="B45">
        <f>B24</f>
        <v>1</v>
      </c>
      <c r="C45">
        <f>A24</f>
        <v>4</v>
      </c>
      <c r="D45">
        <f>ROW(A24)</f>
        <v>24</v>
      </c>
      <c r="F45" t="str">
        <f>IF(F24&lt;&gt;"",F24,"")</f>
        <v>Новый раздел</v>
      </c>
      <c r="G45" t="str">
        <f>IF(G24&lt;&gt;"",G24,"")</f>
        <v>Монтажные работы</v>
      </c>
      <c r="H45">
        <v>0</v>
      </c>
      <c r="O45">
        <f t="shared" ref="O45:T45" si="56">ROUND(AB45,2)</f>
        <v>94004.1</v>
      </c>
      <c r="P45">
        <f t="shared" si="56"/>
        <v>84315.33</v>
      </c>
      <c r="Q45">
        <f t="shared" si="56"/>
        <v>1994.33</v>
      </c>
      <c r="R45">
        <f t="shared" si="56"/>
        <v>867.26</v>
      </c>
      <c r="S45">
        <f t="shared" si="56"/>
        <v>7694.44</v>
      </c>
      <c r="T45">
        <f t="shared" si="56"/>
        <v>0</v>
      </c>
      <c r="U45">
        <f>AH45</f>
        <v>28.196850000000001</v>
      </c>
      <c r="V45">
        <f>AI45</f>
        <v>0</v>
      </c>
      <c r="W45">
        <f>ROUND(AJ45,2)</f>
        <v>0</v>
      </c>
      <c r="X45">
        <f>ROUND(AK45,2)</f>
        <v>5924.71</v>
      </c>
      <c r="Y45">
        <f>ROUND(AL45,2)</f>
        <v>3154.72</v>
      </c>
      <c r="AB45">
        <f>ROUND(SUMIF(AA28:AA43,"=31330642",O28:O43),2)</f>
        <v>94004.1</v>
      </c>
      <c r="AC45">
        <f>ROUND(SUMIF(AA28:AA43,"=31330642",P28:P43),2)</f>
        <v>84315.33</v>
      </c>
      <c r="AD45">
        <f>ROUND(SUMIF(AA28:AA43,"=31330642",Q28:Q43),2)</f>
        <v>1994.33</v>
      </c>
      <c r="AE45">
        <f>ROUND(SUMIF(AA28:AA43,"=31330642",R28:R43),2)</f>
        <v>867.26</v>
      </c>
      <c r="AF45">
        <f>ROUND(SUMIF(AA28:AA43,"=31330642",S28:S43),2)</f>
        <v>7694.44</v>
      </c>
      <c r="AG45">
        <f>ROUND(SUMIF(AA28:AA43,"=31330642",T28:T43),2)</f>
        <v>0</v>
      </c>
      <c r="AH45">
        <f>SUMIF(AA28:AA43,"=31330642",U28:U43)</f>
        <v>28.196850000000001</v>
      </c>
      <c r="AI45">
        <f>SUMIF(AA28:AA43,"=31330642",V28:V43)</f>
        <v>0</v>
      </c>
      <c r="AJ45">
        <f>ROUND(SUMIF(AA28:AA43,"=31330642",W28:W43),2)</f>
        <v>0</v>
      </c>
      <c r="AK45">
        <f>ROUND(SUMIF(AA28:AA43,"=31330642",X28:X43),2)</f>
        <v>5924.71</v>
      </c>
      <c r="AL45">
        <f>ROUND(SUMIF(AA28:AA43,"=31330642",Y28:Y43),2)</f>
        <v>3154.72</v>
      </c>
      <c r="AO45">
        <f t="shared" ref="AO45:BC45" si="57">ROUND(BX45,2)</f>
        <v>0</v>
      </c>
      <c r="AP45">
        <f t="shared" si="57"/>
        <v>82374.52</v>
      </c>
      <c r="AQ45">
        <f t="shared" si="57"/>
        <v>0</v>
      </c>
      <c r="AR45">
        <f t="shared" si="57"/>
        <v>104445.13</v>
      </c>
      <c r="AS45">
        <f t="shared" si="57"/>
        <v>0</v>
      </c>
      <c r="AT45">
        <f t="shared" si="57"/>
        <v>22070.61</v>
      </c>
      <c r="AU45">
        <f t="shared" si="57"/>
        <v>0</v>
      </c>
      <c r="AV45">
        <f t="shared" si="57"/>
        <v>84315.33</v>
      </c>
      <c r="AW45">
        <f t="shared" si="57"/>
        <v>1940.81</v>
      </c>
      <c r="AX45">
        <f t="shared" si="57"/>
        <v>0</v>
      </c>
      <c r="AY45">
        <f t="shared" si="57"/>
        <v>1940.81</v>
      </c>
      <c r="AZ45">
        <f t="shared" si="57"/>
        <v>82374.52</v>
      </c>
      <c r="BA45">
        <f t="shared" si="57"/>
        <v>0</v>
      </c>
      <c r="BB45">
        <f t="shared" si="57"/>
        <v>0</v>
      </c>
      <c r="BC45">
        <f t="shared" si="57"/>
        <v>0</v>
      </c>
      <c r="BX45">
        <f>ROUND(SUMIF(AA28:AA43,"=31330642",FQ28:FQ43),2)</f>
        <v>0</v>
      </c>
      <c r="BY45">
        <f>ROUND(SUMIF(AA28:AA43,"=31330642",FR28:FR43),2)</f>
        <v>82374.52</v>
      </c>
      <c r="BZ45">
        <f>ROUND(SUMIF(AA28:AA43,"=31330642",GL28:GL43),2)</f>
        <v>0</v>
      </c>
      <c r="CA45">
        <f>ROUND(SUMIF(AA28:AA43,"=31330642",GM28:GM43),2)</f>
        <v>104445.13</v>
      </c>
      <c r="CB45">
        <f>ROUND(SUMIF(AA28:AA43,"=31330642",GN28:GN43),2)</f>
        <v>0</v>
      </c>
      <c r="CC45">
        <f>ROUND(SUMIF(AA28:AA43,"=31330642",GO28:GO43),2)</f>
        <v>22070.61</v>
      </c>
      <c r="CD45">
        <f>ROUND(SUMIF(AA28:AA43,"=31330642",GP28:GP43),2)</f>
        <v>0</v>
      </c>
      <c r="CE45">
        <f>AC45-BX45</f>
        <v>84315.33</v>
      </c>
      <c r="CF45">
        <f>AC45-BY45</f>
        <v>1940.8099999999977</v>
      </c>
      <c r="CG45">
        <f>BX45-BZ45</f>
        <v>0</v>
      </c>
      <c r="CH45">
        <f>AC45-BX45-BY45+BZ45</f>
        <v>1940.8099999999977</v>
      </c>
      <c r="CI45">
        <f>BY45-BZ45</f>
        <v>82374.52</v>
      </c>
      <c r="CJ45">
        <f>ROUND(SUMIF(AA28:AA43,"=31330642",GX28:GX43),2)</f>
        <v>0</v>
      </c>
      <c r="CK45">
        <f>ROUND(SUMIF(AA28:AA43,"=31330642",GY28:GY43),2)</f>
        <v>0</v>
      </c>
      <c r="CL45">
        <f>ROUND(SUMIF(AA28:AA43,"=31330642",GZ28:GZ43),2)</f>
        <v>0</v>
      </c>
      <c r="GX45">
        <v>0</v>
      </c>
    </row>
    <row r="47" spans="1:245" x14ac:dyDescent="0.2">
      <c r="A47">
        <v>50</v>
      </c>
      <c r="B47">
        <v>0</v>
      </c>
      <c r="C47">
        <v>0</v>
      </c>
      <c r="D47">
        <v>1</v>
      </c>
      <c r="E47">
        <v>201</v>
      </c>
      <c r="F47">
        <f>ROUND(Source!O45,O47)</f>
        <v>94004.1</v>
      </c>
      <c r="G47" t="s">
        <v>85</v>
      </c>
      <c r="H47" t="s">
        <v>86</v>
      </c>
      <c r="K47">
        <v>201</v>
      </c>
      <c r="L47">
        <v>1</v>
      </c>
      <c r="M47">
        <v>3</v>
      </c>
      <c r="N47" t="s">
        <v>5</v>
      </c>
      <c r="O47">
        <v>2</v>
      </c>
    </row>
    <row r="48" spans="1:245" x14ac:dyDescent="0.2">
      <c r="A48">
        <v>50</v>
      </c>
      <c r="B48">
        <v>0</v>
      </c>
      <c r="C48">
        <v>0</v>
      </c>
      <c r="D48">
        <v>1</v>
      </c>
      <c r="E48">
        <v>202</v>
      </c>
      <c r="F48">
        <f>ROUND(Source!P45,O48)</f>
        <v>84315.33</v>
      </c>
      <c r="G48" t="s">
        <v>87</v>
      </c>
      <c r="H48" t="s">
        <v>88</v>
      </c>
      <c r="K48">
        <v>202</v>
      </c>
      <c r="L48">
        <v>2</v>
      </c>
      <c r="M48">
        <v>3</v>
      </c>
      <c r="N48" t="s">
        <v>5</v>
      </c>
      <c r="O48">
        <v>2</v>
      </c>
    </row>
    <row r="49" spans="1:15" x14ac:dyDescent="0.2">
      <c r="A49">
        <v>50</v>
      </c>
      <c r="B49">
        <v>0</v>
      </c>
      <c r="C49">
        <v>0</v>
      </c>
      <c r="D49">
        <v>1</v>
      </c>
      <c r="E49">
        <v>222</v>
      </c>
      <c r="F49">
        <f>ROUND(Source!AO45,O49)</f>
        <v>0</v>
      </c>
      <c r="G49" t="s">
        <v>89</v>
      </c>
      <c r="H49" t="s">
        <v>90</v>
      </c>
      <c r="K49">
        <v>222</v>
      </c>
      <c r="L49">
        <v>3</v>
      </c>
      <c r="M49">
        <v>3</v>
      </c>
      <c r="N49" t="s">
        <v>5</v>
      </c>
      <c r="O49">
        <v>2</v>
      </c>
    </row>
    <row r="50" spans="1:15" x14ac:dyDescent="0.2">
      <c r="A50">
        <v>50</v>
      </c>
      <c r="B50">
        <v>0</v>
      </c>
      <c r="C50">
        <v>0</v>
      </c>
      <c r="D50">
        <v>1</v>
      </c>
      <c r="E50">
        <v>225</v>
      </c>
      <c r="F50">
        <f>ROUND(Source!AV45,O50)</f>
        <v>84315.33</v>
      </c>
      <c r="G50" t="s">
        <v>91</v>
      </c>
      <c r="H50" t="s">
        <v>92</v>
      </c>
      <c r="K50">
        <v>225</v>
      </c>
      <c r="L50">
        <v>4</v>
      </c>
      <c r="M50">
        <v>3</v>
      </c>
      <c r="N50" t="s">
        <v>5</v>
      </c>
      <c r="O50">
        <v>2</v>
      </c>
    </row>
    <row r="51" spans="1:15" x14ac:dyDescent="0.2">
      <c r="A51">
        <v>50</v>
      </c>
      <c r="B51">
        <v>0</v>
      </c>
      <c r="C51">
        <v>0</v>
      </c>
      <c r="D51">
        <v>1</v>
      </c>
      <c r="E51">
        <v>226</v>
      </c>
      <c r="F51">
        <f>ROUND(Source!AW45,O51)</f>
        <v>1940.81</v>
      </c>
      <c r="G51" t="s">
        <v>93</v>
      </c>
      <c r="H51" t="s">
        <v>94</v>
      </c>
      <c r="K51">
        <v>226</v>
      </c>
      <c r="L51">
        <v>5</v>
      </c>
      <c r="M51">
        <v>3</v>
      </c>
      <c r="N51" t="s">
        <v>5</v>
      </c>
      <c r="O51">
        <v>2</v>
      </c>
    </row>
    <row r="52" spans="1:15" x14ac:dyDescent="0.2">
      <c r="A52">
        <v>50</v>
      </c>
      <c r="B52">
        <v>0</v>
      </c>
      <c r="C52">
        <v>0</v>
      </c>
      <c r="D52">
        <v>1</v>
      </c>
      <c r="E52">
        <v>227</v>
      </c>
      <c r="F52">
        <f>ROUND(Source!AX45,O52)</f>
        <v>0</v>
      </c>
      <c r="G52" t="s">
        <v>95</v>
      </c>
      <c r="H52" t="s">
        <v>96</v>
      </c>
      <c r="K52">
        <v>227</v>
      </c>
      <c r="L52">
        <v>6</v>
      </c>
      <c r="M52">
        <v>3</v>
      </c>
      <c r="N52" t="s">
        <v>5</v>
      </c>
      <c r="O52">
        <v>2</v>
      </c>
    </row>
    <row r="53" spans="1:15" x14ac:dyDescent="0.2">
      <c r="A53">
        <v>50</v>
      </c>
      <c r="B53">
        <v>0</v>
      </c>
      <c r="C53">
        <v>0</v>
      </c>
      <c r="D53">
        <v>1</v>
      </c>
      <c r="E53">
        <v>228</v>
      </c>
      <c r="F53">
        <f>ROUND(Source!AY45,O53)</f>
        <v>1940.81</v>
      </c>
      <c r="G53" t="s">
        <v>97</v>
      </c>
      <c r="H53" t="s">
        <v>98</v>
      </c>
      <c r="K53">
        <v>228</v>
      </c>
      <c r="L53">
        <v>7</v>
      </c>
      <c r="M53">
        <v>3</v>
      </c>
      <c r="N53" t="s">
        <v>5</v>
      </c>
      <c r="O53">
        <v>2</v>
      </c>
    </row>
    <row r="54" spans="1:15" x14ac:dyDescent="0.2">
      <c r="A54">
        <v>50</v>
      </c>
      <c r="B54">
        <v>0</v>
      </c>
      <c r="C54">
        <v>0</v>
      </c>
      <c r="D54">
        <v>1</v>
      </c>
      <c r="E54">
        <v>216</v>
      </c>
      <c r="F54">
        <f>ROUND(Source!AP45,O54)</f>
        <v>82374.52</v>
      </c>
      <c r="G54" t="s">
        <v>99</v>
      </c>
      <c r="H54" t="s">
        <v>100</v>
      </c>
      <c r="K54">
        <v>216</v>
      </c>
      <c r="L54">
        <v>8</v>
      </c>
      <c r="M54">
        <v>3</v>
      </c>
      <c r="N54" t="s">
        <v>5</v>
      </c>
      <c r="O54">
        <v>2</v>
      </c>
    </row>
    <row r="55" spans="1:15" x14ac:dyDescent="0.2">
      <c r="A55">
        <v>50</v>
      </c>
      <c r="B55">
        <v>0</v>
      </c>
      <c r="C55">
        <v>0</v>
      </c>
      <c r="D55">
        <v>1</v>
      </c>
      <c r="E55">
        <v>223</v>
      </c>
      <c r="F55">
        <f>ROUND(Source!AQ45,O55)</f>
        <v>0</v>
      </c>
      <c r="G55" t="s">
        <v>101</v>
      </c>
      <c r="H55" t="s">
        <v>102</v>
      </c>
      <c r="K55">
        <v>223</v>
      </c>
      <c r="L55">
        <v>9</v>
      </c>
      <c r="M55">
        <v>3</v>
      </c>
      <c r="N55" t="s">
        <v>5</v>
      </c>
      <c r="O55">
        <v>2</v>
      </c>
    </row>
    <row r="56" spans="1:15" x14ac:dyDescent="0.2">
      <c r="A56">
        <v>50</v>
      </c>
      <c r="B56">
        <v>0</v>
      </c>
      <c r="C56">
        <v>0</v>
      </c>
      <c r="D56">
        <v>1</v>
      </c>
      <c r="E56">
        <v>229</v>
      </c>
      <c r="F56">
        <f>ROUND(Source!AZ45,O56)</f>
        <v>82374.52</v>
      </c>
      <c r="G56" t="s">
        <v>103</v>
      </c>
      <c r="H56" t="s">
        <v>104</v>
      </c>
      <c r="K56">
        <v>229</v>
      </c>
      <c r="L56">
        <v>10</v>
      </c>
      <c r="M56">
        <v>3</v>
      </c>
      <c r="N56" t="s">
        <v>5</v>
      </c>
      <c r="O56">
        <v>2</v>
      </c>
    </row>
    <row r="57" spans="1:15" x14ac:dyDescent="0.2">
      <c r="A57">
        <v>50</v>
      </c>
      <c r="B57">
        <v>0</v>
      </c>
      <c r="C57">
        <v>0</v>
      </c>
      <c r="D57">
        <v>1</v>
      </c>
      <c r="E57">
        <v>203</v>
      </c>
      <c r="F57">
        <f>ROUND(Source!Q45,O57)</f>
        <v>1994.33</v>
      </c>
      <c r="G57" t="s">
        <v>105</v>
      </c>
      <c r="H57" t="s">
        <v>106</v>
      </c>
      <c r="K57">
        <v>203</v>
      </c>
      <c r="L57">
        <v>11</v>
      </c>
      <c r="M57">
        <v>3</v>
      </c>
      <c r="N57" t="s">
        <v>5</v>
      </c>
      <c r="O57">
        <v>2</v>
      </c>
    </row>
    <row r="58" spans="1:15" x14ac:dyDescent="0.2">
      <c r="A58">
        <v>50</v>
      </c>
      <c r="B58">
        <v>0</v>
      </c>
      <c r="C58">
        <v>0</v>
      </c>
      <c r="D58">
        <v>1</v>
      </c>
      <c r="E58">
        <v>231</v>
      </c>
      <c r="F58">
        <f>ROUND(Source!BB45,O58)</f>
        <v>0</v>
      </c>
      <c r="G58" t="s">
        <v>107</v>
      </c>
      <c r="H58" t="s">
        <v>108</v>
      </c>
      <c r="K58">
        <v>231</v>
      </c>
      <c r="L58">
        <v>12</v>
      </c>
      <c r="M58">
        <v>3</v>
      </c>
      <c r="N58" t="s">
        <v>5</v>
      </c>
      <c r="O58">
        <v>2</v>
      </c>
    </row>
    <row r="59" spans="1:15" x14ac:dyDescent="0.2">
      <c r="A59">
        <v>50</v>
      </c>
      <c r="B59">
        <v>0</v>
      </c>
      <c r="C59">
        <v>0</v>
      </c>
      <c r="D59">
        <v>1</v>
      </c>
      <c r="E59">
        <v>204</v>
      </c>
      <c r="F59">
        <f>ROUND(Source!R45,O59)</f>
        <v>867.26</v>
      </c>
      <c r="G59" t="s">
        <v>109</v>
      </c>
      <c r="H59" t="s">
        <v>110</v>
      </c>
      <c r="K59">
        <v>204</v>
      </c>
      <c r="L59">
        <v>13</v>
      </c>
      <c r="M59">
        <v>3</v>
      </c>
      <c r="N59" t="s">
        <v>5</v>
      </c>
      <c r="O59">
        <v>2</v>
      </c>
    </row>
    <row r="60" spans="1:15" x14ac:dyDescent="0.2">
      <c r="A60">
        <v>50</v>
      </c>
      <c r="B60">
        <v>0</v>
      </c>
      <c r="C60">
        <v>0</v>
      </c>
      <c r="D60">
        <v>1</v>
      </c>
      <c r="E60">
        <v>205</v>
      </c>
      <c r="F60">
        <f>ROUND(Source!S45,O60)</f>
        <v>7694.44</v>
      </c>
      <c r="G60" t="s">
        <v>111</v>
      </c>
      <c r="H60" t="s">
        <v>112</v>
      </c>
      <c r="K60">
        <v>205</v>
      </c>
      <c r="L60">
        <v>14</v>
      </c>
      <c r="M60">
        <v>3</v>
      </c>
      <c r="N60" t="s">
        <v>5</v>
      </c>
      <c r="O60">
        <v>2</v>
      </c>
    </row>
    <row r="61" spans="1:15" x14ac:dyDescent="0.2">
      <c r="A61">
        <v>50</v>
      </c>
      <c r="B61">
        <v>0</v>
      </c>
      <c r="C61">
        <v>0</v>
      </c>
      <c r="D61">
        <v>1</v>
      </c>
      <c r="E61">
        <v>232</v>
      </c>
      <c r="F61">
        <f>ROUND(Source!BC45,O61)</f>
        <v>0</v>
      </c>
      <c r="G61" t="s">
        <v>113</v>
      </c>
      <c r="H61" t="s">
        <v>114</v>
      </c>
      <c r="K61">
        <v>232</v>
      </c>
      <c r="L61">
        <v>15</v>
      </c>
      <c r="M61">
        <v>3</v>
      </c>
      <c r="N61" t="s">
        <v>5</v>
      </c>
      <c r="O61">
        <v>2</v>
      </c>
    </row>
    <row r="62" spans="1:15" x14ac:dyDescent="0.2">
      <c r="A62">
        <v>50</v>
      </c>
      <c r="B62">
        <v>0</v>
      </c>
      <c r="C62">
        <v>0</v>
      </c>
      <c r="D62">
        <v>1</v>
      </c>
      <c r="E62">
        <v>214</v>
      </c>
      <c r="F62">
        <f>ROUND(Source!AS45,O62)</f>
        <v>0</v>
      </c>
      <c r="G62" t="s">
        <v>115</v>
      </c>
      <c r="H62" t="s">
        <v>116</v>
      </c>
      <c r="K62">
        <v>214</v>
      </c>
      <c r="L62">
        <v>16</v>
      </c>
      <c r="M62">
        <v>3</v>
      </c>
      <c r="N62" t="s">
        <v>5</v>
      </c>
      <c r="O62">
        <v>2</v>
      </c>
    </row>
    <row r="63" spans="1:15" x14ac:dyDescent="0.2">
      <c r="A63">
        <v>50</v>
      </c>
      <c r="B63">
        <v>0</v>
      </c>
      <c r="C63">
        <v>0</v>
      </c>
      <c r="D63">
        <v>1</v>
      </c>
      <c r="E63">
        <v>215</v>
      </c>
      <c r="F63">
        <f>ROUND(Source!AT45,O63)</f>
        <v>22070.61</v>
      </c>
      <c r="G63" t="s">
        <v>117</v>
      </c>
      <c r="H63" t="s">
        <v>118</v>
      </c>
      <c r="K63">
        <v>215</v>
      </c>
      <c r="L63">
        <v>17</v>
      </c>
      <c r="M63">
        <v>3</v>
      </c>
      <c r="N63" t="s">
        <v>5</v>
      </c>
      <c r="O63">
        <v>2</v>
      </c>
    </row>
    <row r="64" spans="1:15" x14ac:dyDescent="0.2">
      <c r="A64">
        <v>50</v>
      </c>
      <c r="B64">
        <v>0</v>
      </c>
      <c r="C64">
        <v>0</v>
      </c>
      <c r="D64">
        <v>1</v>
      </c>
      <c r="E64">
        <v>217</v>
      </c>
      <c r="F64">
        <f>ROUND(Source!AU45,O64)</f>
        <v>0</v>
      </c>
      <c r="G64" t="s">
        <v>119</v>
      </c>
      <c r="H64" t="s">
        <v>120</v>
      </c>
      <c r="K64">
        <v>217</v>
      </c>
      <c r="L64">
        <v>18</v>
      </c>
      <c r="M64">
        <v>3</v>
      </c>
      <c r="N64" t="s">
        <v>5</v>
      </c>
      <c r="O64">
        <v>2</v>
      </c>
    </row>
    <row r="65" spans="1:245" x14ac:dyDescent="0.2">
      <c r="A65">
        <v>50</v>
      </c>
      <c r="B65">
        <v>0</v>
      </c>
      <c r="C65">
        <v>0</v>
      </c>
      <c r="D65">
        <v>1</v>
      </c>
      <c r="E65">
        <v>230</v>
      </c>
      <c r="F65">
        <f>ROUND(Source!BA45,O65)</f>
        <v>0</v>
      </c>
      <c r="G65" t="s">
        <v>121</v>
      </c>
      <c r="H65" t="s">
        <v>122</v>
      </c>
      <c r="K65">
        <v>230</v>
      </c>
      <c r="L65">
        <v>19</v>
      </c>
      <c r="M65">
        <v>3</v>
      </c>
      <c r="N65" t="s">
        <v>5</v>
      </c>
      <c r="O65">
        <v>2</v>
      </c>
    </row>
    <row r="66" spans="1:245" x14ac:dyDescent="0.2">
      <c r="A66">
        <v>50</v>
      </c>
      <c r="B66">
        <v>0</v>
      </c>
      <c r="C66">
        <v>0</v>
      </c>
      <c r="D66">
        <v>1</v>
      </c>
      <c r="E66">
        <v>206</v>
      </c>
      <c r="F66">
        <f>ROUND(Source!T45,O66)</f>
        <v>0</v>
      </c>
      <c r="G66" t="s">
        <v>123</v>
      </c>
      <c r="H66" t="s">
        <v>124</v>
      </c>
      <c r="K66">
        <v>206</v>
      </c>
      <c r="L66">
        <v>20</v>
      </c>
      <c r="M66">
        <v>3</v>
      </c>
      <c r="N66" t="s">
        <v>5</v>
      </c>
      <c r="O66">
        <v>2</v>
      </c>
    </row>
    <row r="67" spans="1:245" x14ac:dyDescent="0.2">
      <c r="A67">
        <v>50</v>
      </c>
      <c r="B67">
        <v>0</v>
      </c>
      <c r="C67">
        <v>0</v>
      </c>
      <c r="D67">
        <v>1</v>
      </c>
      <c r="E67">
        <v>207</v>
      </c>
      <c r="F67">
        <f>Source!U45</f>
        <v>28.196850000000001</v>
      </c>
      <c r="G67" t="s">
        <v>125</v>
      </c>
      <c r="H67" t="s">
        <v>126</v>
      </c>
      <c r="K67">
        <v>207</v>
      </c>
      <c r="L67">
        <v>21</v>
      </c>
      <c r="M67">
        <v>3</v>
      </c>
      <c r="N67" t="s">
        <v>5</v>
      </c>
      <c r="O67">
        <v>-1</v>
      </c>
    </row>
    <row r="68" spans="1:245" x14ac:dyDescent="0.2">
      <c r="A68">
        <v>50</v>
      </c>
      <c r="B68">
        <v>0</v>
      </c>
      <c r="C68">
        <v>0</v>
      </c>
      <c r="D68">
        <v>1</v>
      </c>
      <c r="E68">
        <v>208</v>
      </c>
      <c r="F68">
        <f>Source!V45</f>
        <v>0</v>
      </c>
      <c r="G68" t="s">
        <v>127</v>
      </c>
      <c r="H68" t="s">
        <v>128</v>
      </c>
      <c r="K68">
        <v>208</v>
      </c>
      <c r="L68">
        <v>22</v>
      </c>
      <c r="M68">
        <v>3</v>
      </c>
      <c r="N68" t="s">
        <v>5</v>
      </c>
      <c r="O68">
        <v>-1</v>
      </c>
    </row>
    <row r="69" spans="1:245" x14ac:dyDescent="0.2">
      <c r="A69">
        <v>50</v>
      </c>
      <c r="B69">
        <v>0</v>
      </c>
      <c r="C69">
        <v>0</v>
      </c>
      <c r="D69">
        <v>1</v>
      </c>
      <c r="E69">
        <v>209</v>
      </c>
      <c r="F69">
        <f>ROUND(Source!W45,O69)</f>
        <v>0</v>
      </c>
      <c r="G69" t="s">
        <v>129</v>
      </c>
      <c r="H69" t="s">
        <v>130</v>
      </c>
      <c r="K69">
        <v>209</v>
      </c>
      <c r="L69">
        <v>23</v>
      </c>
      <c r="M69">
        <v>3</v>
      </c>
      <c r="N69" t="s">
        <v>5</v>
      </c>
      <c r="O69">
        <v>2</v>
      </c>
    </row>
    <row r="70" spans="1:245" x14ac:dyDescent="0.2">
      <c r="A70">
        <v>50</v>
      </c>
      <c r="B70">
        <v>0</v>
      </c>
      <c r="C70">
        <v>0</v>
      </c>
      <c r="D70">
        <v>1</v>
      </c>
      <c r="E70">
        <v>210</v>
      </c>
      <c r="F70">
        <f>ROUND(Source!X45,O70)</f>
        <v>5924.71</v>
      </c>
      <c r="G70" t="s">
        <v>131</v>
      </c>
      <c r="H70" t="s">
        <v>132</v>
      </c>
      <c r="K70">
        <v>210</v>
      </c>
      <c r="L70">
        <v>24</v>
      </c>
      <c r="M70">
        <v>3</v>
      </c>
      <c r="N70" t="s">
        <v>5</v>
      </c>
      <c r="O70">
        <v>2</v>
      </c>
    </row>
    <row r="71" spans="1:245" x14ac:dyDescent="0.2">
      <c r="A71">
        <v>50</v>
      </c>
      <c r="B71">
        <v>0</v>
      </c>
      <c r="C71">
        <v>0</v>
      </c>
      <c r="D71">
        <v>1</v>
      </c>
      <c r="E71">
        <v>211</v>
      </c>
      <c r="F71">
        <f>ROUND(Source!Y45,O71)</f>
        <v>3154.72</v>
      </c>
      <c r="G71" t="s">
        <v>133</v>
      </c>
      <c r="H71" t="s">
        <v>134</v>
      </c>
      <c r="K71">
        <v>211</v>
      </c>
      <c r="L71">
        <v>25</v>
      </c>
      <c r="M71">
        <v>3</v>
      </c>
      <c r="N71" t="s">
        <v>5</v>
      </c>
      <c r="O71">
        <v>2</v>
      </c>
    </row>
    <row r="72" spans="1:245" x14ac:dyDescent="0.2">
      <c r="A72">
        <v>50</v>
      </c>
      <c r="B72">
        <v>0</v>
      </c>
      <c r="C72">
        <v>0</v>
      </c>
      <c r="D72">
        <v>1</v>
      </c>
      <c r="E72">
        <v>224</v>
      </c>
      <c r="F72">
        <f>ROUND(Source!AR45,O72)</f>
        <v>104445.13</v>
      </c>
      <c r="G72" t="s">
        <v>135</v>
      </c>
      <c r="H72" t="s">
        <v>136</v>
      </c>
      <c r="K72">
        <v>224</v>
      </c>
      <c r="L72">
        <v>26</v>
      </c>
      <c r="M72">
        <v>3</v>
      </c>
      <c r="N72" t="s">
        <v>5</v>
      </c>
      <c r="O72">
        <v>2</v>
      </c>
    </row>
    <row r="74" spans="1:245" x14ac:dyDescent="0.2">
      <c r="A74">
        <v>4</v>
      </c>
      <c r="B74">
        <v>1</v>
      </c>
      <c r="D74">
        <f>ROW(A84)</f>
        <v>84</v>
      </c>
      <c r="F74" t="s">
        <v>13</v>
      </c>
      <c r="G74" t="s">
        <v>137</v>
      </c>
      <c r="H74" t="s">
        <v>5</v>
      </c>
      <c r="I74">
        <v>0</v>
      </c>
      <c r="K74">
        <v>-1</v>
      </c>
      <c r="U74" t="s">
        <v>5</v>
      </c>
      <c r="V74">
        <v>0</v>
      </c>
      <c r="AB74" t="s">
        <v>5</v>
      </c>
      <c r="AC74" t="s">
        <v>5</v>
      </c>
      <c r="AD74" t="s">
        <v>5</v>
      </c>
      <c r="AE74" t="s">
        <v>5</v>
      </c>
      <c r="AF74" t="s">
        <v>5</v>
      </c>
      <c r="AG74" t="s">
        <v>5</v>
      </c>
      <c r="AP74" t="s">
        <v>5</v>
      </c>
      <c r="AQ74" t="s">
        <v>5</v>
      </c>
      <c r="AR74" t="s">
        <v>5</v>
      </c>
      <c r="AZ74" t="s">
        <v>5</v>
      </c>
      <c r="BB74" t="s">
        <v>5</v>
      </c>
      <c r="BC74" t="s">
        <v>5</v>
      </c>
      <c r="BD74" t="s">
        <v>5</v>
      </c>
      <c r="BE74" t="s">
        <v>5</v>
      </c>
      <c r="BF74" t="s">
        <v>5</v>
      </c>
      <c r="BG74" t="s">
        <v>5</v>
      </c>
      <c r="BH74" t="s">
        <v>5</v>
      </c>
      <c r="BI74" t="s">
        <v>5</v>
      </c>
      <c r="BJ74" t="s">
        <v>5</v>
      </c>
      <c r="BK74" t="s">
        <v>5</v>
      </c>
      <c r="BL74" t="s">
        <v>5</v>
      </c>
      <c r="BM74" t="s">
        <v>5</v>
      </c>
      <c r="BN74" t="s">
        <v>5</v>
      </c>
      <c r="BO74" t="s">
        <v>5</v>
      </c>
      <c r="BP74" t="s">
        <v>5</v>
      </c>
      <c r="BX74">
        <v>0</v>
      </c>
      <c r="CJ74">
        <v>0</v>
      </c>
    </row>
    <row r="76" spans="1:245" x14ac:dyDescent="0.2">
      <c r="A76">
        <v>52</v>
      </c>
      <c r="B76">
        <f t="shared" ref="B76:G76" si="58">B84</f>
        <v>1</v>
      </c>
      <c r="C76">
        <f t="shared" si="58"/>
        <v>4</v>
      </c>
      <c r="D76">
        <f t="shared" si="58"/>
        <v>74</v>
      </c>
      <c r="E76">
        <f t="shared" si="58"/>
        <v>0</v>
      </c>
      <c r="F76" t="str">
        <f t="shared" si="58"/>
        <v>Новый раздел</v>
      </c>
      <c r="G76" t="str">
        <f t="shared" si="58"/>
        <v>Установка и настройка программного обеспечения</v>
      </c>
      <c r="O76">
        <f t="shared" ref="O76:AT76" si="59">O84</f>
        <v>159475.67000000001</v>
      </c>
      <c r="P76">
        <f t="shared" si="59"/>
        <v>55896.56</v>
      </c>
      <c r="Q76">
        <f t="shared" si="59"/>
        <v>0</v>
      </c>
      <c r="R76">
        <f t="shared" si="59"/>
        <v>0</v>
      </c>
      <c r="S76">
        <f t="shared" si="59"/>
        <v>103579.11</v>
      </c>
      <c r="T76">
        <f t="shared" si="59"/>
        <v>0</v>
      </c>
      <c r="U76">
        <f t="shared" si="59"/>
        <v>250.59999999999997</v>
      </c>
      <c r="V76">
        <f t="shared" si="59"/>
        <v>0</v>
      </c>
      <c r="W76">
        <f t="shared" si="59"/>
        <v>0</v>
      </c>
      <c r="X76">
        <f t="shared" si="59"/>
        <v>76705.31</v>
      </c>
      <c r="Y76">
        <f t="shared" si="59"/>
        <v>42467.44</v>
      </c>
      <c r="Z76">
        <f t="shared" si="59"/>
        <v>0</v>
      </c>
      <c r="AA76">
        <f t="shared" si="59"/>
        <v>0</v>
      </c>
      <c r="AB76">
        <f t="shared" si="59"/>
        <v>159475.67000000001</v>
      </c>
      <c r="AC76">
        <f t="shared" si="59"/>
        <v>55896.56</v>
      </c>
      <c r="AD76">
        <f t="shared" si="59"/>
        <v>0</v>
      </c>
      <c r="AE76">
        <f t="shared" si="59"/>
        <v>0</v>
      </c>
      <c r="AF76">
        <f t="shared" si="59"/>
        <v>103579.11</v>
      </c>
      <c r="AG76">
        <f t="shared" si="59"/>
        <v>0</v>
      </c>
      <c r="AH76">
        <f t="shared" si="59"/>
        <v>250.59999999999997</v>
      </c>
      <c r="AI76">
        <f t="shared" si="59"/>
        <v>0</v>
      </c>
      <c r="AJ76">
        <f t="shared" si="59"/>
        <v>0</v>
      </c>
      <c r="AK76">
        <f t="shared" si="59"/>
        <v>76705.31</v>
      </c>
      <c r="AL76">
        <f t="shared" si="59"/>
        <v>42467.44</v>
      </c>
      <c r="AM76">
        <f t="shared" si="59"/>
        <v>0</v>
      </c>
      <c r="AN76">
        <f t="shared" si="59"/>
        <v>0</v>
      </c>
      <c r="AO76">
        <f t="shared" si="59"/>
        <v>0</v>
      </c>
      <c r="AP76">
        <f t="shared" si="59"/>
        <v>55896.56</v>
      </c>
      <c r="AQ76">
        <f t="shared" si="59"/>
        <v>0</v>
      </c>
      <c r="AR76">
        <f t="shared" si="59"/>
        <v>278648.42</v>
      </c>
      <c r="AS76">
        <f t="shared" si="59"/>
        <v>0</v>
      </c>
      <c r="AT76">
        <f t="shared" si="59"/>
        <v>151910.04</v>
      </c>
      <c r="AU76">
        <f t="shared" ref="AU76:BZ76" si="60">AU84</f>
        <v>70841.820000000007</v>
      </c>
      <c r="AV76">
        <f t="shared" si="60"/>
        <v>55896.56</v>
      </c>
      <c r="AW76">
        <f t="shared" si="60"/>
        <v>0</v>
      </c>
      <c r="AX76">
        <f t="shared" si="60"/>
        <v>0</v>
      </c>
      <c r="AY76">
        <f t="shared" si="60"/>
        <v>0</v>
      </c>
      <c r="AZ76">
        <f t="shared" si="60"/>
        <v>55896.56</v>
      </c>
      <c r="BA76">
        <f t="shared" si="60"/>
        <v>0</v>
      </c>
      <c r="BB76">
        <f t="shared" si="60"/>
        <v>0</v>
      </c>
      <c r="BC76">
        <f t="shared" si="60"/>
        <v>0</v>
      </c>
      <c r="BD76">
        <f t="shared" si="60"/>
        <v>0</v>
      </c>
      <c r="BE76">
        <f t="shared" si="60"/>
        <v>0</v>
      </c>
      <c r="BF76">
        <f t="shared" si="60"/>
        <v>0</v>
      </c>
      <c r="BG76">
        <f t="shared" si="60"/>
        <v>0</v>
      </c>
      <c r="BH76">
        <f t="shared" si="60"/>
        <v>0</v>
      </c>
      <c r="BI76">
        <f t="shared" si="60"/>
        <v>0</v>
      </c>
      <c r="BJ76">
        <f t="shared" si="60"/>
        <v>0</v>
      </c>
      <c r="BK76">
        <f t="shared" si="60"/>
        <v>0</v>
      </c>
      <c r="BL76">
        <f t="shared" si="60"/>
        <v>0</v>
      </c>
      <c r="BM76">
        <f t="shared" si="60"/>
        <v>0</v>
      </c>
      <c r="BN76">
        <f t="shared" si="60"/>
        <v>0</v>
      </c>
      <c r="BO76">
        <f t="shared" si="60"/>
        <v>0</v>
      </c>
      <c r="BP76">
        <f t="shared" si="60"/>
        <v>0</v>
      </c>
      <c r="BQ76">
        <f t="shared" si="60"/>
        <v>0</v>
      </c>
      <c r="BR76">
        <f t="shared" si="60"/>
        <v>0</v>
      </c>
      <c r="BS76">
        <f t="shared" si="60"/>
        <v>0</v>
      </c>
      <c r="BT76">
        <f t="shared" si="60"/>
        <v>0</v>
      </c>
      <c r="BU76">
        <f t="shared" si="60"/>
        <v>0</v>
      </c>
      <c r="BV76">
        <f t="shared" si="60"/>
        <v>0</v>
      </c>
      <c r="BW76">
        <f t="shared" si="60"/>
        <v>0</v>
      </c>
      <c r="BX76">
        <f t="shared" si="60"/>
        <v>0</v>
      </c>
      <c r="BY76">
        <f t="shared" si="60"/>
        <v>55896.56</v>
      </c>
      <c r="BZ76">
        <f t="shared" si="60"/>
        <v>0</v>
      </c>
      <c r="CA76">
        <f t="shared" ref="CA76:DF76" si="61">CA84</f>
        <v>278648.42</v>
      </c>
      <c r="CB76">
        <f t="shared" si="61"/>
        <v>0</v>
      </c>
      <c r="CC76">
        <f t="shared" si="61"/>
        <v>151910.04</v>
      </c>
      <c r="CD76">
        <f t="shared" si="61"/>
        <v>70841.820000000007</v>
      </c>
      <c r="CE76">
        <f t="shared" si="61"/>
        <v>55896.56</v>
      </c>
      <c r="CF76">
        <f t="shared" si="61"/>
        <v>0</v>
      </c>
      <c r="CG76">
        <f t="shared" si="61"/>
        <v>0</v>
      </c>
      <c r="CH76">
        <f t="shared" si="61"/>
        <v>0</v>
      </c>
      <c r="CI76">
        <f t="shared" si="61"/>
        <v>55896.56</v>
      </c>
      <c r="CJ76">
        <f t="shared" si="61"/>
        <v>0</v>
      </c>
      <c r="CK76">
        <f t="shared" si="61"/>
        <v>0</v>
      </c>
      <c r="CL76">
        <f t="shared" si="61"/>
        <v>0</v>
      </c>
      <c r="CM76">
        <f t="shared" si="61"/>
        <v>0</v>
      </c>
      <c r="CN76">
        <f t="shared" si="61"/>
        <v>0</v>
      </c>
      <c r="CO76">
        <f t="shared" si="61"/>
        <v>0</v>
      </c>
      <c r="CP76">
        <f t="shared" si="61"/>
        <v>0</v>
      </c>
      <c r="CQ76">
        <f t="shared" si="61"/>
        <v>0</v>
      </c>
      <c r="CR76">
        <f t="shared" si="61"/>
        <v>0</v>
      </c>
      <c r="CS76">
        <f t="shared" si="61"/>
        <v>0</v>
      </c>
      <c r="CT76">
        <f t="shared" si="61"/>
        <v>0</v>
      </c>
      <c r="CU76">
        <f t="shared" si="61"/>
        <v>0</v>
      </c>
      <c r="CV76">
        <f t="shared" si="61"/>
        <v>0</v>
      </c>
      <c r="CW76">
        <f t="shared" si="61"/>
        <v>0</v>
      </c>
      <c r="CX76">
        <f t="shared" si="61"/>
        <v>0</v>
      </c>
      <c r="CY76">
        <f t="shared" si="61"/>
        <v>0</v>
      </c>
      <c r="CZ76">
        <f t="shared" si="61"/>
        <v>0</v>
      </c>
      <c r="DA76">
        <f t="shared" si="61"/>
        <v>0</v>
      </c>
      <c r="DB76">
        <f t="shared" si="61"/>
        <v>0</v>
      </c>
      <c r="DC76">
        <f t="shared" si="61"/>
        <v>0</v>
      </c>
      <c r="DD76">
        <f t="shared" si="61"/>
        <v>0</v>
      </c>
      <c r="DE76">
        <f t="shared" si="61"/>
        <v>0</v>
      </c>
      <c r="DF76">
        <f t="shared" si="61"/>
        <v>0</v>
      </c>
      <c r="DG76">
        <f t="shared" ref="DG76:EL76" si="62">DG84</f>
        <v>0</v>
      </c>
      <c r="DH76">
        <f t="shared" si="62"/>
        <v>0</v>
      </c>
      <c r="DI76">
        <f t="shared" si="62"/>
        <v>0</v>
      </c>
      <c r="DJ76">
        <f t="shared" si="62"/>
        <v>0</v>
      </c>
      <c r="DK76">
        <f t="shared" si="62"/>
        <v>0</v>
      </c>
      <c r="DL76">
        <f t="shared" si="62"/>
        <v>0</v>
      </c>
      <c r="DM76">
        <f t="shared" si="62"/>
        <v>0</v>
      </c>
      <c r="DN76">
        <f t="shared" si="62"/>
        <v>0</v>
      </c>
      <c r="DO76">
        <f t="shared" si="62"/>
        <v>0</v>
      </c>
      <c r="DP76">
        <f t="shared" si="62"/>
        <v>0</v>
      </c>
      <c r="DQ76">
        <f t="shared" si="62"/>
        <v>0</v>
      </c>
      <c r="DR76">
        <f t="shared" si="62"/>
        <v>0</v>
      </c>
      <c r="DS76">
        <f t="shared" si="62"/>
        <v>0</v>
      </c>
      <c r="DT76">
        <f t="shared" si="62"/>
        <v>0</v>
      </c>
      <c r="DU76">
        <f t="shared" si="62"/>
        <v>0</v>
      </c>
      <c r="DV76">
        <f t="shared" si="62"/>
        <v>0</v>
      </c>
      <c r="DW76">
        <f t="shared" si="62"/>
        <v>0</v>
      </c>
      <c r="DX76">
        <f t="shared" si="62"/>
        <v>0</v>
      </c>
      <c r="DY76">
        <f t="shared" si="62"/>
        <v>0</v>
      </c>
      <c r="DZ76">
        <f t="shared" si="62"/>
        <v>0</v>
      </c>
      <c r="EA76">
        <f t="shared" si="62"/>
        <v>0</v>
      </c>
      <c r="EB76">
        <f t="shared" si="62"/>
        <v>0</v>
      </c>
      <c r="EC76">
        <f t="shared" si="62"/>
        <v>0</v>
      </c>
      <c r="ED76">
        <f t="shared" si="62"/>
        <v>0</v>
      </c>
      <c r="EE76">
        <f t="shared" si="62"/>
        <v>0</v>
      </c>
      <c r="EF76">
        <f t="shared" si="62"/>
        <v>0</v>
      </c>
      <c r="EG76">
        <f t="shared" si="62"/>
        <v>0</v>
      </c>
      <c r="EH76">
        <f t="shared" si="62"/>
        <v>0</v>
      </c>
      <c r="EI76">
        <f t="shared" si="62"/>
        <v>0</v>
      </c>
      <c r="EJ76">
        <f t="shared" si="62"/>
        <v>0</v>
      </c>
      <c r="EK76">
        <f t="shared" si="62"/>
        <v>0</v>
      </c>
      <c r="EL76">
        <f t="shared" si="62"/>
        <v>0</v>
      </c>
      <c r="EM76">
        <f t="shared" ref="EM76:FR76" si="63">EM84</f>
        <v>0</v>
      </c>
      <c r="EN76">
        <f t="shared" si="63"/>
        <v>0</v>
      </c>
      <c r="EO76">
        <f t="shared" si="63"/>
        <v>0</v>
      </c>
      <c r="EP76">
        <f t="shared" si="63"/>
        <v>0</v>
      </c>
      <c r="EQ76">
        <f t="shared" si="63"/>
        <v>0</v>
      </c>
      <c r="ER76">
        <f t="shared" si="63"/>
        <v>0</v>
      </c>
      <c r="ES76">
        <f t="shared" si="63"/>
        <v>0</v>
      </c>
      <c r="ET76">
        <f t="shared" si="63"/>
        <v>0</v>
      </c>
      <c r="EU76">
        <f t="shared" si="63"/>
        <v>0</v>
      </c>
      <c r="EV76">
        <f t="shared" si="63"/>
        <v>0</v>
      </c>
      <c r="EW76">
        <f t="shared" si="63"/>
        <v>0</v>
      </c>
      <c r="EX76">
        <f t="shared" si="63"/>
        <v>0</v>
      </c>
      <c r="EY76">
        <f t="shared" si="63"/>
        <v>0</v>
      </c>
      <c r="EZ76">
        <f t="shared" si="63"/>
        <v>0</v>
      </c>
      <c r="FA76">
        <f t="shared" si="63"/>
        <v>0</v>
      </c>
      <c r="FB76">
        <f t="shared" si="63"/>
        <v>0</v>
      </c>
      <c r="FC76">
        <f t="shared" si="63"/>
        <v>0</v>
      </c>
      <c r="FD76">
        <f t="shared" si="63"/>
        <v>0</v>
      </c>
      <c r="FE76">
        <f t="shared" si="63"/>
        <v>0</v>
      </c>
      <c r="FF76">
        <f t="shared" si="63"/>
        <v>0</v>
      </c>
      <c r="FG76">
        <f t="shared" si="63"/>
        <v>0</v>
      </c>
      <c r="FH76">
        <f t="shared" si="63"/>
        <v>0</v>
      </c>
      <c r="FI76">
        <f t="shared" si="63"/>
        <v>0</v>
      </c>
      <c r="FJ76">
        <f t="shared" si="63"/>
        <v>0</v>
      </c>
      <c r="FK76">
        <f t="shared" si="63"/>
        <v>0</v>
      </c>
      <c r="FL76">
        <f t="shared" si="63"/>
        <v>0</v>
      </c>
      <c r="FM76">
        <f t="shared" si="63"/>
        <v>0</v>
      </c>
      <c r="FN76">
        <f t="shared" si="63"/>
        <v>0</v>
      </c>
      <c r="FO76">
        <f t="shared" si="63"/>
        <v>0</v>
      </c>
      <c r="FP76">
        <f t="shared" si="63"/>
        <v>0</v>
      </c>
      <c r="FQ76">
        <f t="shared" si="63"/>
        <v>0</v>
      </c>
      <c r="FR76">
        <f t="shared" si="63"/>
        <v>0</v>
      </c>
      <c r="FS76">
        <f t="shared" ref="FS76:GX76" si="64">FS84</f>
        <v>0</v>
      </c>
      <c r="FT76">
        <f t="shared" si="64"/>
        <v>0</v>
      </c>
      <c r="FU76">
        <f t="shared" si="64"/>
        <v>0</v>
      </c>
      <c r="FV76">
        <f t="shared" si="64"/>
        <v>0</v>
      </c>
      <c r="FW76">
        <f t="shared" si="64"/>
        <v>0</v>
      </c>
      <c r="FX76">
        <f t="shared" si="64"/>
        <v>0</v>
      </c>
      <c r="FY76">
        <f t="shared" si="64"/>
        <v>0</v>
      </c>
      <c r="FZ76">
        <f t="shared" si="64"/>
        <v>0</v>
      </c>
      <c r="GA76">
        <f t="shared" si="64"/>
        <v>0</v>
      </c>
      <c r="GB76">
        <f t="shared" si="64"/>
        <v>0</v>
      </c>
      <c r="GC76">
        <f t="shared" si="64"/>
        <v>0</v>
      </c>
      <c r="GD76">
        <f t="shared" si="64"/>
        <v>0</v>
      </c>
      <c r="GE76">
        <f t="shared" si="64"/>
        <v>0</v>
      </c>
      <c r="GF76">
        <f t="shared" si="64"/>
        <v>0</v>
      </c>
      <c r="GG76">
        <f t="shared" si="64"/>
        <v>0</v>
      </c>
      <c r="GH76">
        <f t="shared" si="64"/>
        <v>0</v>
      </c>
      <c r="GI76">
        <f t="shared" si="64"/>
        <v>0</v>
      </c>
      <c r="GJ76">
        <f t="shared" si="64"/>
        <v>0</v>
      </c>
      <c r="GK76">
        <f t="shared" si="64"/>
        <v>0</v>
      </c>
      <c r="GL76">
        <f t="shared" si="64"/>
        <v>0</v>
      </c>
      <c r="GM76">
        <f t="shared" si="64"/>
        <v>0</v>
      </c>
      <c r="GN76">
        <f t="shared" si="64"/>
        <v>0</v>
      </c>
      <c r="GO76">
        <f t="shared" si="64"/>
        <v>0</v>
      </c>
      <c r="GP76">
        <f t="shared" si="64"/>
        <v>0</v>
      </c>
      <c r="GQ76">
        <f t="shared" si="64"/>
        <v>0</v>
      </c>
      <c r="GR76">
        <f t="shared" si="64"/>
        <v>0</v>
      </c>
      <c r="GS76">
        <f t="shared" si="64"/>
        <v>0</v>
      </c>
      <c r="GT76">
        <f t="shared" si="64"/>
        <v>0</v>
      </c>
      <c r="GU76">
        <f t="shared" si="64"/>
        <v>0</v>
      </c>
      <c r="GV76">
        <f t="shared" si="64"/>
        <v>0</v>
      </c>
      <c r="GW76">
        <f t="shared" si="64"/>
        <v>0</v>
      </c>
      <c r="GX76">
        <f t="shared" si="64"/>
        <v>0</v>
      </c>
    </row>
    <row r="78" spans="1:245" x14ac:dyDescent="0.2">
      <c r="A78">
        <v>17</v>
      </c>
      <c r="B78">
        <v>1</v>
      </c>
      <c r="C78">
        <f>ROW(SmtRes!A12)</f>
        <v>12</v>
      </c>
      <c r="D78">
        <f>ROW(EtalonRes!A12)</f>
        <v>12</v>
      </c>
      <c r="E78" t="s">
        <v>138</v>
      </c>
      <c r="F78" t="s">
        <v>139</v>
      </c>
      <c r="G78" t="s">
        <v>140</v>
      </c>
      <c r="H78" t="s">
        <v>141</v>
      </c>
      <c r="I78">
        <v>1</v>
      </c>
      <c r="J78">
        <v>0</v>
      </c>
      <c r="O78">
        <f>ROUND(CP78,2)</f>
        <v>69683.5</v>
      </c>
      <c r="P78">
        <f>ROUND((ROUND((AC78*AW78*I78),2)*BC78),2)</f>
        <v>0</v>
      </c>
      <c r="Q78">
        <f>(ROUND((ROUND((((ET78*1.15))*AV78*I78),2)*BB78),2)+ROUND((ROUND(((AE78-((EU78*1.15)))*AV78*I78),2)*BS78),2))</f>
        <v>0</v>
      </c>
      <c r="R78">
        <f>ROUND((ROUND((AE78*AV78*I78),2)*BS78),2)</f>
        <v>0</v>
      </c>
      <c r="S78">
        <f>ROUND((ROUND((AF78*AV78*I78),2)*BA78),2)</f>
        <v>69683.5</v>
      </c>
      <c r="T78">
        <f>ROUND(CU78*I78,2)</f>
        <v>0</v>
      </c>
      <c r="U78">
        <f>CV78*I78</f>
        <v>167.43999999999997</v>
      </c>
      <c r="V78">
        <f>CW78*I78</f>
        <v>0</v>
      </c>
      <c r="W78">
        <f>ROUND(CX78*I78,2)</f>
        <v>0</v>
      </c>
      <c r="X78">
        <f t="shared" ref="X78:Y82" si="65">ROUND(CY78,2)</f>
        <v>53656.3</v>
      </c>
      <c r="Y78">
        <f t="shared" si="65"/>
        <v>28570.240000000002</v>
      </c>
      <c r="AA78">
        <v>31330642</v>
      </c>
      <c r="AB78">
        <f>ROUND((AC78+AD78+AF78),6)</f>
        <v>3251.6824999999999</v>
      </c>
      <c r="AC78">
        <f>ROUND((ES78),6)</f>
        <v>0</v>
      </c>
      <c r="AD78">
        <f>ROUND(((((ET78*1.15))-((EU78*1.15)))+AE78),6)</f>
        <v>0</v>
      </c>
      <c r="AE78">
        <f>ROUND(((EU78*1.15)),6)</f>
        <v>0</v>
      </c>
      <c r="AF78">
        <f>ROUND(((EV78*1.15)),6)</f>
        <v>3251.6824999999999</v>
      </c>
      <c r="AG78">
        <f>ROUND((AP78),6)</f>
        <v>0</v>
      </c>
      <c r="AH78">
        <f>((EW78*1.15))</f>
        <v>167.43999999999997</v>
      </c>
      <c r="AI78">
        <f>((EX78*1.15))</f>
        <v>0</v>
      </c>
      <c r="AJ78">
        <f>(AS78)</f>
        <v>0</v>
      </c>
      <c r="AK78">
        <v>2827.55</v>
      </c>
      <c r="AL78">
        <v>0</v>
      </c>
      <c r="AM78">
        <v>0</v>
      </c>
      <c r="AN78">
        <v>0</v>
      </c>
      <c r="AO78">
        <v>2827.55</v>
      </c>
      <c r="AP78">
        <v>0</v>
      </c>
      <c r="AQ78">
        <v>145.6</v>
      </c>
      <c r="AR78">
        <v>0</v>
      </c>
      <c r="AS78">
        <v>0</v>
      </c>
      <c r="AT78">
        <v>77</v>
      </c>
      <c r="AU78">
        <v>41</v>
      </c>
      <c r="AV78">
        <v>1</v>
      </c>
      <c r="AW78">
        <v>1</v>
      </c>
      <c r="AZ78">
        <v>1</v>
      </c>
      <c r="BA78">
        <v>21.43</v>
      </c>
      <c r="BB78">
        <v>1</v>
      </c>
      <c r="BC78">
        <v>1</v>
      </c>
      <c r="BD78" t="s">
        <v>5</v>
      </c>
      <c r="BE78" t="s">
        <v>5</v>
      </c>
      <c r="BF78" t="s">
        <v>5</v>
      </c>
      <c r="BG78" t="s">
        <v>5</v>
      </c>
      <c r="BH78">
        <v>0</v>
      </c>
      <c r="BI78">
        <v>2</v>
      </c>
      <c r="BJ78" t="s">
        <v>142</v>
      </c>
      <c r="BM78">
        <v>352</v>
      </c>
      <c r="BN78">
        <v>0</v>
      </c>
      <c r="BO78" t="s">
        <v>139</v>
      </c>
      <c r="BP78">
        <v>1</v>
      </c>
      <c r="BQ78">
        <v>40</v>
      </c>
      <c r="BR78">
        <v>0</v>
      </c>
      <c r="BS78">
        <v>21.43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5</v>
      </c>
      <c r="BZ78">
        <v>77</v>
      </c>
      <c r="CA78">
        <v>41</v>
      </c>
      <c r="CE78">
        <v>30</v>
      </c>
      <c r="CF78">
        <v>0</v>
      </c>
      <c r="CG78">
        <v>0</v>
      </c>
      <c r="CM78">
        <v>0</v>
      </c>
      <c r="CN78" t="s">
        <v>182</v>
      </c>
      <c r="CO78">
        <v>0</v>
      </c>
      <c r="CP78">
        <f>(P78+Q78+S78)</f>
        <v>69683.5</v>
      </c>
      <c r="CQ78">
        <f>ROUND((ROUND((AC78*AW78*1),2)*BC78),2)</f>
        <v>0</v>
      </c>
      <c r="CR78">
        <f>(ROUND((ROUND((((ET78*1.15))*AV78*1),2)*BB78),2)+ROUND((ROUND(((AE78-((EU78*1.15)))*AV78*1),2)*BS78),2))</f>
        <v>0</v>
      </c>
      <c r="CS78">
        <f>ROUND((ROUND((AE78*AV78*1),2)*BS78),2)</f>
        <v>0</v>
      </c>
      <c r="CT78">
        <f>ROUND((ROUND((AF78*AV78*1),2)*BA78),2)</f>
        <v>69683.5</v>
      </c>
      <c r="CU78">
        <f>AG78</f>
        <v>0</v>
      </c>
      <c r="CV78">
        <f>(AH78*AV78)</f>
        <v>167.43999999999997</v>
      </c>
      <c r="CW78">
        <f t="shared" ref="CW78:CX82" si="66">AI78</f>
        <v>0</v>
      </c>
      <c r="CX78">
        <f t="shared" si="66"/>
        <v>0</v>
      </c>
      <c r="CY78">
        <f>S78*(BZ78/100)</f>
        <v>53656.294999999998</v>
      </c>
      <c r="CZ78">
        <f>S78*(CA78/100)</f>
        <v>28570.234999999997</v>
      </c>
      <c r="DC78" t="s">
        <v>5</v>
      </c>
      <c r="DD78" t="s">
        <v>5</v>
      </c>
      <c r="DE78" t="s">
        <v>20</v>
      </c>
      <c r="DF78" t="s">
        <v>20</v>
      </c>
      <c r="DG78" t="s">
        <v>20</v>
      </c>
      <c r="DH78" t="s">
        <v>5</v>
      </c>
      <c r="DI78" t="s">
        <v>20</v>
      </c>
      <c r="DJ78" t="s">
        <v>20</v>
      </c>
      <c r="DK78" t="s">
        <v>5</v>
      </c>
      <c r="DL78" t="s">
        <v>5</v>
      </c>
      <c r="DM78" t="s">
        <v>5</v>
      </c>
      <c r="DN78">
        <v>114</v>
      </c>
      <c r="DO78">
        <v>67</v>
      </c>
      <c r="DP78">
        <v>1</v>
      </c>
      <c r="DQ78">
        <v>1</v>
      </c>
      <c r="DU78">
        <v>1013</v>
      </c>
      <c r="DV78" t="s">
        <v>141</v>
      </c>
      <c r="DW78" t="s">
        <v>141</v>
      </c>
      <c r="DX78">
        <v>1</v>
      </c>
      <c r="EE78">
        <v>30507548</v>
      </c>
      <c r="EF78">
        <v>40</v>
      </c>
      <c r="EG78" t="s">
        <v>21</v>
      </c>
      <c r="EH78">
        <v>0</v>
      </c>
      <c r="EI78" t="s">
        <v>5</v>
      </c>
      <c r="EJ78">
        <v>2</v>
      </c>
      <c r="EK78">
        <v>352</v>
      </c>
      <c r="EL78" t="s">
        <v>143</v>
      </c>
      <c r="EM78" t="s">
        <v>144</v>
      </c>
      <c r="EO78" t="s">
        <v>24</v>
      </c>
      <c r="EQ78">
        <v>512</v>
      </c>
      <c r="ER78">
        <v>2827.55</v>
      </c>
      <c r="ES78">
        <v>0</v>
      </c>
      <c r="ET78">
        <v>0</v>
      </c>
      <c r="EU78">
        <v>0</v>
      </c>
      <c r="EV78">
        <v>2827.55</v>
      </c>
      <c r="EW78">
        <v>145.6</v>
      </c>
      <c r="EX78">
        <v>0</v>
      </c>
      <c r="EY78">
        <v>0</v>
      </c>
      <c r="FQ78">
        <v>0</v>
      </c>
      <c r="FR78">
        <f>ROUND(IF(AND(BH78=3,BI78=3),P78,0),2)</f>
        <v>0</v>
      </c>
      <c r="FS78">
        <v>0</v>
      </c>
      <c r="FX78">
        <v>114</v>
      </c>
      <c r="FY78">
        <v>67</v>
      </c>
      <c r="GA78" t="s">
        <v>5</v>
      </c>
      <c r="GD78">
        <v>0</v>
      </c>
      <c r="GF78">
        <v>-1311312873</v>
      </c>
      <c r="GG78">
        <v>2</v>
      </c>
      <c r="GH78">
        <v>1</v>
      </c>
      <c r="GI78">
        <v>2</v>
      </c>
      <c r="GJ78">
        <v>0</v>
      </c>
      <c r="GK78">
        <f>ROUND(R78*(R12)/100,2)</f>
        <v>0</v>
      </c>
      <c r="GL78">
        <f>ROUND(IF(AND(BH78=3,BI78=3,FS78&lt;&gt;0),P78,0),2)</f>
        <v>0</v>
      </c>
      <c r="GM78">
        <f>ROUND(O78+X78+Y78+GK78,2)+GX78</f>
        <v>151910.04</v>
      </c>
      <c r="GN78">
        <f>IF(OR(BI78=0,BI78=1),ROUND(O78+X78+Y78+GK78,2),0)</f>
        <v>0</v>
      </c>
      <c r="GO78">
        <f>IF(BI78=2,ROUND(O78+X78+Y78+GK78,2),0)</f>
        <v>151910.04</v>
      </c>
      <c r="GP78">
        <f>IF(BI78=4,ROUND(O78+X78+Y78+GK78,2)+GX78,0)</f>
        <v>0</v>
      </c>
      <c r="GR78">
        <v>0</v>
      </c>
      <c r="GS78">
        <v>3</v>
      </c>
      <c r="GT78">
        <v>0</v>
      </c>
      <c r="GU78" t="s">
        <v>5</v>
      </c>
      <c r="GV78">
        <f>ROUND((GT78),6)</f>
        <v>0</v>
      </c>
      <c r="GW78">
        <v>1</v>
      </c>
      <c r="GX78">
        <f>ROUND(HC78*I78,2)</f>
        <v>0</v>
      </c>
      <c r="HA78">
        <v>0</v>
      </c>
      <c r="HB78">
        <v>0</v>
      </c>
      <c r="HC78">
        <f>GV78*GW78</f>
        <v>0</v>
      </c>
      <c r="IK78">
        <v>0</v>
      </c>
    </row>
    <row r="79" spans="1:245" x14ac:dyDescent="0.2">
      <c r="A79">
        <v>17</v>
      </c>
      <c r="B79">
        <v>1</v>
      </c>
      <c r="E79" t="s">
        <v>145</v>
      </c>
      <c r="F79" t="s">
        <v>26</v>
      </c>
      <c r="G79" t="s">
        <v>146</v>
      </c>
      <c r="H79" t="s">
        <v>28</v>
      </c>
      <c r="I79">
        <v>3</v>
      </c>
      <c r="J79">
        <v>0</v>
      </c>
      <c r="O79">
        <f>ROUND(CP79,2)</f>
        <v>51831.360000000001</v>
      </c>
      <c r="P79">
        <f>ROUND((ROUND((AC79*AW79*I79),2)*BC79),2)</f>
        <v>51831.360000000001</v>
      </c>
      <c r="Q79">
        <f>(ROUND((ROUND(((ET79)*AV79*I79),2)*BB79),2)+ROUND((ROUND(((AE79-(EU79))*AV79*I79),2)*BS79),2))</f>
        <v>0</v>
      </c>
      <c r="R79">
        <f>ROUND((ROUND((AE79*AV79*I79),2)*BS79),2)</f>
        <v>0</v>
      </c>
      <c r="S79">
        <f>ROUND((ROUND((AF79*AV79*I79),2)*BA79),2)</f>
        <v>0</v>
      </c>
      <c r="T79">
        <f>ROUND(CU79*I79,2)</f>
        <v>0</v>
      </c>
      <c r="U79">
        <f>CV79*I79</f>
        <v>0</v>
      </c>
      <c r="V79">
        <f>CW79*I79</f>
        <v>0</v>
      </c>
      <c r="W79">
        <f>ROUND(CX79*I79,2)</f>
        <v>0</v>
      </c>
      <c r="X79">
        <f t="shared" si="65"/>
        <v>0</v>
      </c>
      <c r="Y79">
        <f t="shared" si="65"/>
        <v>0</v>
      </c>
      <c r="AA79">
        <v>31330642</v>
      </c>
      <c r="AB79">
        <f>ROUND((AC79+AD79+AF79),6)</f>
        <v>17277.12</v>
      </c>
      <c r="AC79">
        <f>ROUND((ES79),6)</f>
        <v>17277.12</v>
      </c>
      <c r="AD79">
        <f>ROUND((((ET79)-(EU79))+AE79),6)</f>
        <v>0</v>
      </c>
      <c r="AE79">
        <f>ROUND((EU79),6)</f>
        <v>0</v>
      </c>
      <c r="AF79">
        <f>ROUND((EV79),6)</f>
        <v>0</v>
      </c>
      <c r="AG79">
        <f>ROUND((AP79),6)</f>
        <v>0</v>
      </c>
      <c r="AH79">
        <f>(EW79)</f>
        <v>0</v>
      </c>
      <c r="AI79">
        <f>(EX79)</f>
        <v>0</v>
      </c>
      <c r="AJ79">
        <f>(AS79)</f>
        <v>0</v>
      </c>
      <c r="AK79">
        <v>17277.12</v>
      </c>
      <c r="AL79">
        <v>17277.12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1</v>
      </c>
      <c r="BD79" t="s">
        <v>5</v>
      </c>
      <c r="BE79" t="s">
        <v>5</v>
      </c>
      <c r="BF79" t="s">
        <v>5</v>
      </c>
      <c r="BG79" t="s">
        <v>5</v>
      </c>
      <c r="BH79">
        <v>3</v>
      </c>
      <c r="BI79">
        <v>3</v>
      </c>
      <c r="BJ79" t="s">
        <v>5</v>
      </c>
      <c r="BM79">
        <v>746</v>
      </c>
      <c r="BN79">
        <v>0</v>
      </c>
      <c r="BO79" t="s">
        <v>5</v>
      </c>
      <c r="BP79">
        <v>0</v>
      </c>
      <c r="BQ79">
        <v>130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5</v>
      </c>
      <c r="BZ79">
        <v>0</v>
      </c>
      <c r="CA79">
        <v>0</v>
      </c>
      <c r="CE79">
        <v>30</v>
      </c>
      <c r="CF79">
        <v>0</v>
      </c>
      <c r="CG79">
        <v>0</v>
      </c>
      <c r="CM79">
        <v>0</v>
      </c>
      <c r="CN79" t="s">
        <v>5</v>
      </c>
      <c r="CO79">
        <v>0</v>
      </c>
      <c r="CP79">
        <f>(P79+Q79+S79)</f>
        <v>51831.360000000001</v>
      </c>
      <c r="CQ79">
        <f>ROUND((ROUND((AC79*AW79*1),2)*BC79),2)</f>
        <v>17277.12</v>
      </c>
      <c r="CR79">
        <f>(ROUND((ROUND(((ET79)*AV79*1),2)*BB79),2)+ROUND((ROUND(((AE79-(EU79))*AV79*1),2)*BS79),2))</f>
        <v>0</v>
      </c>
      <c r="CS79">
        <f>ROUND((ROUND((AE79*AV79*1),2)*BS79),2)</f>
        <v>0</v>
      </c>
      <c r="CT79">
        <f>ROUND((ROUND((AF79*AV79*1),2)*BA79),2)</f>
        <v>0</v>
      </c>
      <c r="CU79">
        <f>AG79</f>
        <v>0</v>
      </c>
      <c r="CV79">
        <f>(AH79*AV79)</f>
        <v>0</v>
      </c>
      <c r="CW79">
        <f t="shared" si="66"/>
        <v>0</v>
      </c>
      <c r="CX79">
        <f t="shared" si="66"/>
        <v>0</v>
      </c>
      <c r="CY79">
        <f>S79*(BZ79/100)</f>
        <v>0</v>
      </c>
      <c r="CZ79">
        <f>S79*(CA79/100)</f>
        <v>0</v>
      </c>
      <c r="DC79" t="s">
        <v>5</v>
      </c>
      <c r="DD79" t="s">
        <v>5</v>
      </c>
      <c r="DE79" t="s">
        <v>5</v>
      </c>
      <c r="DF79" t="s">
        <v>5</v>
      </c>
      <c r="DG79" t="s">
        <v>5</v>
      </c>
      <c r="DH79" t="s">
        <v>5</v>
      </c>
      <c r="DI79" t="s">
        <v>5</v>
      </c>
      <c r="DJ79" t="s">
        <v>5</v>
      </c>
      <c r="DK79" t="s">
        <v>5</v>
      </c>
      <c r="DL79" t="s">
        <v>5</v>
      </c>
      <c r="DM79" t="s">
        <v>5</v>
      </c>
      <c r="DN79">
        <v>0</v>
      </c>
      <c r="DO79">
        <v>0</v>
      </c>
      <c r="DP79">
        <v>1</v>
      </c>
      <c r="DQ79">
        <v>1</v>
      </c>
      <c r="DU79">
        <v>1013</v>
      </c>
      <c r="DV79" t="s">
        <v>28</v>
      </c>
      <c r="DW79" t="s">
        <v>28</v>
      </c>
      <c r="DX79">
        <v>1</v>
      </c>
      <c r="EE79">
        <v>30507942</v>
      </c>
      <c r="EF79">
        <v>130</v>
      </c>
      <c r="EG79" t="s">
        <v>29</v>
      </c>
      <c r="EH79">
        <v>0</v>
      </c>
      <c r="EI79" t="s">
        <v>5</v>
      </c>
      <c r="EJ79">
        <v>3</v>
      </c>
      <c r="EK79">
        <v>746</v>
      </c>
      <c r="EL79" t="s">
        <v>30</v>
      </c>
      <c r="EM79" t="s">
        <v>31</v>
      </c>
      <c r="EO79" t="s">
        <v>5</v>
      </c>
      <c r="EQ79">
        <v>0</v>
      </c>
      <c r="ER79">
        <v>17277.12</v>
      </c>
      <c r="ES79">
        <v>17277.12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5</v>
      </c>
      <c r="FC79">
        <v>1</v>
      </c>
      <c r="FD79">
        <v>18</v>
      </c>
      <c r="FF79">
        <v>19890</v>
      </c>
      <c r="FQ79">
        <v>0</v>
      </c>
      <c r="FR79">
        <f>ROUND(IF(AND(BH79=3,BI79=3),P79,0),2)</f>
        <v>51831.360000000001</v>
      </c>
      <c r="FS79">
        <v>0</v>
      </c>
      <c r="FX79">
        <v>0</v>
      </c>
      <c r="FY79">
        <v>0</v>
      </c>
      <c r="GA79" t="s">
        <v>147</v>
      </c>
      <c r="GD79">
        <v>0</v>
      </c>
      <c r="GF79">
        <v>229199349</v>
      </c>
      <c r="GG79">
        <v>2</v>
      </c>
      <c r="GH79">
        <v>3</v>
      </c>
      <c r="GI79">
        <v>-2</v>
      </c>
      <c r="GJ79">
        <v>0</v>
      </c>
      <c r="GK79">
        <f>ROUND(R79*(R12)/100,2)</f>
        <v>0</v>
      </c>
      <c r="GL79">
        <f>ROUND(IF(AND(BH79=3,BI79=3,FS79&lt;&gt;0),P79,0),2)</f>
        <v>0</v>
      </c>
      <c r="GM79">
        <f>ROUND(O79+X79+Y79+GK79,2)+GX79</f>
        <v>51831.360000000001</v>
      </c>
      <c r="GN79">
        <f>IF(OR(BI79=0,BI79=1),ROUND(O79+X79+Y79+GK79,2),0)</f>
        <v>0</v>
      </c>
      <c r="GO79">
        <f>IF(BI79=2,ROUND(O79+X79+Y79+GK79,2),0)</f>
        <v>0</v>
      </c>
      <c r="GP79">
        <f>IF(BI79=4,ROUND(O79+X79+Y79+GK79,2)+GX79,0)</f>
        <v>0</v>
      </c>
      <c r="GR79">
        <v>1</v>
      </c>
      <c r="GS79">
        <v>1</v>
      </c>
      <c r="GT79">
        <v>0</v>
      </c>
      <c r="GU79" t="s">
        <v>5</v>
      </c>
      <c r="GV79">
        <f>ROUND((GT79),6)</f>
        <v>0</v>
      </c>
      <c r="GW79">
        <v>1</v>
      </c>
      <c r="GX79">
        <f>ROUND(HC79*I79,2)</f>
        <v>0</v>
      </c>
      <c r="HA79">
        <v>0</v>
      </c>
      <c r="HB79">
        <v>0</v>
      </c>
      <c r="HC79">
        <f>GV79*GW79</f>
        <v>0</v>
      </c>
      <c r="IK79">
        <v>0</v>
      </c>
    </row>
    <row r="80" spans="1:245" x14ac:dyDescent="0.2">
      <c r="A80">
        <v>17</v>
      </c>
      <c r="B80">
        <v>1</v>
      </c>
      <c r="E80" t="s">
        <v>148</v>
      </c>
      <c r="F80" t="s">
        <v>26</v>
      </c>
      <c r="G80" t="s">
        <v>149</v>
      </c>
      <c r="H80" t="s">
        <v>28</v>
      </c>
      <c r="I80">
        <v>1</v>
      </c>
      <c r="J80">
        <v>0</v>
      </c>
      <c r="O80">
        <f>ROUND(CP80,2)</f>
        <v>4065.2</v>
      </c>
      <c r="P80">
        <f>ROUND((ROUND((AC80*AW80*I80),2)*BC80),2)</f>
        <v>4065.2</v>
      </c>
      <c r="Q80">
        <f>(ROUND((ROUND(((ET80)*AV80*I80),2)*BB80),2)+ROUND((ROUND(((AE80-(EU80))*AV80*I80),2)*BS80),2))</f>
        <v>0</v>
      </c>
      <c r="R80">
        <f>ROUND((ROUND((AE80*AV80*I80),2)*BS80),2)</f>
        <v>0</v>
      </c>
      <c r="S80">
        <f>ROUND((ROUND((AF80*AV80*I80),2)*BA80),2)</f>
        <v>0</v>
      </c>
      <c r="T80">
        <f>ROUND(CU80*I80,2)</f>
        <v>0</v>
      </c>
      <c r="U80">
        <f>CV80*I80</f>
        <v>0</v>
      </c>
      <c r="V80">
        <f>CW80*I80</f>
        <v>0</v>
      </c>
      <c r="W80">
        <f>ROUND(CX80*I80,2)</f>
        <v>0</v>
      </c>
      <c r="X80">
        <f t="shared" si="65"/>
        <v>0</v>
      </c>
      <c r="Y80">
        <f t="shared" si="65"/>
        <v>0</v>
      </c>
      <c r="AA80">
        <v>31330642</v>
      </c>
      <c r="AB80">
        <f>ROUND((AC80+AD80+AF80),6)</f>
        <v>4065.2</v>
      </c>
      <c r="AC80">
        <f>ROUND((ES80),6)</f>
        <v>4065.2</v>
      </c>
      <c r="AD80">
        <f>ROUND((((ET80)-(EU80))+AE80),6)</f>
        <v>0</v>
      </c>
      <c r="AE80">
        <f>ROUND((EU80),6)</f>
        <v>0</v>
      </c>
      <c r="AF80">
        <f>ROUND((EV80),6)</f>
        <v>0</v>
      </c>
      <c r="AG80">
        <f>ROUND((AP80),6)</f>
        <v>0</v>
      </c>
      <c r="AH80">
        <f>(EW80)</f>
        <v>0</v>
      </c>
      <c r="AI80">
        <f>(EX80)</f>
        <v>0</v>
      </c>
      <c r="AJ80">
        <f>(AS80)</f>
        <v>0</v>
      </c>
      <c r="AK80">
        <v>4065.2</v>
      </c>
      <c r="AL80">
        <v>4065.2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1</v>
      </c>
      <c r="AW80">
        <v>1</v>
      </c>
      <c r="AZ80">
        <v>1</v>
      </c>
      <c r="BA80">
        <v>1</v>
      </c>
      <c r="BB80">
        <v>1</v>
      </c>
      <c r="BC80">
        <v>1</v>
      </c>
      <c r="BD80" t="s">
        <v>5</v>
      </c>
      <c r="BE80" t="s">
        <v>5</v>
      </c>
      <c r="BF80" t="s">
        <v>5</v>
      </c>
      <c r="BG80" t="s">
        <v>5</v>
      </c>
      <c r="BH80">
        <v>3</v>
      </c>
      <c r="BI80">
        <v>3</v>
      </c>
      <c r="BJ80" t="s">
        <v>5</v>
      </c>
      <c r="BM80">
        <v>746</v>
      </c>
      <c r="BN80">
        <v>0</v>
      </c>
      <c r="BO80" t="s">
        <v>5</v>
      </c>
      <c r="BP80">
        <v>0</v>
      </c>
      <c r="BQ80">
        <v>130</v>
      </c>
      <c r="BR80">
        <v>0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5</v>
      </c>
      <c r="BZ80">
        <v>0</v>
      </c>
      <c r="CA80">
        <v>0</v>
      </c>
      <c r="CE80">
        <v>30</v>
      </c>
      <c r="CF80">
        <v>0</v>
      </c>
      <c r="CG80">
        <v>0</v>
      </c>
      <c r="CM80">
        <v>0</v>
      </c>
      <c r="CN80" t="s">
        <v>5</v>
      </c>
      <c r="CO80">
        <v>0</v>
      </c>
      <c r="CP80">
        <f>(P80+Q80+S80)</f>
        <v>4065.2</v>
      </c>
      <c r="CQ80">
        <f>ROUND((ROUND((AC80*AW80*1),2)*BC80),2)</f>
        <v>4065.2</v>
      </c>
      <c r="CR80">
        <f>(ROUND((ROUND(((ET80)*AV80*1),2)*BB80),2)+ROUND((ROUND(((AE80-(EU80))*AV80*1),2)*BS80),2))</f>
        <v>0</v>
      </c>
      <c r="CS80">
        <f>ROUND((ROUND((AE80*AV80*1),2)*BS80),2)</f>
        <v>0</v>
      </c>
      <c r="CT80">
        <f>ROUND((ROUND((AF80*AV80*1),2)*BA80),2)</f>
        <v>0</v>
      </c>
      <c r="CU80">
        <f>AG80</f>
        <v>0</v>
      </c>
      <c r="CV80">
        <f>(AH80*AV80)</f>
        <v>0</v>
      </c>
      <c r="CW80">
        <f t="shared" si="66"/>
        <v>0</v>
      </c>
      <c r="CX80">
        <f t="shared" si="66"/>
        <v>0</v>
      </c>
      <c r="CY80">
        <f>S80*(BZ80/100)</f>
        <v>0</v>
      </c>
      <c r="CZ80">
        <f>S80*(CA80/100)</f>
        <v>0</v>
      </c>
      <c r="DC80" t="s">
        <v>5</v>
      </c>
      <c r="DD80" t="s">
        <v>5</v>
      </c>
      <c r="DE80" t="s">
        <v>5</v>
      </c>
      <c r="DF80" t="s">
        <v>5</v>
      </c>
      <c r="DG80" t="s">
        <v>5</v>
      </c>
      <c r="DH80" t="s">
        <v>5</v>
      </c>
      <c r="DI80" t="s">
        <v>5</v>
      </c>
      <c r="DJ80" t="s">
        <v>5</v>
      </c>
      <c r="DK80" t="s">
        <v>5</v>
      </c>
      <c r="DL80" t="s">
        <v>5</v>
      </c>
      <c r="DM80" t="s">
        <v>5</v>
      </c>
      <c r="DN80">
        <v>0</v>
      </c>
      <c r="DO80">
        <v>0</v>
      </c>
      <c r="DP80">
        <v>1</v>
      </c>
      <c r="DQ80">
        <v>1</v>
      </c>
      <c r="DU80">
        <v>1013</v>
      </c>
      <c r="DV80" t="s">
        <v>28</v>
      </c>
      <c r="DW80" t="s">
        <v>28</v>
      </c>
      <c r="DX80">
        <v>1</v>
      </c>
      <c r="EE80">
        <v>30507942</v>
      </c>
      <c r="EF80">
        <v>130</v>
      </c>
      <c r="EG80" t="s">
        <v>29</v>
      </c>
      <c r="EH80">
        <v>0</v>
      </c>
      <c r="EI80" t="s">
        <v>5</v>
      </c>
      <c r="EJ80">
        <v>3</v>
      </c>
      <c r="EK80">
        <v>746</v>
      </c>
      <c r="EL80" t="s">
        <v>30</v>
      </c>
      <c r="EM80" t="s">
        <v>31</v>
      </c>
      <c r="EO80" t="s">
        <v>5</v>
      </c>
      <c r="EQ80">
        <v>0</v>
      </c>
      <c r="ER80">
        <v>4065.2</v>
      </c>
      <c r="ES80">
        <v>4065.2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5</v>
      </c>
      <c r="FC80">
        <v>1</v>
      </c>
      <c r="FD80">
        <v>18</v>
      </c>
      <c r="FF80">
        <v>4680</v>
      </c>
      <c r="FQ80">
        <v>0</v>
      </c>
      <c r="FR80">
        <f>ROUND(IF(AND(BH80=3,BI80=3),P80,0),2)</f>
        <v>4065.2</v>
      </c>
      <c r="FS80">
        <v>0</v>
      </c>
      <c r="FX80">
        <v>0</v>
      </c>
      <c r="FY80">
        <v>0</v>
      </c>
      <c r="GA80" t="s">
        <v>150</v>
      </c>
      <c r="GD80">
        <v>0</v>
      </c>
      <c r="GF80">
        <v>-209364334</v>
      </c>
      <c r="GG80">
        <v>2</v>
      </c>
      <c r="GH80">
        <v>3</v>
      </c>
      <c r="GI80">
        <v>-2</v>
      </c>
      <c r="GJ80">
        <v>0</v>
      </c>
      <c r="GK80">
        <f>ROUND(R80*(R12)/100,2)</f>
        <v>0</v>
      </c>
      <c r="GL80">
        <f>ROUND(IF(AND(BH80=3,BI80=3,FS80&lt;&gt;0),P80,0),2)</f>
        <v>0</v>
      </c>
      <c r="GM80">
        <f>ROUND(O80+X80+Y80+GK80,2)+GX80</f>
        <v>4065.2</v>
      </c>
      <c r="GN80">
        <f>IF(OR(BI80=0,BI80=1),ROUND(O80+X80+Y80+GK80,2),0)</f>
        <v>0</v>
      </c>
      <c r="GO80">
        <f>IF(BI80=2,ROUND(O80+X80+Y80+GK80,2),0)</f>
        <v>0</v>
      </c>
      <c r="GP80">
        <f>IF(BI80=4,ROUND(O80+X80+Y80+GK80,2)+GX80,0)</f>
        <v>0</v>
      </c>
      <c r="GR80">
        <v>1</v>
      </c>
      <c r="GS80">
        <v>1</v>
      </c>
      <c r="GT80">
        <v>0</v>
      </c>
      <c r="GU80" t="s">
        <v>5</v>
      </c>
      <c r="GV80">
        <f>ROUND((GT80),6)</f>
        <v>0</v>
      </c>
      <c r="GW80">
        <v>1</v>
      </c>
      <c r="GX80">
        <f>ROUND(HC80*I80,2)</f>
        <v>0</v>
      </c>
      <c r="HA80">
        <v>0</v>
      </c>
      <c r="HB80">
        <v>0</v>
      </c>
      <c r="HC80">
        <f>GV80*GW80</f>
        <v>0</v>
      </c>
      <c r="IK80">
        <v>0</v>
      </c>
    </row>
    <row r="81" spans="1:245" x14ac:dyDescent="0.2">
      <c r="A81">
        <v>17</v>
      </c>
      <c r="B81">
        <v>1</v>
      </c>
      <c r="C81">
        <f>ROW(SmtRes!A13)</f>
        <v>13</v>
      </c>
      <c r="D81">
        <f>ROW(EtalonRes!A13)</f>
        <v>13</v>
      </c>
      <c r="E81" t="s">
        <v>151</v>
      </c>
      <c r="F81" t="s">
        <v>152</v>
      </c>
      <c r="G81" t="s">
        <v>153</v>
      </c>
      <c r="H81" t="s">
        <v>18</v>
      </c>
      <c r="I81">
        <v>5</v>
      </c>
      <c r="J81">
        <v>0</v>
      </c>
      <c r="O81">
        <f>ROUND(CP81,2)</f>
        <v>2459.09</v>
      </c>
      <c r="P81">
        <f>ROUND((ROUND((AC81*AW81*I81),2)*BC81),2)</f>
        <v>0</v>
      </c>
      <c r="Q81">
        <f>(ROUND((ROUND(((ET81)*AV81*I81),2)*BB81),2)+ROUND((ROUND(((AE81-(EU81))*AV81*I81),2)*BS81),2))</f>
        <v>0</v>
      </c>
      <c r="R81">
        <f>ROUND((ROUND((AE81*AV81*I81),2)*BS81),2)</f>
        <v>0</v>
      </c>
      <c r="S81">
        <f>ROUND((ROUND((AF81*AV81*I81),2)*BA81),2)</f>
        <v>2459.09</v>
      </c>
      <c r="T81">
        <f>ROUND(CU81*I81,2)</f>
        <v>0</v>
      </c>
      <c r="U81">
        <f>CV81*I81</f>
        <v>7.5600000000000005</v>
      </c>
      <c r="V81">
        <f>CW81*I81</f>
        <v>0</v>
      </c>
      <c r="W81">
        <f>ROUND(CX81*I81,2)</f>
        <v>0</v>
      </c>
      <c r="X81">
        <f t="shared" si="65"/>
        <v>1672.18</v>
      </c>
      <c r="Y81">
        <f t="shared" si="65"/>
        <v>1008.23</v>
      </c>
      <c r="AA81">
        <v>31330642</v>
      </c>
      <c r="AB81">
        <f>ROUND((AC81+AD81+AF81),6)</f>
        <v>22.95</v>
      </c>
      <c r="AC81">
        <f>ROUND((ES81),6)</f>
        <v>0</v>
      </c>
      <c r="AD81">
        <f>ROUND((((ET81)-(EU81))+AE81),6)</f>
        <v>0</v>
      </c>
      <c r="AE81">
        <f>ROUND((EU81),6)</f>
        <v>0</v>
      </c>
      <c r="AF81">
        <f>ROUND((((EV81*0.8)*1.35)),6)</f>
        <v>22.95</v>
      </c>
      <c r="AG81">
        <f>ROUND((AP81),6)</f>
        <v>0</v>
      </c>
      <c r="AH81">
        <f>(((EW81*0.8)*1.35))</f>
        <v>1.512</v>
      </c>
      <c r="AI81">
        <f>(EX81)</f>
        <v>0</v>
      </c>
      <c r="AJ81">
        <f>(AS81)</f>
        <v>0</v>
      </c>
      <c r="AK81">
        <v>21.25</v>
      </c>
      <c r="AL81">
        <v>0</v>
      </c>
      <c r="AM81">
        <v>0</v>
      </c>
      <c r="AN81">
        <v>0</v>
      </c>
      <c r="AO81">
        <v>21.25</v>
      </c>
      <c r="AP81">
        <v>0</v>
      </c>
      <c r="AQ81">
        <v>1.4</v>
      </c>
      <c r="AR81">
        <v>0</v>
      </c>
      <c r="AS81">
        <v>0</v>
      </c>
      <c r="AT81">
        <v>68</v>
      </c>
      <c r="AU81">
        <v>41</v>
      </c>
      <c r="AV81">
        <v>1</v>
      </c>
      <c r="AW81">
        <v>1</v>
      </c>
      <c r="AZ81">
        <v>1</v>
      </c>
      <c r="BA81">
        <v>21.43</v>
      </c>
      <c r="BB81">
        <v>1</v>
      </c>
      <c r="BC81">
        <v>1</v>
      </c>
      <c r="BD81" t="s">
        <v>5</v>
      </c>
      <c r="BE81" t="s">
        <v>5</v>
      </c>
      <c r="BF81" t="s">
        <v>5</v>
      </c>
      <c r="BG81" t="s">
        <v>5</v>
      </c>
      <c r="BH81">
        <v>0</v>
      </c>
      <c r="BI81">
        <v>4</v>
      </c>
      <c r="BJ81" t="s">
        <v>154</v>
      </c>
      <c r="BM81">
        <v>382</v>
      </c>
      <c r="BN81">
        <v>0</v>
      </c>
      <c r="BO81" t="s">
        <v>5</v>
      </c>
      <c r="BP81">
        <v>0</v>
      </c>
      <c r="BQ81">
        <v>50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5</v>
      </c>
      <c r="BZ81">
        <v>68</v>
      </c>
      <c r="CA81">
        <v>41</v>
      </c>
      <c r="CE81">
        <v>30</v>
      </c>
      <c r="CF81">
        <v>0</v>
      </c>
      <c r="CG81">
        <v>0</v>
      </c>
      <c r="CM81">
        <v>0</v>
      </c>
      <c r="CN81" t="s">
        <v>183</v>
      </c>
      <c r="CO81">
        <v>0</v>
      </c>
      <c r="CP81">
        <f>(P81+Q81+S81)</f>
        <v>2459.09</v>
      </c>
      <c r="CQ81">
        <f>ROUND((ROUND((AC81*AW81*1),2)*BC81),2)</f>
        <v>0</v>
      </c>
      <c r="CR81">
        <f>(ROUND((ROUND(((ET81)*AV81*1),2)*BB81),2)+ROUND((ROUND(((AE81-(EU81))*AV81*1),2)*BS81),2))</f>
        <v>0</v>
      </c>
      <c r="CS81">
        <f>ROUND((ROUND((AE81*AV81*1),2)*BS81),2)</f>
        <v>0</v>
      </c>
      <c r="CT81">
        <f>ROUND((ROUND((AF81*AV81*1),2)*BA81),2)</f>
        <v>491.82</v>
      </c>
      <c r="CU81">
        <f>AG81</f>
        <v>0</v>
      </c>
      <c r="CV81">
        <f>(AH81*AV81)</f>
        <v>1.512</v>
      </c>
      <c r="CW81">
        <f t="shared" si="66"/>
        <v>0</v>
      </c>
      <c r="CX81">
        <f t="shared" si="66"/>
        <v>0</v>
      </c>
      <c r="CY81">
        <f>S81*(BZ81/100)</f>
        <v>1672.1812000000002</v>
      </c>
      <c r="CZ81">
        <f>S81*(CA81/100)</f>
        <v>1008.2269</v>
      </c>
      <c r="DC81" t="s">
        <v>5</v>
      </c>
      <c r="DD81" t="s">
        <v>5</v>
      </c>
      <c r="DE81" t="s">
        <v>5</v>
      </c>
      <c r="DF81" t="s">
        <v>5</v>
      </c>
      <c r="DG81" t="s">
        <v>155</v>
      </c>
      <c r="DH81" t="s">
        <v>5</v>
      </c>
      <c r="DI81" t="s">
        <v>155</v>
      </c>
      <c r="DJ81" t="s">
        <v>5</v>
      </c>
      <c r="DK81" t="s">
        <v>5</v>
      </c>
      <c r="DL81" t="s">
        <v>5</v>
      </c>
      <c r="DM81" t="s">
        <v>5</v>
      </c>
      <c r="DN81">
        <v>75</v>
      </c>
      <c r="DO81">
        <v>70</v>
      </c>
      <c r="DP81">
        <v>1</v>
      </c>
      <c r="DQ81">
        <v>1</v>
      </c>
      <c r="DU81">
        <v>1013</v>
      </c>
      <c r="DV81" t="s">
        <v>18</v>
      </c>
      <c r="DW81" t="s">
        <v>18</v>
      </c>
      <c r="DX81">
        <v>1</v>
      </c>
      <c r="EE81">
        <v>30507578</v>
      </c>
      <c r="EF81">
        <v>50</v>
      </c>
      <c r="EG81" t="s">
        <v>156</v>
      </c>
      <c r="EH81">
        <v>0</v>
      </c>
      <c r="EI81" t="s">
        <v>5</v>
      </c>
      <c r="EJ81">
        <v>4</v>
      </c>
      <c r="EK81">
        <v>382</v>
      </c>
      <c r="EL81" t="s">
        <v>157</v>
      </c>
      <c r="EM81" t="s">
        <v>158</v>
      </c>
      <c r="EO81" t="s">
        <v>159</v>
      </c>
      <c r="EQ81">
        <v>512</v>
      </c>
      <c r="ER81">
        <v>21.25</v>
      </c>
      <c r="ES81">
        <v>0</v>
      </c>
      <c r="ET81">
        <v>0</v>
      </c>
      <c r="EU81">
        <v>0</v>
      </c>
      <c r="EV81">
        <v>21.25</v>
      </c>
      <c r="EW81">
        <v>1.4</v>
      </c>
      <c r="EX81">
        <v>0</v>
      </c>
      <c r="EY81">
        <v>0</v>
      </c>
      <c r="FQ81">
        <v>0</v>
      </c>
      <c r="FR81">
        <f>ROUND(IF(AND(BH81=3,BI81=3),P81,0),2)</f>
        <v>0</v>
      </c>
      <c r="FS81">
        <v>0</v>
      </c>
      <c r="FX81">
        <v>75</v>
      </c>
      <c r="FY81">
        <v>70</v>
      </c>
      <c r="GA81" t="s">
        <v>5</v>
      </c>
      <c r="GD81">
        <v>0</v>
      </c>
      <c r="GF81">
        <v>-1732048265</v>
      </c>
      <c r="GG81">
        <v>2</v>
      </c>
      <c r="GH81">
        <v>1</v>
      </c>
      <c r="GI81">
        <v>2</v>
      </c>
      <c r="GJ81">
        <v>0</v>
      </c>
      <c r="GK81">
        <f>ROUND(R81*(R12)/100,2)</f>
        <v>0</v>
      </c>
      <c r="GL81">
        <f>ROUND(IF(AND(BH81=3,BI81=3,FS81&lt;&gt;0),P81,0),2)</f>
        <v>0</v>
      </c>
      <c r="GM81">
        <f>ROUND(O81+X81+Y81+GK81,2)+GX81</f>
        <v>5139.5</v>
      </c>
      <c r="GN81">
        <f>IF(OR(BI81=0,BI81=1),ROUND(O81+X81+Y81+GK81,2),0)</f>
        <v>0</v>
      </c>
      <c r="GO81">
        <f>IF(BI81=2,ROUND(O81+X81+Y81+GK81,2),0)</f>
        <v>0</v>
      </c>
      <c r="GP81">
        <f>IF(BI81=4,ROUND(O81+X81+Y81+GK81,2)+GX81,0)</f>
        <v>5139.5</v>
      </c>
      <c r="GR81">
        <v>0</v>
      </c>
      <c r="GS81">
        <v>3</v>
      </c>
      <c r="GT81">
        <v>0</v>
      </c>
      <c r="GU81" t="s">
        <v>5</v>
      </c>
      <c r="GV81">
        <f>ROUND((GT81),6)</f>
        <v>0</v>
      </c>
      <c r="GW81">
        <v>1</v>
      </c>
      <c r="GX81">
        <f>ROUND(HC81*I81,2)</f>
        <v>0</v>
      </c>
      <c r="HA81">
        <v>0</v>
      </c>
      <c r="HB81">
        <v>0</v>
      </c>
      <c r="HC81">
        <f>GV81*GW81</f>
        <v>0</v>
      </c>
      <c r="IK81">
        <v>0</v>
      </c>
    </row>
    <row r="82" spans="1:245" x14ac:dyDescent="0.2">
      <c r="A82">
        <v>17</v>
      </c>
      <c r="B82">
        <v>1</v>
      </c>
      <c r="C82">
        <f>ROW(SmtRes!A14)</f>
        <v>14</v>
      </c>
      <c r="D82">
        <f>ROW(EtalonRes!A14)</f>
        <v>14</v>
      </c>
      <c r="E82" t="s">
        <v>160</v>
      </c>
      <c r="F82" t="s">
        <v>161</v>
      </c>
      <c r="G82" t="s">
        <v>162</v>
      </c>
      <c r="H82" t="s">
        <v>163</v>
      </c>
      <c r="I82">
        <v>1</v>
      </c>
      <c r="J82">
        <v>0</v>
      </c>
      <c r="O82">
        <f>ROUND(CP82,2)</f>
        <v>31436.52</v>
      </c>
      <c r="P82">
        <f>ROUND((ROUND((AC82*AW82*I82),2)*BC82),2)</f>
        <v>0</v>
      </c>
      <c r="Q82">
        <f>(ROUND((ROUND(((ET82)*AV82*I82),2)*BB82),2)+ROUND((ROUND(((AE82-(EU82))*AV82*I82),2)*BS82),2))</f>
        <v>0</v>
      </c>
      <c r="R82">
        <f>ROUND((ROUND((AE82*AV82*I82),2)*BS82),2)</f>
        <v>0</v>
      </c>
      <c r="S82">
        <f>ROUND((ROUND((AF82*AV82*I82),2)*BA82),2)</f>
        <v>31436.52</v>
      </c>
      <c r="T82">
        <f>ROUND(CU82*I82,2)</f>
        <v>0</v>
      </c>
      <c r="U82">
        <f>CV82*I82</f>
        <v>75.600000000000009</v>
      </c>
      <c r="V82">
        <f>CW82*I82</f>
        <v>0</v>
      </c>
      <c r="W82">
        <f>ROUND(CX82*I82,2)</f>
        <v>0</v>
      </c>
      <c r="X82">
        <f t="shared" si="65"/>
        <v>21376.83</v>
      </c>
      <c r="Y82">
        <f t="shared" si="65"/>
        <v>12888.97</v>
      </c>
      <c r="AA82">
        <v>31330642</v>
      </c>
      <c r="AB82">
        <f>ROUND((AC82+AD82+AF82),6)</f>
        <v>1466.9369999999999</v>
      </c>
      <c r="AC82">
        <f>ROUND((ES82),6)</f>
        <v>0</v>
      </c>
      <c r="AD82">
        <f>ROUND((((ET82)-(EU82))+AE82),6)</f>
        <v>0</v>
      </c>
      <c r="AE82">
        <f>ROUND((EU82),6)</f>
        <v>0</v>
      </c>
      <c r="AF82">
        <f>ROUND(((EV82*1.35)),6)</f>
        <v>1466.9369999999999</v>
      </c>
      <c r="AG82">
        <f>ROUND((AP82),6)</f>
        <v>0</v>
      </c>
      <c r="AH82">
        <f>((EW82*1.35))</f>
        <v>75.600000000000009</v>
      </c>
      <c r="AI82">
        <f>(EX82)</f>
        <v>0</v>
      </c>
      <c r="AJ82">
        <f>(AS82)</f>
        <v>0</v>
      </c>
      <c r="AK82">
        <v>1086.6199999999999</v>
      </c>
      <c r="AL82">
        <v>0</v>
      </c>
      <c r="AM82">
        <v>0</v>
      </c>
      <c r="AN82">
        <v>0</v>
      </c>
      <c r="AO82">
        <v>1086.6199999999999</v>
      </c>
      <c r="AP82">
        <v>0</v>
      </c>
      <c r="AQ82">
        <v>56</v>
      </c>
      <c r="AR82">
        <v>0</v>
      </c>
      <c r="AS82">
        <v>0</v>
      </c>
      <c r="AT82">
        <v>68</v>
      </c>
      <c r="AU82">
        <v>41</v>
      </c>
      <c r="AV82">
        <v>1</v>
      </c>
      <c r="AW82">
        <v>1</v>
      </c>
      <c r="AZ82">
        <v>1</v>
      </c>
      <c r="BA82">
        <v>21.43</v>
      </c>
      <c r="BB82">
        <v>1</v>
      </c>
      <c r="BC82">
        <v>1</v>
      </c>
      <c r="BD82" t="s">
        <v>5</v>
      </c>
      <c r="BE82" t="s">
        <v>5</v>
      </c>
      <c r="BF82" t="s">
        <v>5</v>
      </c>
      <c r="BG82" t="s">
        <v>5</v>
      </c>
      <c r="BH82">
        <v>0</v>
      </c>
      <c r="BI82">
        <v>4</v>
      </c>
      <c r="BJ82" t="s">
        <v>164</v>
      </c>
      <c r="BM82">
        <v>382</v>
      </c>
      <c r="BN82">
        <v>0</v>
      </c>
      <c r="BO82" t="s">
        <v>5</v>
      </c>
      <c r="BP82">
        <v>0</v>
      </c>
      <c r="BQ82">
        <v>50</v>
      </c>
      <c r="BR82">
        <v>0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5</v>
      </c>
      <c r="BZ82">
        <v>68</v>
      </c>
      <c r="CA82">
        <v>41</v>
      </c>
      <c r="CE82">
        <v>30</v>
      </c>
      <c r="CF82">
        <v>0</v>
      </c>
      <c r="CG82">
        <v>0</v>
      </c>
      <c r="CM82">
        <v>0</v>
      </c>
      <c r="CN82" t="s">
        <v>184</v>
      </c>
      <c r="CO82">
        <v>0</v>
      </c>
      <c r="CP82">
        <f>(P82+Q82+S82)</f>
        <v>31436.52</v>
      </c>
      <c r="CQ82">
        <f>ROUND((ROUND((AC82*AW82*1),2)*BC82),2)</f>
        <v>0</v>
      </c>
      <c r="CR82">
        <f>(ROUND((ROUND(((ET82)*AV82*1),2)*BB82),2)+ROUND((ROUND(((AE82-(EU82))*AV82*1),2)*BS82),2))</f>
        <v>0</v>
      </c>
      <c r="CS82">
        <f>ROUND((ROUND((AE82*AV82*1),2)*BS82),2)</f>
        <v>0</v>
      </c>
      <c r="CT82">
        <f>ROUND((ROUND((AF82*AV82*1),2)*BA82),2)</f>
        <v>31436.52</v>
      </c>
      <c r="CU82">
        <f>AG82</f>
        <v>0</v>
      </c>
      <c r="CV82">
        <f>(AH82*AV82)</f>
        <v>75.600000000000009</v>
      </c>
      <c r="CW82">
        <f t="shared" si="66"/>
        <v>0</v>
      </c>
      <c r="CX82">
        <f t="shared" si="66"/>
        <v>0</v>
      </c>
      <c r="CY82">
        <f>S82*(BZ82/100)</f>
        <v>21376.833600000002</v>
      </c>
      <c r="CZ82">
        <f>S82*(CA82/100)</f>
        <v>12888.973199999999</v>
      </c>
      <c r="DC82" t="s">
        <v>5</v>
      </c>
      <c r="DD82" t="s">
        <v>5</v>
      </c>
      <c r="DE82" t="s">
        <v>5</v>
      </c>
      <c r="DF82" t="s">
        <v>5</v>
      </c>
      <c r="DG82" t="s">
        <v>165</v>
      </c>
      <c r="DH82" t="s">
        <v>5</v>
      </c>
      <c r="DI82" t="s">
        <v>165</v>
      </c>
      <c r="DJ82" t="s">
        <v>5</v>
      </c>
      <c r="DK82" t="s">
        <v>5</v>
      </c>
      <c r="DL82" t="s">
        <v>5</v>
      </c>
      <c r="DM82" t="s">
        <v>5</v>
      </c>
      <c r="DN82">
        <v>75</v>
      </c>
      <c r="DO82">
        <v>70</v>
      </c>
      <c r="DP82">
        <v>1</v>
      </c>
      <c r="DQ82">
        <v>1</v>
      </c>
      <c r="DU82">
        <v>1013</v>
      </c>
      <c r="DV82" t="s">
        <v>163</v>
      </c>
      <c r="DW82" t="s">
        <v>163</v>
      </c>
      <c r="DX82">
        <v>1</v>
      </c>
      <c r="EE82">
        <v>30507578</v>
      </c>
      <c r="EF82">
        <v>50</v>
      </c>
      <c r="EG82" t="s">
        <v>156</v>
      </c>
      <c r="EH82">
        <v>0</v>
      </c>
      <c r="EI82" t="s">
        <v>5</v>
      </c>
      <c r="EJ82">
        <v>4</v>
      </c>
      <c r="EK82">
        <v>382</v>
      </c>
      <c r="EL82" t="s">
        <v>157</v>
      </c>
      <c r="EM82" t="s">
        <v>158</v>
      </c>
      <c r="EO82" t="s">
        <v>166</v>
      </c>
      <c r="EQ82">
        <v>512</v>
      </c>
      <c r="ER82">
        <v>1086.6199999999999</v>
      </c>
      <c r="ES82">
        <v>0</v>
      </c>
      <c r="ET82">
        <v>0</v>
      </c>
      <c r="EU82">
        <v>0</v>
      </c>
      <c r="EV82">
        <v>1086.6199999999999</v>
      </c>
      <c r="EW82">
        <v>56</v>
      </c>
      <c r="EX82">
        <v>0</v>
      </c>
      <c r="EY82">
        <v>0</v>
      </c>
      <c r="FQ82">
        <v>0</v>
      </c>
      <c r="FR82">
        <f>ROUND(IF(AND(BH82=3,BI82=3),P82,0),2)</f>
        <v>0</v>
      </c>
      <c r="FS82">
        <v>0</v>
      </c>
      <c r="FX82">
        <v>75</v>
      </c>
      <c r="FY82">
        <v>70</v>
      </c>
      <c r="GA82" t="s">
        <v>5</v>
      </c>
      <c r="GD82">
        <v>0</v>
      </c>
      <c r="GF82">
        <v>-1076327264</v>
      </c>
      <c r="GG82">
        <v>2</v>
      </c>
      <c r="GH82">
        <v>1</v>
      </c>
      <c r="GI82">
        <v>2</v>
      </c>
      <c r="GJ82">
        <v>0</v>
      </c>
      <c r="GK82">
        <f>ROUND(R82*(R12)/100,2)</f>
        <v>0</v>
      </c>
      <c r="GL82">
        <f>ROUND(IF(AND(BH82=3,BI82=3,FS82&lt;&gt;0),P82,0),2)</f>
        <v>0</v>
      </c>
      <c r="GM82">
        <f>ROUND(O82+X82+Y82+GK82,2)+GX82</f>
        <v>65702.320000000007</v>
      </c>
      <c r="GN82">
        <f>IF(OR(BI82=0,BI82=1),ROUND(O82+X82+Y82+GK82,2),0)</f>
        <v>0</v>
      </c>
      <c r="GO82">
        <f>IF(BI82=2,ROUND(O82+X82+Y82+GK82,2),0)</f>
        <v>0</v>
      </c>
      <c r="GP82">
        <f>IF(BI82=4,ROUND(O82+X82+Y82+GK82,2)+GX82,0)</f>
        <v>65702.320000000007</v>
      </c>
      <c r="GR82">
        <v>0</v>
      </c>
      <c r="GS82">
        <v>3</v>
      </c>
      <c r="GT82">
        <v>0</v>
      </c>
      <c r="GU82" t="s">
        <v>5</v>
      </c>
      <c r="GV82">
        <f>ROUND((GT82),6)</f>
        <v>0</v>
      </c>
      <c r="GW82">
        <v>1</v>
      </c>
      <c r="GX82">
        <f>ROUND(HC82*I82,2)</f>
        <v>0</v>
      </c>
      <c r="HA82">
        <v>0</v>
      </c>
      <c r="HB82">
        <v>0</v>
      </c>
      <c r="HC82">
        <f>GV82*GW82</f>
        <v>0</v>
      </c>
      <c r="IK82">
        <v>0</v>
      </c>
    </row>
    <row r="84" spans="1:245" x14ac:dyDescent="0.2">
      <c r="A84">
        <v>51</v>
      </c>
      <c r="B84">
        <f>B74</f>
        <v>1</v>
      </c>
      <c r="C84">
        <f>A74</f>
        <v>4</v>
      </c>
      <c r="D84">
        <f>ROW(A74)</f>
        <v>74</v>
      </c>
      <c r="F84" t="str">
        <f>IF(F74&lt;&gt;"",F74,"")</f>
        <v>Новый раздел</v>
      </c>
      <c r="G84" t="str">
        <f>IF(G74&lt;&gt;"",G74,"")</f>
        <v>Установка и настройка программного обеспечения</v>
      </c>
      <c r="H84">
        <v>0</v>
      </c>
      <c r="O84">
        <f t="shared" ref="O84:T84" si="67">ROUND(AB84,2)</f>
        <v>159475.67000000001</v>
      </c>
      <c r="P84">
        <f t="shared" si="67"/>
        <v>55896.56</v>
      </c>
      <c r="Q84">
        <f t="shared" si="67"/>
        <v>0</v>
      </c>
      <c r="R84">
        <f t="shared" si="67"/>
        <v>0</v>
      </c>
      <c r="S84">
        <f t="shared" si="67"/>
        <v>103579.11</v>
      </c>
      <c r="T84">
        <f t="shared" si="67"/>
        <v>0</v>
      </c>
      <c r="U84">
        <f>AH84</f>
        <v>250.59999999999997</v>
      </c>
      <c r="V84">
        <f>AI84</f>
        <v>0</v>
      </c>
      <c r="W84">
        <f>ROUND(AJ84,2)</f>
        <v>0</v>
      </c>
      <c r="X84">
        <f>ROUND(AK84,2)</f>
        <v>76705.31</v>
      </c>
      <c r="Y84">
        <f>ROUND(AL84,2)</f>
        <v>42467.44</v>
      </c>
      <c r="AB84">
        <f>ROUND(SUMIF(AA78:AA82,"=31330642",O78:O82),2)</f>
        <v>159475.67000000001</v>
      </c>
      <c r="AC84">
        <f>ROUND(SUMIF(AA78:AA82,"=31330642",P78:P82),2)</f>
        <v>55896.56</v>
      </c>
      <c r="AD84">
        <f>ROUND(SUMIF(AA78:AA82,"=31330642",Q78:Q82),2)</f>
        <v>0</v>
      </c>
      <c r="AE84">
        <f>ROUND(SUMIF(AA78:AA82,"=31330642",R78:R82),2)</f>
        <v>0</v>
      </c>
      <c r="AF84">
        <f>ROUND(SUMIF(AA78:AA82,"=31330642",S78:S82),2)</f>
        <v>103579.11</v>
      </c>
      <c r="AG84">
        <f>ROUND(SUMIF(AA78:AA82,"=31330642",T78:T82),2)</f>
        <v>0</v>
      </c>
      <c r="AH84">
        <f>SUMIF(AA78:AA82,"=31330642",U78:U82)</f>
        <v>250.59999999999997</v>
      </c>
      <c r="AI84">
        <f>SUMIF(AA78:AA82,"=31330642",V78:V82)</f>
        <v>0</v>
      </c>
      <c r="AJ84">
        <f>ROUND(SUMIF(AA78:AA82,"=31330642",W78:W82),2)</f>
        <v>0</v>
      </c>
      <c r="AK84">
        <f>ROUND(SUMIF(AA78:AA82,"=31330642",X78:X82),2)</f>
        <v>76705.31</v>
      </c>
      <c r="AL84">
        <f>ROUND(SUMIF(AA78:AA82,"=31330642",Y78:Y82),2)</f>
        <v>42467.44</v>
      </c>
      <c r="AO84">
        <f t="shared" ref="AO84:BC84" si="68">ROUND(BX84,2)</f>
        <v>0</v>
      </c>
      <c r="AP84">
        <f t="shared" si="68"/>
        <v>55896.56</v>
      </c>
      <c r="AQ84">
        <f t="shared" si="68"/>
        <v>0</v>
      </c>
      <c r="AR84">
        <f t="shared" si="68"/>
        <v>278648.42</v>
      </c>
      <c r="AS84">
        <f t="shared" si="68"/>
        <v>0</v>
      </c>
      <c r="AT84">
        <f t="shared" si="68"/>
        <v>151910.04</v>
      </c>
      <c r="AU84">
        <f t="shared" si="68"/>
        <v>70841.820000000007</v>
      </c>
      <c r="AV84">
        <f t="shared" si="68"/>
        <v>55896.56</v>
      </c>
      <c r="AW84">
        <f t="shared" si="68"/>
        <v>0</v>
      </c>
      <c r="AX84">
        <f t="shared" si="68"/>
        <v>0</v>
      </c>
      <c r="AY84">
        <f t="shared" si="68"/>
        <v>0</v>
      </c>
      <c r="AZ84">
        <f t="shared" si="68"/>
        <v>55896.56</v>
      </c>
      <c r="BA84">
        <f t="shared" si="68"/>
        <v>0</v>
      </c>
      <c r="BB84">
        <f t="shared" si="68"/>
        <v>0</v>
      </c>
      <c r="BC84">
        <f t="shared" si="68"/>
        <v>0</v>
      </c>
      <c r="BX84">
        <f>ROUND(SUMIF(AA78:AA82,"=31330642",FQ78:FQ82),2)</f>
        <v>0</v>
      </c>
      <c r="BY84">
        <f>ROUND(SUMIF(AA78:AA82,"=31330642",FR78:FR82),2)</f>
        <v>55896.56</v>
      </c>
      <c r="BZ84">
        <f>ROUND(SUMIF(AA78:AA82,"=31330642",GL78:GL82),2)</f>
        <v>0</v>
      </c>
      <c r="CA84">
        <f>ROUND(SUMIF(AA78:AA82,"=31330642",GM78:GM82),2)</f>
        <v>278648.42</v>
      </c>
      <c r="CB84">
        <f>ROUND(SUMIF(AA78:AA82,"=31330642",GN78:GN82),2)</f>
        <v>0</v>
      </c>
      <c r="CC84">
        <f>ROUND(SUMIF(AA78:AA82,"=31330642",GO78:GO82),2)</f>
        <v>151910.04</v>
      </c>
      <c r="CD84">
        <f>ROUND(SUMIF(AA78:AA82,"=31330642",GP78:GP82),2)</f>
        <v>70841.820000000007</v>
      </c>
      <c r="CE84">
        <f>AC84-BX84</f>
        <v>55896.56</v>
      </c>
      <c r="CF84">
        <f>AC84-BY84</f>
        <v>0</v>
      </c>
      <c r="CG84">
        <f>BX84-BZ84</f>
        <v>0</v>
      </c>
      <c r="CH84">
        <f>AC84-BX84-BY84+BZ84</f>
        <v>0</v>
      </c>
      <c r="CI84">
        <f>BY84-BZ84</f>
        <v>55896.56</v>
      </c>
      <c r="CJ84">
        <f>ROUND(SUMIF(AA78:AA82,"=31330642",GX78:GX82),2)</f>
        <v>0</v>
      </c>
      <c r="CK84">
        <f>ROUND(SUMIF(AA78:AA82,"=31330642",GY78:GY82),2)</f>
        <v>0</v>
      </c>
      <c r="CL84">
        <f>ROUND(SUMIF(AA78:AA82,"=31330642",GZ78:GZ82),2)</f>
        <v>0</v>
      </c>
      <c r="GX84">
        <v>0</v>
      </c>
    </row>
    <row r="86" spans="1:245" x14ac:dyDescent="0.2">
      <c r="A86">
        <v>50</v>
      </c>
      <c r="B86">
        <v>0</v>
      </c>
      <c r="C86">
        <v>0</v>
      </c>
      <c r="D86">
        <v>1</v>
      </c>
      <c r="E86">
        <v>201</v>
      </c>
      <c r="F86">
        <f>ROUND(Source!O84,O86)</f>
        <v>159475.67000000001</v>
      </c>
      <c r="G86" t="s">
        <v>85</v>
      </c>
      <c r="H86" t="s">
        <v>86</v>
      </c>
      <c r="K86">
        <v>201</v>
      </c>
      <c r="L86">
        <v>1</v>
      </c>
      <c r="M86">
        <v>3</v>
      </c>
      <c r="N86" t="s">
        <v>5</v>
      </c>
      <c r="O86">
        <v>2</v>
      </c>
    </row>
    <row r="87" spans="1:245" x14ac:dyDescent="0.2">
      <c r="A87">
        <v>50</v>
      </c>
      <c r="B87">
        <v>0</v>
      </c>
      <c r="C87">
        <v>0</v>
      </c>
      <c r="D87">
        <v>1</v>
      </c>
      <c r="E87">
        <v>202</v>
      </c>
      <c r="F87">
        <f>ROUND(Source!P84,O87)</f>
        <v>55896.56</v>
      </c>
      <c r="G87" t="s">
        <v>87</v>
      </c>
      <c r="H87" t="s">
        <v>88</v>
      </c>
      <c r="K87">
        <v>202</v>
      </c>
      <c r="L87">
        <v>2</v>
      </c>
      <c r="M87">
        <v>3</v>
      </c>
      <c r="N87" t="s">
        <v>5</v>
      </c>
      <c r="O87">
        <v>2</v>
      </c>
    </row>
    <row r="88" spans="1:245" x14ac:dyDescent="0.2">
      <c r="A88">
        <v>50</v>
      </c>
      <c r="B88">
        <v>0</v>
      </c>
      <c r="C88">
        <v>0</v>
      </c>
      <c r="D88">
        <v>1</v>
      </c>
      <c r="E88">
        <v>222</v>
      </c>
      <c r="F88">
        <f>ROUND(Source!AO84,O88)</f>
        <v>0</v>
      </c>
      <c r="G88" t="s">
        <v>89</v>
      </c>
      <c r="H88" t="s">
        <v>90</v>
      </c>
      <c r="K88">
        <v>222</v>
      </c>
      <c r="L88">
        <v>3</v>
      </c>
      <c r="M88">
        <v>3</v>
      </c>
      <c r="N88" t="s">
        <v>5</v>
      </c>
      <c r="O88">
        <v>2</v>
      </c>
    </row>
    <row r="89" spans="1:245" x14ac:dyDescent="0.2">
      <c r="A89">
        <v>50</v>
      </c>
      <c r="B89">
        <v>0</v>
      </c>
      <c r="C89">
        <v>0</v>
      </c>
      <c r="D89">
        <v>1</v>
      </c>
      <c r="E89">
        <v>225</v>
      </c>
      <c r="F89">
        <f>ROUND(Source!AV84,O89)</f>
        <v>55896.56</v>
      </c>
      <c r="G89" t="s">
        <v>91</v>
      </c>
      <c r="H89" t="s">
        <v>92</v>
      </c>
      <c r="K89">
        <v>225</v>
      </c>
      <c r="L89">
        <v>4</v>
      </c>
      <c r="M89">
        <v>3</v>
      </c>
      <c r="N89" t="s">
        <v>5</v>
      </c>
      <c r="O89">
        <v>2</v>
      </c>
    </row>
    <row r="90" spans="1:245" x14ac:dyDescent="0.2">
      <c r="A90">
        <v>50</v>
      </c>
      <c r="B90">
        <v>0</v>
      </c>
      <c r="C90">
        <v>0</v>
      </c>
      <c r="D90">
        <v>1</v>
      </c>
      <c r="E90">
        <v>226</v>
      </c>
      <c r="F90">
        <f>ROUND(Source!AW84,O90)</f>
        <v>0</v>
      </c>
      <c r="G90" t="s">
        <v>93</v>
      </c>
      <c r="H90" t="s">
        <v>94</v>
      </c>
      <c r="K90">
        <v>226</v>
      </c>
      <c r="L90">
        <v>5</v>
      </c>
      <c r="M90">
        <v>3</v>
      </c>
      <c r="N90" t="s">
        <v>5</v>
      </c>
      <c r="O90">
        <v>2</v>
      </c>
    </row>
    <row r="91" spans="1:245" x14ac:dyDescent="0.2">
      <c r="A91">
        <v>50</v>
      </c>
      <c r="B91">
        <v>0</v>
      </c>
      <c r="C91">
        <v>0</v>
      </c>
      <c r="D91">
        <v>1</v>
      </c>
      <c r="E91">
        <v>227</v>
      </c>
      <c r="F91">
        <f>ROUND(Source!AX84,O91)</f>
        <v>0</v>
      </c>
      <c r="G91" t="s">
        <v>95</v>
      </c>
      <c r="H91" t="s">
        <v>96</v>
      </c>
      <c r="K91">
        <v>227</v>
      </c>
      <c r="L91">
        <v>6</v>
      </c>
      <c r="M91">
        <v>3</v>
      </c>
      <c r="N91" t="s">
        <v>5</v>
      </c>
      <c r="O91">
        <v>2</v>
      </c>
    </row>
    <row r="92" spans="1:245" x14ac:dyDescent="0.2">
      <c r="A92">
        <v>50</v>
      </c>
      <c r="B92">
        <v>0</v>
      </c>
      <c r="C92">
        <v>0</v>
      </c>
      <c r="D92">
        <v>1</v>
      </c>
      <c r="E92">
        <v>228</v>
      </c>
      <c r="F92">
        <f>ROUND(Source!AY84,O92)</f>
        <v>0</v>
      </c>
      <c r="G92" t="s">
        <v>97</v>
      </c>
      <c r="H92" t="s">
        <v>98</v>
      </c>
      <c r="K92">
        <v>228</v>
      </c>
      <c r="L92">
        <v>7</v>
      </c>
      <c r="M92">
        <v>3</v>
      </c>
      <c r="N92" t="s">
        <v>5</v>
      </c>
      <c r="O92">
        <v>2</v>
      </c>
    </row>
    <row r="93" spans="1:245" x14ac:dyDescent="0.2">
      <c r="A93">
        <v>50</v>
      </c>
      <c r="B93">
        <v>0</v>
      </c>
      <c r="C93">
        <v>0</v>
      </c>
      <c r="D93">
        <v>1</v>
      </c>
      <c r="E93">
        <v>216</v>
      </c>
      <c r="F93">
        <f>ROUND(Source!AP84,O93)</f>
        <v>55896.56</v>
      </c>
      <c r="G93" t="s">
        <v>99</v>
      </c>
      <c r="H93" t="s">
        <v>100</v>
      </c>
      <c r="K93">
        <v>216</v>
      </c>
      <c r="L93">
        <v>8</v>
      </c>
      <c r="M93">
        <v>3</v>
      </c>
      <c r="N93" t="s">
        <v>5</v>
      </c>
      <c r="O93">
        <v>2</v>
      </c>
    </row>
    <row r="94" spans="1:245" x14ac:dyDescent="0.2">
      <c r="A94">
        <v>50</v>
      </c>
      <c r="B94">
        <v>0</v>
      </c>
      <c r="C94">
        <v>0</v>
      </c>
      <c r="D94">
        <v>1</v>
      </c>
      <c r="E94">
        <v>223</v>
      </c>
      <c r="F94">
        <f>ROUND(Source!AQ84,O94)</f>
        <v>0</v>
      </c>
      <c r="G94" t="s">
        <v>101</v>
      </c>
      <c r="H94" t="s">
        <v>102</v>
      </c>
      <c r="K94">
        <v>223</v>
      </c>
      <c r="L94">
        <v>9</v>
      </c>
      <c r="M94">
        <v>3</v>
      </c>
      <c r="N94" t="s">
        <v>5</v>
      </c>
      <c r="O94">
        <v>2</v>
      </c>
    </row>
    <row r="95" spans="1:245" x14ac:dyDescent="0.2">
      <c r="A95">
        <v>50</v>
      </c>
      <c r="B95">
        <v>0</v>
      </c>
      <c r="C95">
        <v>0</v>
      </c>
      <c r="D95">
        <v>1</v>
      </c>
      <c r="E95">
        <v>229</v>
      </c>
      <c r="F95">
        <f>ROUND(Source!AZ84,O95)</f>
        <v>55896.56</v>
      </c>
      <c r="G95" t="s">
        <v>103</v>
      </c>
      <c r="H95" t="s">
        <v>104</v>
      </c>
      <c r="K95">
        <v>229</v>
      </c>
      <c r="L95">
        <v>10</v>
      </c>
      <c r="M95">
        <v>3</v>
      </c>
      <c r="N95" t="s">
        <v>5</v>
      </c>
      <c r="O95">
        <v>2</v>
      </c>
    </row>
    <row r="96" spans="1:245" x14ac:dyDescent="0.2">
      <c r="A96">
        <v>50</v>
      </c>
      <c r="B96">
        <v>0</v>
      </c>
      <c r="C96">
        <v>0</v>
      </c>
      <c r="D96">
        <v>1</v>
      </c>
      <c r="E96">
        <v>203</v>
      </c>
      <c r="F96">
        <f>ROUND(Source!Q84,O96)</f>
        <v>0</v>
      </c>
      <c r="G96" t="s">
        <v>105</v>
      </c>
      <c r="H96" t="s">
        <v>106</v>
      </c>
      <c r="K96">
        <v>203</v>
      </c>
      <c r="L96">
        <v>11</v>
      </c>
      <c r="M96">
        <v>3</v>
      </c>
      <c r="N96" t="s">
        <v>5</v>
      </c>
      <c r="O96">
        <v>2</v>
      </c>
    </row>
    <row r="97" spans="1:15" x14ac:dyDescent="0.2">
      <c r="A97">
        <v>50</v>
      </c>
      <c r="B97">
        <v>0</v>
      </c>
      <c r="C97">
        <v>0</v>
      </c>
      <c r="D97">
        <v>1</v>
      </c>
      <c r="E97">
        <v>231</v>
      </c>
      <c r="F97">
        <f>ROUND(Source!BB84,O97)</f>
        <v>0</v>
      </c>
      <c r="G97" t="s">
        <v>107</v>
      </c>
      <c r="H97" t="s">
        <v>108</v>
      </c>
      <c r="K97">
        <v>231</v>
      </c>
      <c r="L97">
        <v>12</v>
      </c>
      <c r="M97">
        <v>3</v>
      </c>
      <c r="N97" t="s">
        <v>5</v>
      </c>
      <c r="O97">
        <v>2</v>
      </c>
    </row>
    <row r="98" spans="1:15" x14ac:dyDescent="0.2">
      <c r="A98">
        <v>50</v>
      </c>
      <c r="B98">
        <v>0</v>
      </c>
      <c r="C98">
        <v>0</v>
      </c>
      <c r="D98">
        <v>1</v>
      </c>
      <c r="E98">
        <v>204</v>
      </c>
      <c r="F98">
        <f>ROUND(Source!R84,O98)</f>
        <v>0</v>
      </c>
      <c r="G98" t="s">
        <v>109</v>
      </c>
      <c r="H98" t="s">
        <v>110</v>
      </c>
      <c r="K98">
        <v>204</v>
      </c>
      <c r="L98">
        <v>13</v>
      </c>
      <c r="M98">
        <v>3</v>
      </c>
      <c r="N98" t="s">
        <v>5</v>
      </c>
      <c r="O98">
        <v>2</v>
      </c>
    </row>
    <row r="99" spans="1:15" x14ac:dyDescent="0.2">
      <c r="A99">
        <v>50</v>
      </c>
      <c r="B99">
        <v>0</v>
      </c>
      <c r="C99">
        <v>0</v>
      </c>
      <c r="D99">
        <v>1</v>
      </c>
      <c r="E99">
        <v>205</v>
      </c>
      <c r="F99">
        <f>ROUND(Source!S84,O99)</f>
        <v>103579.11</v>
      </c>
      <c r="G99" t="s">
        <v>111</v>
      </c>
      <c r="H99" t="s">
        <v>112</v>
      </c>
      <c r="K99">
        <v>205</v>
      </c>
      <c r="L99">
        <v>14</v>
      </c>
      <c r="M99">
        <v>3</v>
      </c>
      <c r="N99" t="s">
        <v>5</v>
      </c>
      <c r="O99">
        <v>2</v>
      </c>
    </row>
    <row r="100" spans="1:15" x14ac:dyDescent="0.2">
      <c r="A100">
        <v>50</v>
      </c>
      <c r="B100">
        <v>0</v>
      </c>
      <c r="C100">
        <v>0</v>
      </c>
      <c r="D100">
        <v>1</v>
      </c>
      <c r="E100">
        <v>232</v>
      </c>
      <c r="F100">
        <f>ROUND(Source!BC84,O100)</f>
        <v>0</v>
      </c>
      <c r="G100" t="s">
        <v>113</v>
      </c>
      <c r="H100" t="s">
        <v>114</v>
      </c>
      <c r="K100">
        <v>232</v>
      </c>
      <c r="L100">
        <v>15</v>
      </c>
      <c r="M100">
        <v>3</v>
      </c>
      <c r="N100" t="s">
        <v>5</v>
      </c>
      <c r="O100">
        <v>2</v>
      </c>
    </row>
    <row r="101" spans="1:15" x14ac:dyDescent="0.2">
      <c r="A101">
        <v>50</v>
      </c>
      <c r="B101">
        <v>0</v>
      </c>
      <c r="C101">
        <v>0</v>
      </c>
      <c r="D101">
        <v>1</v>
      </c>
      <c r="E101">
        <v>214</v>
      </c>
      <c r="F101">
        <f>ROUND(Source!AS84,O101)</f>
        <v>0</v>
      </c>
      <c r="G101" t="s">
        <v>115</v>
      </c>
      <c r="H101" t="s">
        <v>116</v>
      </c>
      <c r="K101">
        <v>214</v>
      </c>
      <c r="L101">
        <v>16</v>
      </c>
      <c r="M101">
        <v>3</v>
      </c>
      <c r="N101" t="s">
        <v>5</v>
      </c>
      <c r="O101">
        <v>2</v>
      </c>
    </row>
    <row r="102" spans="1:15" x14ac:dyDescent="0.2">
      <c r="A102">
        <v>50</v>
      </c>
      <c r="B102">
        <v>0</v>
      </c>
      <c r="C102">
        <v>0</v>
      </c>
      <c r="D102">
        <v>1</v>
      </c>
      <c r="E102">
        <v>215</v>
      </c>
      <c r="F102">
        <f>ROUND(Source!AT84,O102)</f>
        <v>151910.04</v>
      </c>
      <c r="G102" t="s">
        <v>117</v>
      </c>
      <c r="H102" t="s">
        <v>118</v>
      </c>
      <c r="K102">
        <v>215</v>
      </c>
      <c r="L102">
        <v>17</v>
      </c>
      <c r="M102">
        <v>3</v>
      </c>
      <c r="N102" t="s">
        <v>5</v>
      </c>
      <c r="O102">
        <v>2</v>
      </c>
    </row>
    <row r="103" spans="1:15" x14ac:dyDescent="0.2">
      <c r="A103">
        <v>50</v>
      </c>
      <c r="B103">
        <v>0</v>
      </c>
      <c r="C103">
        <v>0</v>
      </c>
      <c r="D103">
        <v>1</v>
      </c>
      <c r="E103">
        <v>217</v>
      </c>
      <c r="F103">
        <f>ROUND(Source!AU84,O103)</f>
        <v>70841.820000000007</v>
      </c>
      <c r="G103" t="s">
        <v>119</v>
      </c>
      <c r="H103" t="s">
        <v>120</v>
      </c>
      <c r="K103">
        <v>217</v>
      </c>
      <c r="L103">
        <v>18</v>
      </c>
      <c r="M103">
        <v>3</v>
      </c>
      <c r="N103" t="s">
        <v>5</v>
      </c>
      <c r="O103">
        <v>2</v>
      </c>
    </row>
    <row r="104" spans="1:15" x14ac:dyDescent="0.2">
      <c r="A104">
        <v>50</v>
      </c>
      <c r="B104">
        <v>0</v>
      </c>
      <c r="C104">
        <v>0</v>
      </c>
      <c r="D104">
        <v>1</v>
      </c>
      <c r="E104">
        <v>230</v>
      </c>
      <c r="F104">
        <f>ROUND(Source!BA84,O104)</f>
        <v>0</v>
      </c>
      <c r="G104" t="s">
        <v>121</v>
      </c>
      <c r="H104" t="s">
        <v>122</v>
      </c>
      <c r="K104">
        <v>230</v>
      </c>
      <c r="L104">
        <v>19</v>
      </c>
      <c r="M104">
        <v>3</v>
      </c>
      <c r="N104" t="s">
        <v>5</v>
      </c>
      <c r="O104">
        <v>2</v>
      </c>
    </row>
    <row r="105" spans="1:15" x14ac:dyDescent="0.2">
      <c r="A105">
        <v>50</v>
      </c>
      <c r="B105">
        <v>0</v>
      </c>
      <c r="C105">
        <v>0</v>
      </c>
      <c r="D105">
        <v>1</v>
      </c>
      <c r="E105">
        <v>206</v>
      </c>
      <c r="F105">
        <f>ROUND(Source!T84,O105)</f>
        <v>0</v>
      </c>
      <c r="G105" t="s">
        <v>123</v>
      </c>
      <c r="H105" t="s">
        <v>124</v>
      </c>
      <c r="K105">
        <v>206</v>
      </c>
      <c r="L105">
        <v>20</v>
      </c>
      <c r="M105">
        <v>3</v>
      </c>
      <c r="N105" t="s">
        <v>5</v>
      </c>
      <c r="O105">
        <v>2</v>
      </c>
    </row>
    <row r="106" spans="1:15" x14ac:dyDescent="0.2">
      <c r="A106">
        <v>50</v>
      </c>
      <c r="B106">
        <v>0</v>
      </c>
      <c r="C106">
        <v>0</v>
      </c>
      <c r="D106">
        <v>1</v>
      </c>
      <c r="E106">
        <v>207</v>
      </c>
      <c r="F106">
        <f>Source!U84</f>
        <v>250.59999999999997</v>
      </c>
      <c r="G106" t="s">
        <v>125</v>
      </c>
      <c r="H106" t="s">
        <v>126</v>
      </c>
      <c r="K106">
        <v>207</v>
      </c>
      <c r="L106">
        <v>21</v>
      </c>
      <c r="M106">
        <v>3</v>
      </c>
      <c r="N106" t="s">
        <v>5</v>
      </c>
      <c r="O106">
        <v>-1</v>
      </c>
    </row>
    <row r="107" spans="1:15" x14ac:dyDescent="0.2">
      <c r="A107">
        <v>50</v>
      </c>
      <c r="B107">
        <v>0</v>
      </c>
      <c r="C107">
        <v>0</v>
      </c>
      <c r="D107">
        <v>1</v>
      </c>
      <c r="E107">
        <v>208</v>
      </c>
      <c r="F107">
        <f>Source!V84</f>
        <v>0</v>
      </c>
      <c r="G107" t="s">
        <v>127</v>
      </c>
      <c r="H107" t="s">
        <v>128</v>
      </c>
      <c r="K107">
        <v>208</v>
      </c>
      <c r="L107">
        <v>22</v>
      </c>
      <c r="M107">
        <v>3</v>
      </c>
      <c r="N107" t="s">
        <v>5</v>
      </c>
      <c r="O107">
        <v>-1</v>
      </c>
    </row>
    <row r="108" spans="1:15" x14ac:dyDescent="0.2">
      <c r="A108">
        <v>50</v>
      </c>
      <c r="B108">
        <v>0</v>
      </c>
      <c r="C108">
        <v>0</v>
      </c>
      <c r="D108">
        <v>1</v>
      </c>
      <c r="E108">
        <v>209</v>
      </c>
      <c r="F108">
        <f>ROUND(Source!W84,O108)</f>
        <v>0</v>
      </c>
      <c r="G108" t="s">
        <v>129</v>
      </c>
      <c r="H108" t="s">
        <v>130</v>
      </c>
      <c r="K108">
        <v>209</v>
      </c>
      <c r="L108">
        <v>23</v>
      </c>
      <c r="M108">
        <v>3</v>
      </c>
      <c r="N108" t="s">
        <v>5</v>
      </c>
      <c r="O108">
        <v>2</v>
      </c>
    </row>
    <row r="109" spans="1:15" x14ac:dyDescent="0.2">
      <c r="A109">
        <v>50</v>
      </c>
      <c r="B109">
        <v>0</v>
      </c>
      <c r="C109">
        <v>0</v>
      </c>
      <c r="D109">
        <v>1</v>
      </c>
      <c r="E109">
        <v>210</v>
      </c>
      <c r="F109">
        <f>ROUND(Source!X84,O109)</f>
        <v>76705.31</v>
      </c>
      <c r="G109" t="s">
        <v>131</v>
      </c>
      <c r="H109" t="s">
        <v>132</v>
      </c>
      <c r="K109">
        <v>210</v>
      </c>
      <c r="L109">
        <v>24</v>
      </c>
      <c r="M109">
        <v>3</v>
      </c>
      <c r="N109" t="s">
        <v>5</v>
      </c>
      <c r="O109">
        <v>2</v>
      </c>
    </row>
    <row r="110" spans="1:15" x14ac:dyDescent="0.2">
      <c r="A110">
        <v>50</v>
      </c>
      <c r="B110">
        <v>0</v>
      </c>
      <c r="C110">
        <v>0</v>
      </c>
      <c r="D110">
        <v>1</v>
      </c>
      <c r="E110">
        <v>211</v>
      </c>
      <c r="F110">
        <f>ROUND(Source!Y84,O110)</f>
        <v>42467.44</v>
      </c>
      <c r="G110" t="s">
        <v>133</v>
      </c>
      <c r="H110" t="s">
        <v>134</v>
      </c>
      <c r="K110">
        <v>211</v>
      </c>
      <c r="L110">
        <v>25</v>
      </c>
      <c r="M110">
        <v>3</v>
      </c>
      <c r="N110" t="s">
        <v>5</v>
      </c>
      <c r="O110">
        <v>2</v>
      </c>
    </row>
    <row r="111" spans="1:15" x14ac:dyDescent="0.2">
      <c r="A111">
        <v>50</v>
      </c>
      <c r="B111">
        <v>0</v>
      </c>
      <c r="C111">
        <v>0</v>
      </c>
      <c r="D111">
        <v>1</v>
      </c>
      <c r="E111">
        <v>224</v>
      </c>
      <c r="F111">
        <f>ROUND(Source!AR84,O111)</f>
        <v>278648.42</v>
      </c>
      <c r="G111" t="s">
        <v>135</v>
      </c>
      <c r="H111" t="s">
        <v>136</v>
      </c>
      <c r="K111">
        <v>224</v>
      </c>
      <c r="L111">
        <v>26</v>
      </c>
      <c r="M111">
        <v>3</v>
      </c>
      <c r="N111" t="s">
        <v>5</v>
      </c>
      <c r="O111">
        <v>2</v>
      </c>
    </row>
    <row r="113" spans="1:206" x14ac:dyDescent="0.2">
      <c r="A113">
        <v>51</v>
      </c>
      <c r="B113">
        <f>B20</f>
        <v>1</v>
      </c>
      <c r="C113">
        <f>A20</f>
        <v>3</v>
      </c>
      <c r="D113">
        <f>ROW(A20)</f>
        <v>20</v>
      </c>
      <c r="F113" t="str">
        <f>IF(F20&lt;&gt;"",F20,"")</f>
        <v>Новая локальная смета</v>
      </c>
      <c r="G113" t="str">
        <f>IF(G20&lt;&gt;"",G20,"")</f>
        <v>Новая локальная смета</v>
      </c>
      <c r="H113">
        <v>0</v>
      </c>
      <c r="O113">
        <f t="shared" ref="O113:T113" si="69">ROUND(O45+O84+AB113,2)</f>
        <v>253479.77</v>
      </c>
      <c r="P113">
        <f t="shared" si="69"/>
        <v>140211.89000000001</v>
      </c>
      <c r="Q113">
        <f t="shared" si="69"/>
        <v>1994.33</v>
      </c>
      <c r="R113">
        <f t="shared" si="69"/>
        <v>867.26</v>
      </c>
      <c r="S113">
        <f t="shared" si="69"/>
        <v>111273.55</v>
      </c>
      <c r="T113">
        <f t="shared" si="69"/>
        <v>0</v>
      </c>
      <c r="U113">
        <f>U45+U84+AH113</f>
        <v>278.79684999999995</v>
      </c>
      <c r="V113">
        <f>V45+V84+AI113</f>
        <v>0</v>
      </c>
      <c r="W113">
        <f>ROUND(W45+W84+AJ113,2)</f>
        <v>0</v>
      </c>
      <c r="X113">
        <f>ROUND(X45+X84+AK113,2)</f>
        <v>82630.02</v>
      </c>
      <c r="Y113">
        <f>ROUND(Y45+Y84+AL113,2)</f>
        <v>45622.16</v>
      </c>
      <c r="AO113">
        <f t="shared" ref="AO113:BC113" si="70">ROUND(AO45+AO84+BX113,2)</f>
        <v>0</v>
      </c>
      <c r="AP113">
        <f t="shared" si="70"/>
        <v>138271.07999999999</v>
      </c>
      <c r="AQ113">
        <f t="shared" si="70"/>
        <v>0</v>
      </c>
      <c r="AR113">
        <f t="shared" si="70"/>
        <v>383093.55</v>
      </c>
      <c r="AS113">
        <f t="shared" si="70"/>
        <v>0</v>
      </c>
      <c r="AT113">
        <f t="shared" si="70"/>
        <v>173980.65</v>
      </c>
      <c r="AU113">
        <f t="shared" si="70"/>
        <v>70841.820000000007</v>
      </c>
      <c r="AV113">
        <f t="shared" si="70"/>
        <v>140211.89000000001</v>
      </c>
      <c r="AW113">
        <f t="shared" si="70"/>
        <v>1940.81</v>
      </c>
      <c r="AX113">
        <f t="shared" si="70"/>
        <v>0</v>
      </c>
      <c r="AY113">
        <f t="shared" si="70"/>
        <v>1940.81</v>
      </c>
      <c r="AZ113">
        <f t="shared" si="70"/>
        <v>138271.07999999999</v>
      </c>
      <c r="BA113">
        <f t="shared" si="70"/>
        <v>0</v>
      </c>
      <c r="BB113">
        <f t="shared" si="70"/>
        <v>0</v>
      </c>
      <c r="BC113">
        <f t="shared" si="70"/>
        <v>0</v>
      </c>
      <c r="GX113">
        <v>0</v>
      </c>
    </row>
    <row r="115" spans="1:206" x14ac:dyDescent="0.2">
      <c r="A115">
        <v>50</v>
      </c>
      <c r="B115">
        <v>0</v>
      </c>
      <c r="C115">
        <v>0</v>
      </c>
      <c r="D115">
        <v>1</v>
      </c>
      <c r="E115">
        <v>201</v>
      </c>
      <c r="F115">
        <f>ROUND(Source!O113,O115)</f>
        <v>253479.77</v>
      </c>
      <c r="G115" t="s">
        <v>85</v>
      </c>
      <c r="H115" t="s">
        <v>86</v>
      </c>
      <c r="K115">
        <v>201</v>
      </c>
      <c r="L115">
        <v>1</v>
      </c>
      <c r="M115">
        <v>3</v>
      </c>
      <c r="N115" t="s">
        <v>5</v>
      </c>
      <c r="O115">
        <v>2</v>
      </c>
    </row>
    <row r="116" spans="1:206" x14ac:dyDescent="0.2">
      <c r="A116">
        <v>50</v>
      </c>
      <c r="B116">
        <v>0</v>
      </c>
      <c r="C116">
        <v>0</v>
      </c>
      <c r="D116">
        <v>1</v>
      </c>
      <c r="E116">
        <v>202</v>
      </c>
      <c r="F116">
        <f>ROUND(Source!P113,O116)</f>
        <v>140211.89000000001</v>
      </c>
      <c r="G116" t="s">
        <v>87</v>
      </c>
      <c r="H116" t="s">
        <v>88</v>
      </c>
      <c r="K116">
        <v>202</v>
      </c>
      <c r="L116">
        <v>2</v>
      </c>
      <c r="M116">
        <v>3</v>
      </c>
      <c r="N116" t="s">
        <v>5</v>
      </c>
      <c r="O116">
        <v>2</v>
      </c>
    </row>
    <row r="117" spans="1:206" x14ac:dyDescent="0.2">
      <c r="A117">
        <v>50</v>
      </c>
      <c r="B117">
        <v>0</v>
      </c>
      <c r="C117">
        <v>0</v>
      </c>
      <c r="D117">
        <v>1</v>
      </c>
      <c r="E117">
        <v>222</v>
      </c>
      <c r="F117">
        <f>ROUND(Source!AO113,O117)</f>
        <v>0</v>
      </c>
      <c r="G117" t="s">
        <v>89</v>
      </c>
      <c r="H117" t="s">
        <v>90</v>
      </c>
      <c r="K117">
        <v>222</v>
      </c>
      <c r="L117">
        <v>3</v>
      </c>
      <c r="M117">
        <v>3</v>
      </c>
      <c r="N117" t="s">
        <v>5</v>
      </c>
      <c r="O117">
        <v>2</v>
      </c>
    </row>
    <row r="118" spans="1:206" x14ac:dyDescent="0.2">
      <c r="A118">
        <v>50</v>
      </c>
      <c r="B118">
        <v>0</v>
      </c>
      <c r="C118">
        <v>0</v>
      </c>
      <c r="D118">
        <v>1</v>
      </c>
      <c r="E118">
        <v>225</v>
      </c>
      <c r="F118">
        <f>ROUND(Source!AV113,O118)</f>
        <v>140211.89000000001</v>
      </c>
      <c r="G118" t="s">
        <v>91</v>
      </c>
      <c r="H118" t="s">
        <v>92</v>
      </c>
      <c r="K118">
        <v>225</v>
      </c>
      <c r="L118">
        <v>4</v>
      </c>
      <c r="M118">
        <v>3</v>
      </c>
      <c r="N118" t="s">
        <v>5</v>
      </c>
      <c r="O118">
        <v>2</v>
      </c>
    </row>
    <row r="119" spans="1:206" x14ac:dyDescent="0.2">
      <c r="A119">
        <v>50</v>
      </c>
      <c r="B119">
        <v>0</v>
      </c>
      <c r="C119">
        <v>0</v>
      </c>
      <c r="D119">
        <v>1</v>
      </c>
      <c r="E119">
        <v>226</v>
      </c>
      <c r="F119">
        <f>ROUND(Source!AW113,O119)</f>
        <v>1940.81</v>
      </c>
      <c r="G119" t="s">
        <v>93</v>
      </c>
      <c r="H119" t="s">
        <v>94</v>
      </c>
      <c r="K119">
        <v>226</v>
      </c>
      <c r="L119">
        <v>5</v>
      </c>
      <c r="M119">
        <v>3</v>
      </c>
      <c r="N119" t="s">
        <v>5</v>
      </c>
      <c r="O119">
        <v>2</v>
      </c>
    </row>
    <row r="120" spans="1:206" x14ac:dyDescent="0.2">
      <c r="A120">
        <v>50</v>
      </c>
      <c r="B120">
        <v>0</v>
      </c>
      <c r="C120">
        <v>0</v>
      </c>
      <c r="D120">
        <v>1</v>
      </c>
      <c r="E120">
        <v>227</v>
      </c>
      <c r="F120">
        <f>ROUND(Source!AX113,O120)</f>
        <v>0</v>
      </c>
      <c r="G120" t="s">
        <v>95</v>
      </c>
      <c r="H120" t="s">
        <v>96</v>
      </c>
      <c r="K120">
        <v>227</v>
      </c>
      <c r="L120">
        <v>6</v>
      </c>
      <c r="M120">
        <v>3</v>
      </c>
      <c r="N120" t="s">
        <v>5</v>
      </c>
      <c r="O120">
        <v>2</v>
      </c>
    </row>
    <row r="121" spans="1:206" x14ac:dyDescent="0.2">
      <c r="A121">
        <v>50</v>
      </c>
      <c r="B121">
        <v>0</v>
      </c>
      <c r="C121">
        <v>0</v>
      </c>
      <c r="D121">
        <v>1</v>
      </c>
      <c r="E121">
        <v>228</v>
      </c>
      <c r="F121">
        <f>ROUND(Source!AY113,O121)</f>
        <v>1940.81</v>
      </c>
      <c r="G121" t="s">
        <v>97</v>
      </c>
      <c r="H121" t="s">
        <v>98</v>
      </c>
      <c r="K121">
        <v>228</v>
      </c>
      <c r="L121">
        <v>7</v>
      </c>
      <c r="M121">
        <v>3</v>
      </c>
      <c r="N121" t="s">
        <v>5</v>
      </c>
      <c r="O121">
        <v>2</v>
      </c>
    </row>
    <row r="122" spans="1:206" x14ac:dyDescent="0.2">
      <c r="A122">
        <v>50</v>
      </c>
      <c r="B122">
        <v>0</v>
      </c>
      <c r="C122">
        <v>0</v>
      </c>
      <c r="D122">
        <v>1</v>
      </c>
      <c r="E122">
        <v>216</v>
      </c>
      <c r="F122">
        <f>ROUND(Source!AP113,O122)</f>
        <v>138271.07999999999</v>
      </c>
      <c r="G122" t="s">
        <v>99</v>
      </c>
      <c r="H122" t="s">
        <v>100</v>
      </c>
      <c r="K122">
        <v>216</v>
      </c>
      <c r="L122">
        <v>8</v>
      </c>
      <c r="M122">
        <v>3</v>
      </c>
      <c r="N122" t="s">
        <v>5</v>
      </c>
      <c r="O122">
        <v>2</v>
      </c>
    </row>
    <row r="123" spans="1:206" x14ac:dyDescent="0.2">
      <c r="A123">
        <v>50</v>
      </c>
      <c r="B123">
        <v>0</v>
      </c>
      <c r="C123">
        <v>0</v>
      </c>
      <c r="D123">
        <v>1</v>
      </c>
      <c r="E123">
        <v>223</v>
      </c>
      <c r="F123">
        <f>ROUND(Source!AQ113,O123)</f>
        <v>0</v>
      </c>
      <c r="G123" t="s">
        <v>101</v>
      </c>
      <c r="H123" t="s">
        <v>102</v>
      </c>
      <c r="K123">
        <v>223</v>
      </c>
      <c r="L123">
        <v>9</v>
      </c>
      <c r="M123">
        <v>3</v>
      </c>
      <c r="N123" t="s">
        <v>5</v>
      </c>
      <c r="O123">
        <v>2</v>
      </c>
    </row>
    <row r="124" spans="1:206" x14ac:dyDescent="0.2">
      <c r="A124">
        <v>50</v>
      </c>
      <c r="B124">
        <v>0</v>
      </c>
      <c r="C124">
        <v>0</v>
      </c>
      <c r="D124">
        <v>1</v>
      </c>
      <c r="E124">
        <v>229</v>
      </c>
      <c r="F124">
        <f>ROUND(Source!AZ113,O124)</f>
        <v>138271.07999999999</v>
      </c>
      <c r="G124" t="s">
        <v>103</v>
      </c>
      <c r="H124" t="s">
        <v>104</v>
      </c>
      <c r="K124">
        <v>229</v>
      </c>
      <c r="L124">
        <v>10</v>
      </c>
      <c r="M124">
        <v>3</v>
      </c>
      <c r="N124" t="s">
        <v>5</v>
      </c>
      <c r="O124">
        <v>2</v>
      </c>
    </row>
    <row r="125" spans="1:206" x14ac:dyDescent="0.2">
      <c r="A125">
        <v>50</v>
      </c>
      <c r="B125">
        <v>0</v>
      </c>
      <c r="C125">
        <v>0</v>
      </c>
      <c r="D125">
        <v>1</v>
      </c>
      <c r="E125">
        <v>203</v>
      </c>
      <c r="F125">
        <f>ROUND(Source!Q113,O125)</f>
        <v>1994.33</v>
      </c>
      <c r="G125" t="s">
        <v>105</v>
      </c>
      <c r="H125" t="s">
        <v>106</v>
      </c>
      <c r="K125">
        <v>203</v>
      </c>
      <c r="L125">
        <v>11</v>
      </c>
      <c r="M125">
        <v>3</v>
      </c>
      <c r="N125" t="s">
        <v>5</v>
      </c>
      <c r="O125">
        <v>2</v>
      </c>
    </row>
    <row r="126" spans="1:206" x14ac:dyDescent="0.2">
      <c r="A126">
        <v>50</v>
      </c>
      <c r="B126">
        <v>0</v>
      </c>
      <c r="C126">
        <v>0</v>
      </c>
      <c r="D126">
        <v>1</v>
      </c>
      <c r="E126">
        <v>231</v>
      </c>
      <c r="F126">
        <f>ROUND(Source!BB113,O126)</f>
        <v>0</v>
      </c>
      <c r="G126" t="s">
        <v>107</v>
      </c>
      <c r="H126" t="s">
        <v>108</v>
      </c>
      <c r="K126">
        <v>231</v>
      </c>
      <c r="L126">
        <v>12</v>
      </c>
      <c r="M126">
        <v>3</v>
      </c>
      <c r="N126" t="s">
        <v>5</v>
      </c>
      <c r="O126">
        <v>2</v>
      </c>
    </row>
    <row r="127" spans="1:206" x14ac:dyDescent="0.2">
      <c r="A127">
        <v>50</v>
      </c>
      <c r="B127">
        <v>0</v>
      </c>
      <c r="C127">
        <v>0</v>
      </c>
      <c r="D127">
        <v>1</v>
      </c>
      <c r="E127">
        <v>204</v>
      </c>
      <c r="F127">
        <f>ROUND(Source!R113,O127)</f>
        <v>867.26</v>
      </c>
      <c r="G127" t="s">
        <v>109</v>
      </c>
      <c r="H127" t="s">
        <v>110</v>
      </c>
      <c r="K127">
        <v>204</v>
      </c>
      <c r="L127">
        <v>13</v>
      </c>
      <c r="M127">
        <v>3</v>
      </c>
      <c r="N127" t="s">
        <v>5</v>
      </c>
      <c r="O127">
        <v>2</v>
      </c>
    </row>
    <row r="128" spans="1:206" x14ac:dyDescent="0.2">
      <c r="A128">
        <v>50</v>
      </c>
      <c r="B128">
        <v>0</v>
      </c>
      <c r="C128">
        <v>0</v>
      </c>
      <c r="D128">
        <v>1</v>
      </c>
      <c r="E128">
        <v>205</v>
      </c>
      <c r="F128">
        <f>ROUND(Source!S113,O128)</f>
        <v>111273.55</v>
      </c>
      <c r="G128" t="s">
        <v>111</v>
      </c>
      <c r="H128" t="s">
        <v>112</v>
      </c>
      <c r="K128">
        <v>205</v>
      </c>
      <c r="L128">
        <v>14</v>
      </c>
      <c r="M128">
        <v>3</v>
      </c>
      <c r="N128" t="s">
        <v>5</v>
      </c>
      <c r="O128">
        <v>2</v>
      </c>
    </row>
    <row r="129" spans="1:206" x14ac:dyDescent="0.2">
      <c r="A129">
        <v>50</v>
      </c>
      <c r="B129">
        <v>0</v>
      </c>
      <c r="C129">
        <v>0</v>
      </c>
      <c r="D129">
        <v>1</v>
      </c>
      <c r="E129">
        <v>232</v>
      </c>
      <c r="F129">
        <f>ROUND(Source!BC113,O129)</f>
        <v>0</v>
      </c>
      <c r="G129" t="s">
        <v>113</v>
      </c>
      <c r="H129" t="s">
        <v>114</v>
      </c>
      <c r="K129">
        <v>232</v>
      </c>
      <c r="L129">
        <v>15</v>
      </c>
      <c r="M129">
        <v>3</v>
      </c>
      <c r="N129" t="s">
        <v>5</v>
      </c>
      <c r="O129">
        <v>2</v>
      </c>
    </row>
    <row r="130" spans="1:206" x14ac:dyDescent="0.2">
      <c r="A130">
        <v>50</v>
      </c>
      <c r="B130">
        <v>0</v>
      </c>
      <c r="C130">
        <v>0</v>
      </c>
      <c r="D130">
        <v>1</v>
      </c>
      <c r="E130">
        <v>214</v>
      </c>
      <c r="F130">
        <f>ROUND(Source!AS113,O130)</f>
        <v>0</v>
      </c>
      <c r="G130" t="s">
        <v>115</v>
      </c>
      <c r="H130" t="s">
        <v>116</v>
      </c>
      <c r="K130">
        <v>214</v>
      </c>
      <c r="L130">
        <v>16</v>
      </c>
      <c r="M130">
        <v>3</v>
      </c>
      <c r="N130" t="s">
        <v>5</v>
      </c>
      <c r="O130">
        <v>2</v>
      </c>
    </row>
    <row r="131" spans="1:206" x14ac:dyDescent="0.2">
      <c r="A131">
        <v>50</v>
      </c>
      <c r="B131">
        <v>0</v>
      </c>
      <c r="C131">
        <v>0</v>
      </c>
      <c r="D131">
        <v>1</v>
      </c>
      <c r="E131">
        <v>215</v>
      </c>
      <c r="F131">
        <f>ROUND(Source!AT113,O131)</f>
        <v>173980.65</v>
      </c>
      <c r="G131" t="s">
        <v>117</v>
      </c>
      <c r="H131" t="s">
        <v>118</v>
      </c>
      <c r="K131">
        <v>215</v>
      </c>
      <c r="L131">
        <v>17</v>
      </c>
      <c r="M131">
        <v>3</v>
      </c>
      <c r="N131" t="s">
        <v>5</v>
      </c>
      <c r="O131">
        <v>2</v>
      </c>
    </row>
    <row r="132" spans="1:206" x14ac:dyDescent="0.2">
      <c r="A132">
        <v>50</v>
      </c>
      <c r="B132">
        <v>0</v>
      </c>
      <c r="C132">
        <v>0</v>
      </c>
      <c r="D132">
        <v>1</v>
      </c>
      <c r="E132">
        <v>217</v>
      </c>
      <c r="F132">
        <f>ROUND(Source!AU113,O132)</f>
        <v>70841.820000000007</v>
      </c>
      <c r="G132" t="s">
        <v>119</v>
      </c>
      <c r="H132" t="s">
        <v>120</v>
      </c>
      <c r="K132">
        <v>217</v>
      </c>
      <c r="L132">
        <v>18</v>
      </c>
      <c r="M132">
        <v>3</v>
      </c>
      <c r="N132" t="s">
        <v>5</v>
      </c>
      <c r="O132">
        <v>2</v>
      </c>
    </row>
    <row r="133" spans="1:206" x14ac:dyDescent="0.2">
      <c r="A133">
        <v>50</v>
      </c>
      <c r="B133">
        <v>0</v>
      </c>
      <c r="C133">
        <v>0</v>
      </c>
      <c r="D133">
        <v>1</v>
      </c>
      <c r="E133">
        <v>230</v>
      </c>
      <c r="F133">
        <f>ROUND(Source!BA113,O133)</f>
        <v>0</v>
      </c>
      <c r="G133" t="s">
        <v>121</v>
      </c>
      <c r="H133" t="s">
        <v>122</v>
      </c>
      <c r="K133">
        <v>230</v>
      </c>
      <c r="L133">
        <v>19</v>
      </c>
      <c r="M133">
        <v>3</v>
      </c>
      <c r="N133" t="s">
        <v>5</v>
      </c>
      <c r="O133">
        <v>2</v>
      </c>
    </row>
    <row r="134" spans="1:206" x14ac:dyDescent="0.2">
      <c r="A134">
        <v>50</v>
      </c>
      <c r="B134">
        <v>0</v>
      </c>
      <c r="C134">
        <v>0</v>
      </c>
      <c r="D134">
        <v>1</v>
      </c>
      <c r="E134">
        <v>206</v>
      </c>
      <c r="F134">
        <f>ROUND(Source!T113,O134)</f>
        <v>0</v>
      </c>
      <c r="G134" t="s">
        <v>123</v>
      </c>
      <c r="H134" t="s">
        <v>124</v>
      </c>
      <c r="K134">
        <v>206</v>
      </c>
      <c r="L134">
        <v>20</v>
      </c>
      <c r="M134">
        <v>3</v>
      </c>
      <c r="N134" t="s">
        <v>5</v>
      </c>
      <c r="O134">
        <v>2</v>
      </c>
    </row>
    <row r="135" spans="1:206" x14ac:dyDescent="0.2">
      <c r="A135">
        <v>50</v>
      </c>
      <c r="B135">
        <v>0</v>
      </c>
      <c r="C135">
        <v>0</v>
      </c>
      <c r="D135">
        <v>1</v>
      </c>
      <c r="E135">
        <v>207</v>
      </c>
      <c r="F135">
        <f>Source!U113</f>
        <v>278.79684999999995</v>
      </c>
      <c r="G135" t="s">
        <v>125</v>
      </c>
      <c r="H135" t="s">
        <v>126</v>
      </c>
      <c r="K135">
        <v>207</v>
      </c>
      <c r="L135">
        <v>21</v>
      </c>
      <c r="M135">
        <v>3</v>
      </c>
      <c r="N135" t="s">
        <v>5</v>
      </c>
      <c r="O135">
        <v>-1</v>
      </c>
    </row>
    <row r="136" spans="1:206" x14ac:dyDescent="0.2">
      <c r="A136">
        <v>50</v>
      </c>
      <c r="B136">
        <v>0</v>
      </c>
      <c r="C136">
        <v>0</v>
      </c>
      <c r="D136">
        <v>1</v>
      </c>
      <c r="E136">
        <v>208</v>
      </c>
      <c r="F136">
        <f>Source!V113</f>
        <v>0</v>
      </c>
      <c r="G136" t="s">
        <v>127</v>
      </c>
      <c r="H136" t="s">
        <v>128</v>
      </c>
      <c r="K136">
        <v>208</v>
      </c>
      <c r="L136">
        <v>22</v>
      </c>
      <c r="M136">
        <v>3</v>
      </c>
      <c r="N136" t="s">
        <v>5</v>
      </c>
      <c r="O136">
        <v>-1</v>
      </c>
    </row>
    <row r="137" spans="1:206" x14ac:dyDescent="0.2">
      <c r="A137">
        <v>50</v>
      </c>
      <c r="B137">
        <v>0</v>
      </c>
      <c r="C137">
        <v>0</v>
      </c>
      <c r="D137">
        <v>1</v>
      </c>
      <c r="E137">
        <v>209</v>
      </c>
      <c r="F137">
        <f>ROUND(Source!W113,O137)</f>
        <v>0</v>
      </c>
      <c r="G137" t="s">
        <v>129</v>
      </c>
      <c r="H137" t="s">
        <v>130</v>
      </c>
      <c r="K137">
        <v>209</v>
      </c>
      <c r="L137">
        <v>23</v>
      </c>
      <c r="M137">
        <v>3</v>
      </c>
      <c r="N137" t="s">
        <v>5</v>
      </c>
      <c r="O137">
        <v>2</v>
      </c>
    </row>
    <row r="138" spans="1:206" x14ac:dyDescent="0.2">
      <c r="A138">
        <v>50</v>
      </c>
      <c r="B138">
        <v>0</v>
      </c>
      <c r="C138">
        <v>0</v>
      </c>
      <c r="D138">
        <v>1</v>
      </c>
      <c r="E138">
        <v>210</v>
      </c>
      <c r="F138">
        <f>ROUND(Source!X113,O138)</f>
        <v>82630.02</v>
      </c>
      <c r="G138" t="s">
        <v>131</v>
      </c>
      <c r="H138" t="s">
        <v>132</v>
      </c>
      <c r="K138">
        <v>210</v>
      </c>
      <c r="L138">
        <v>24</v>
      </c>
      <c r="M138">
        <v>3</v>
      </c>
      <c r="N138" t="s">
        <v>5</v>
      </c>
      <c r="O138">
        <v>2</v>
      </c>
    </row>
    <row r="139" spans="1:206" x14ac:dyDescent="0.2">
      <c r="A139">
        <v>50</v>
      </c>
      <c r="B139">
        <v>0</v>
      </c>
      <c r="C139">
        <v>0</v>
      </c>
      <c r="D139">
        <v>1</v>
      </c>
      <c r="E139">
        <v>211</v>
      </c>
      <c r="F139">
        <f>ROUND(Source!Y113,O139)</f>
        <v>45622.16</v>
      </c>
      <c r="G139" t="s">
        <v>133</v>
      </c>
      <c r="H139" t="s">
        <v>134</v>
      </c>
      <c r="K139">
        <v>211</v>
      </c>
      <c r="L139">
        <v>25</v>
      </c>
      <c r="M139">
        <v>3</v>
      </c>
      <c r="N139" t="s">
        <v>5</v>
      </c>
      <c r="O139">
        <v>2</v>
      </c>
    </row>
    <row r="140" spans="1:206" x14ac:dyDescent="0.2">
      <c r="A140">
        <v>50</v>
      </c>
      <c r="B140">
        <v>0</v>
      </c>
      <c r="C140">
        <v>0</v>
      </c>
      <c r="D140">
        <v>1</v>
      </c>
      <c r="E140">
        <v>224</v>
      </c>
      <c r="F140">
        <f>ROUND(Source!AR113,O140)</f>
        <v>383093.55</v>
      </c>
      <c r="G140" t="s">
        <v>135</v>
      </c>
      <c r="H140" t="s">
        <v>136</v>
      </c>
      <c r="K140">
        <v>224</v>
      </c>
      <c r="L140">
        <v>26</v>
      </c>
      <c r="M140">
        <v>3</v>
      </c>
      <c r="N140" t="s">
        <v>5</v>
      </c>
      <c r="O140">
        <v>2</v>
      </c>
    </row>
    <row r="142" spans="1:206" x14ac:dyDescent="0.2">
      <c r="A142">
        <v>51</v>
      </c>
      <c r="B142">
        <f>B12</f>
        <v>176</v>
      </c>
      <c r="C142">
        <f>A12</f>
        <v>1</v>
      </c>
      <c r="D142">
        <f>ROW(A12)</f>
        <v>12</v>
      </c>
      <c r="F142" t="str">
        <f>IF(F12&lt;&gt;"",F12,"")</f>
        <v>Новый объект</v>
      </c>
      <c r="G142" t="str">
        <f>IF(G12&lt;&gt;"",G12,"")</f>
        <v>Установка система мониторинга температуры и влажности в ЦОД</v>
      </c>
      <c r="H142">
        <v>0</v>
      </c>
      <c r="O142">
        <f t="shared" ref="O142:T142" si="71">ROUND(O113,2)</f>
        <v>253479.77</v>
      </c>
      <c r="P142">
        <f t="shared" si="71"/>
        <v>140211.89000000001</v>
      </c>
      <c r="Q142">
        <f t="shared" si="71"/>
        <v>1994.33</v>
      </c>
      <c r="R142">
        <f t="shared" si="71"/>
        <v>867.26</v>
      </c>
      <c r="S142">
        <f t="shared" si="71"/>
        <v>111273.55</v>
      </c>
      <c r="T142">
        <f t="shared" si="71"/>
        <v>0</v>
      </c>
      <c r="U142">
        <f>U113</f>
        <v>278.79684999999995</v>
      </c>
      <c r="V142">
        <f>V113</f>
        <v>0</v>
      </c>
      <c r="W142">
        <f>ROUND(W113,2)</f>
        <v>0</v>
      </c>
      <c r="X142">
        <f>ROUND(X113,2)</f>
        <v>82630.02</v>
      </c>
      <c r="Y142">
        <f>ROUND(Y113,2)</f>
        <v>45622.16</v>
      </c>
      <c r="AO142">
        <f t="shared" ref="AO142:BC142" si="72">ROUND(AO113,2)</f>
        <v>0</v>
      </c>
      <c r="AP142">
        <f t="shared" si="72"/>
        <v>138271.07999999999</v>
      </c>
      <c r="AQ142">
        <f t="shared" si="72"/>
        <v>0</v>
      </c>
      <c r="AR142">
        <f t="shared" si="72"/>
        <v>383093.55</v>
      </c>
      <c r="AS142">
        <f t="shared" si="72"/>
        <v>0</v>
      </c>
      <c r="AT142">
        <f t="shared" si="72"/>
        <v>173980.65</v>
      </c>
      <c r="AU142">
        <f t="shared" si="72"/>
        <v>70841.820000000007</v>
      </c>
      <c r="AV142">
        <f t="shared" si="72"/>
        <v>140211.89000000001</v>
      </c>
      <c r="AW142">
        <f t="shared" si="72"/>
        <v>1940.81</v>
      </c>
      <c r="AX142">
        <f t="shared" si="72"/>
        <v>0</v>
      </c>
      <c r="AY142">
        <f t="shared" si="72"/>
        <v>1940.81</v>
      </c>
      <c r="AZ142">
        <f t="shared" si="72"/>
        <v>138271.07999999999</v>
      </c>
      <c r="BA142">
        <f t="shared" si="72"/>
        <v>0</v>
      </c>
      <c r="BB142">
        <f t="shared" si="72"/>
        <v>0</v>
      </c>
      <c r="BC142">
        <f t="shared" si="72"/>
        <v>0</v>
      </c>
      <c r="GX142">
        <v>0</v>
      </c>
    </row>
    <row r="144" spans="1:206" x14ac:dyDescent="0.2">
      <c r="A144">
        <v>50</v>
      </c>
      <c r="B144">
        <v>0</v>
      </c>
      <c r="C144">
        <v>0</v>
      </c>
      <c r="D144">
        <v>1</v>
      </c>
      <c r="E144">
        <v>201</v>
      </c>
      <c r="F144">
        <f>ROUND(Source!O142,O144)</f>
        <v>253479.77</v>
      </c>
      <c r="G144" t="s">
        <v>85</v>
      </c>
      <c r="H144" t="s">
        <v>86</v>
      </c>
      <c r="K144">
        <v>201</v>
      </c>
      <c r="L144">
        <v>1</v>
      </c>
      <c r="M144">
        <v>3</v>
      </c>
      <c r="N144" t="s">
        <v>5</v>
      </c>
      <c r="O144">
        <v>2</v>
      </c>
    </row>
    <row r="145" spans="1:15" x14ac:dyDescent="0.2">
      <c r="A145">
        <v>50</v>
      </c>
      <c r="B145">
        <v>0</v>
      </c>
      <c r="C145">
        <v>0</v>
      </c>
      <c r="D145">
        <v>1</v>
      </c>
      <c r="E145">
        <v>202</v>
      </c>
      <c r="F145">
        <f>ROUND(Source!P142,O145)</f>
        <v>140211.89000000001</v>
      </c>
      <c r="G145" t="s">
        <v>87</v>
      </c>
      <c r="H145" t="s">
        <v>88</v>
      </c>
      <c r="K145">
        <v>202</v>
      </c>
      <c r="L145">
        <v>2</v>
      </c>
      <c r="M145">
        <v>3</v>
      </c>
      <c r="N145" t="s">
        <v>5</v>
      </c>
      <c r="O145">
        <v>2</v>
      </c>
    </row>
    <row r="146" spans="1:15" x14ac:dyDescent="0.2">
      <c r="A146">
        <v>50</v>
      </c>
      <c r="B146">
        <v>0</v>
      </c>
      <c r="C146">
        <v>0</v>
      </c>
      <c r="D146">
        <v>1</v>
      </c>
      <c r="E146">
        <v>222</v>
      </c>
      <c r="F146">
        <f>ROUND(Source!AO142,O146)</f>
        <v>0</v>
      </c>
      <c r="G146" t="s">
        <v>89</v>
      </c>
      <c r="H146" t="s">
        <v>90</v>
      </c>
      <c r="K146">
        <v>222</v>
      </c>
      <c r="L146">
        <v>3</v>
      </c>
      <c r="M146">
        <v>3</v>
      </c>
      <c r="N146" t="s">
        <v>5</v>
      </c>
      <c r="O146">
        <v>2</v>
      </c>
    </row>
    <row r="147" spans="1:15" x14ac:dyDescent="0.2">
      <c r="A147">
        <v>50</v>
      </c>
      <c r="B147">
        <v>0</v>
      </c>
      <c r="C147">
        <v>0</v>
      </c>
      <c r="D147">
        <v>1</v>
      </c>
      <c r="E147">
        <v>225</v>
      </c>
      <c r="F147">
        <f>ROUND(Source!AV142,O147)</f>
        <v>140211.89000000001</v>
      </c>
      <c r="G147" t="s">
        <v>91</v>
      </c>
      <c r="H147" t="s">
        <v>92</v>
      </c>
      <c r="K147">
        <v>225</v>
      </c>
      <c r="L147">
        <v>4</v>
      </c>
      <c r="M147">
        <v>3</v>
      </c>
      <c r="N147" t="s">
        <v>5</v>
      </c>
      <c r="O147">
        <v>2</v>
      </c>
    </row>
    <row r="148" spans="1:15" x14ac:dyDescent="0.2">
      <c r="A148">
        <v>50</v>
      </c>
      <c r="B148">
        <v>0</v>
      </c>
      <c r="C148">
        <v>0</v>
      </c>
      <c r="D148">
        <v>1</v>
      </c>
      <c r="E148">
        <v>226</v>
      </c>
      <c r="F148">
        <f>ROUND(Source!AW142,O148)</f>
        <v>1940.81</v>
      </c>
      <c r="G148" t="s">
        <v>93</v>
      </c>
      <c r="H148" t="s">
        <v>94</v>
      </c>
      <c r="K148">
        <v>226</v>
      </c>
      <c r="L148">
        <v>5</v>
      </c>
      <c r="M148">
        <v>3</v>
      </c>
      <c r="N148" t="s">
        <v>5</v>
      </c>
      <c r="O148">
        <v>2</v>
      </c>
    </row>
    <row r="149" spans="1:15" x14ac:dyDescent="0.2">
      <c r="A149">
        <v>50</v>
      </c>
      <c r="B149">
        <v>0</v>
      </c>
      <c r="C149">
        <v>0</v>
      </c>
      <c r="D149">
        <v>1</v>
      </c>
      <c r="E149">
        <v>227</v>
      </c>
      <c r="F149">
        <f>ROUND(Source!AX142,O149)</f>
        <v>0</v>
      </c>
      <c r="G149" t="s">
        <v>95</v>
      </c>
      <c r="H149" t="s">
        <v>96</v>
      </c>
      <c r="K149">
        <v>227</v>
      </c>
      <c r="L149">
        <v>6</v>
      </c>
      <c r="M149">
        <v>3</v>
      </c>
      <c r="N149" t="s">
        <v>5</v>
      </c>
      <c r="O149">
        <v>2</v>
      </c>
    </row>
    <row r="150" spans="1:15" x14ac:dyDescent="0.2">
      <c r="A150">
        <v>50</v>
      </c>
      <c r="B150">
        <v>0</v>
      </c>
      <c r="C150">
        <v>0</v>
      </c>
      <c r="D150">
        <v>1</v>
      </c>
      <c r="E150">
        <v>228</v>
      </c>
      <c r="F150">
        <f>ROUND(Source!AY142,O150)</f>
        <v>1940.81</v>
      </c>
      <c r="G150" t="s">
        <v>97</v>
      </c>
      <c r="H150" t="s">
        <v>98</v>
      </c>
      <c r="K150">
        <v>228</v>
      </c>
      <c r="L150">
        <v>7</v>
      </c>
      <c r="M150">
        <v>3</v>
      </c>
      <c r="N150" t="s">
        <v>5</v>
      </c>
      <c r="O150">
        <v>2</v>
      </c>
    </row>
    <row r="151" spans="1:15" x14ac:dyDescent="0.2">
      <c r="A151">
        <v>50</v>
      </c>
      <c r="B151">
        <v>0</v>
      </c>
      <c r="C151">
        <v>0</v>
      </c>
      <c r="D151">
        <v>1</v>
      </c>
      <c r="E151">
        <v>216</v>
      </c>
      <c r="F151">
        <f>ROUND(Source!AP142,O151)</f>
        <v>138271.07999999999</v>
      </c>
      <c r="G151" t="s">
        <v>99</v>
      </c>
      <c r="H151" t="s">
        <v>100</v>
      </c>
      <c r="K151">
        <v>216</v>
      </c>
      <c r="L151">
        <v>8</v>
      </c>
      <c r="M151">
        <v>3</v>
      </c>
      <c r="N151" t="s">
        <v>5</v>
      </c>
      <c r="O151">
        <v>2</v>
      </c>
    </row>
    <row r="152" spans="1:15" x14ac:dyDescent="0.2">
      <c r="A152">
        <v>50</v>
      </c>
      <c r="B152">
        <v>0</v>
      </c>
      <c r="C152">
        <v>0</v>
      </c>
      <c r="D152">
        <v>1</v>
      </c>
      <c r="E152">
        <v>223</v>
      </c>
      <c r="F152">
        <f>ROUND(Source!AQ142,O152)</f>
        <v>0</v>
      </c>
      <c r="G152" t="s">
        <v>101</v>
      </c>
      <c r="H152" t="s">
        <v>102</v>
      </c>
      <c r="K152">
        <v>223</v>
      </c>
      <c r="L152">
        <v>9</v>
      </c>
      <c r="M152">
        <v>3</v>
      </c>
      <c r="N152" t="s">
        <v>5</v>
      </c>
      <c r="O152">
        <v>2</v>
      </c>
    </row>
    <row r="153" spans="1:15" x14ac:dyDescent="0.2">
      <c r="A153">
        <v>50</v>
      </c>
      <c r="B153">
        <v>0</v>
      </c>
      <c r="C153">
        <v>0</v>
      </c>
      <c r="D153">
        <v>1</v>
      </c>
      <c r="E153">
        <v>229</v>
      </c>
      <c r="F153">
        <f>ROUND(Source!AZ142,O153)</f>
        <v>138271.07999999999</v>
      </c>
      <c r="G153" t="s">
        <v>103</v>
      </c>
      <c r="H153" t="s">
        <v>104</v>
      </c>
      <c r="K153">
        <v>229</v>
      </c>
      <c r="L153">
        <v>10</v>
      </c>
      <c r="M153">
        <v>3</v>
      </c>
      <c r="N153" t="s">
        <v>5</v>
      </c>
      <c r="O153">
        <v>2</v>
      </c>
    </row>
    <row r="154" spans="1:15" x14ac:dyDescent="0.2">
      <c r="A154">
        <v>50</v>
      </c>
      <c r="B154">
        <v>0</v>
      </c>
      <c r="C154">
        <v>0</v>
      </c>
      <c r="D154">
        <v>1</v>
      </c>
      <c r="E154">
        <v>203</v>
      </c>
      <c r="F154">
        <f>ROUND(Source!Q142,O154)</f>
        <v>1994.33</v>
      </c>
      <c r="G154" t="s">
        <v>105</v>
      </c>
      <c r="H154" t="s">
        <v>106</v>
      </c>
      <c r="K154">
        <v>203</v>
      </c>
      <c r="L154">
        <v>11</v>
      </c>
      <c r="M154">
        <v>3</v>
      </c>
      <c r="N154" t="s">
        <v>5</v>
      </c>
      <c r="O154">
        <v>2</v>
      </c>
    </row>
    <row r="155" spans="1:15" x14ac:dyDescent="0.2">
      <c r="A155">
        <v>50</v>
      </c>
      <c r="B155">
        <v>0</v>
      </c>
      <c r="C155">
        <v>0</v>
      </c>
      <c r="D155">
        <v>1</v>
      </c>
      <c r="E155">
        <v>231</v>
      </c>
      <c r="F155">
        <f>ROUND(Source!BB142,O155)</f>
        <v>0</v>
      </c>
      <c r="G155" t="s">
        <v>107</v>
      </c>
      <c r="H155" t="s">
        <v>108</v>
      </c>
      <c r="K155">
        <v>231</v>
      </c>
      <c r="L155">
        <v>12</v>
      </c>
      <c r="M155">
        <v>3</v>
      </c>
      <c r="N155" t="s">
        <v>5</v>
      </c>
      <c r="O155">
        <v>2</v>
      </c>
    </row>
    <row r="156" spans="1:15" x14ac:dyDescent="0.2">
      <c r="A156">
        <v>50</v>
      </c>
      <c r="B156">
        <v>0</v>
      </c>
      <c r="C156">
        <v>0</v>
      </c>
      <c r="D156">
        <v>1</v>
      </c>
      <c r="E156">
        <v>204</v>
      </c>
      <c r="F156">
        <f>ROUND(Source!R142,O156)</f>
        <v>867.26</v>
      </c>
      <c r="G156" t="s">
        <v>109</v>
      </c>
      <c r="H156" t="s">
        <v>110</v>
      </c>
      <c r="K156">
        <v>204</v>
      </c>
      <c r="L156">
        <v>13</v>
      </c>
      <c r="M156">
        <v>3</v>
      </c>
      <c r="N156" t="s">
        <v>5</v>
      </c>
      <c r="O156">
        <v>2</v>
      </c>
    </row>
    <row r="157" spans="1:15" x14ac:dyDescent="0.2">
      <c r="A157">
        <v>50</v>
      </c>
      <c r="B157">
        <v>0</v>
      </c>
      <c r="C157">
        <v>0</v>
      </c>
      <c r="D157">
        <v>1</v>
      </c>
      <c r="E157">
        <v>205</v>
      </c>
      <c r="F157">
        <f>ROUND(Source!S142,O157)</f>
        <v>111273.55</v>
      </c>
      <c r="G157" t="s">
        <v>111</v>
      </c>
      <c r="H157" t="s">
        <v>112</v>
      </c>
      <c r="K157">
        <v>205</v>
      </c>
      <c r="L157">
        <v>14</v>
      </c>
      <c r="M157">
        <v>3</v>
      </c>
      <c r="N157" t="s">
        <v>5</v>
      </c>
      <c r="O157">
        <v>2</v>
      </c>
    </row>
    <row r="158" spans="1:15" x14ac:dyDescent="0.2">
      <c r="A158">
        <v>50</v>
      </c>
      <c r="B158">
        <v>0</v>
      </c>
      <c r="C158">
        <v>0</v>
      </c>
      <c r="D158">
        <v>1</v>
      </c>
      <c r="E158">
        <v>232</v>
      </c>
      <c r="F158">
        <f>ROUND(Source!BC142,O158)</f>
        <v>0</v>
      </c>
      <c r="G158" t="s">
        <v>113</v>
      </c>
      <c r="H158" t="s">
        <v>114</v>
      </c>
      <c r="K158">
        <v>232</v>
      </c>
      <c r="L158">
        <v>15</v>
      </c>
      <c r="M158">
        <v>3</v>
      </c>
      <c r="N158" t="s">
        <v>5</v>
      </c>
      <c r="O158">
        <v>2</v>
      </c>
    </row>
    <row r="159" spans="1:15" x14ac:dyDescent="0.2">
      <c r="A159">
        <v>50</v>
      </c>
      <c r="B159">
        <v>0</v>
      </c>
      <c r="C159">
        <v>0</v>
      </c>
      <c r="D159">
        <v>1</v>
      </c>
      <c r="E159">
        <v>214</v>
      </c>
      <c r="F159">
        <f>ROUND(Source!AS142,O159)</f>
        <v>0</v>
      </c>
      <c r="G159" t="s">
        <v>115</v>
      </c>
      <c r="H159" t="s">
        <v>116</v>
      </c>
      <c r="K159">
        <v>214</v>
      </c>
      <c r="L159">
        <v>16</v>
      </c>
      <c r="M159">
        <v>3</v>
      </c>
      <c r="N159" t="s">
        <v>5</v>
      </c>
      <c r="O159">
        <v>2</v>
      </c>
    </row>
    <row r="160" spans="1:15" x14ac:dyDescent="0.2">
      <c r="A160">
        <v>50</v>
      </c>
      <c r="B160">
        <v>0</v>
      </c>
      <c r="C160">
        <v>0</v>
      </c>
      <c r="D160">
        <v>1</v>
      </c>
      <c r="E160">
        <v>215</v>
      </c>
      <c r="F160">
        <f>ROUND(Source!AT142,O160)</f>
        <v>173980.65</v>
      </c>
      <c r="G160" t="s">
        <v>117</v>
      </c>
      <c r="H160" t="s">
        <v>118</v>
      </c>
      <c r="K160">
        <v>215</v>
      </c>
      <c r="L160">
        <v>17</v>
      </c>
      <c r="M160">
        <v>3</v>
      </c>
      <c r="N160" t="s">
        <v>5</v>
      </c>
      <c r="O160">
        <v>2</v>
      </c>
    </row>
    <row r="161" spans="1:15" x14ac:dyDescent="0.2">
      <c r="A161">
        <v>50</v>
      </c>
      <c r="B161">
        <v>0</v>
      </c>
      <c r="C161">
        <v>0</v>
      </c>
      <c r="D161">
        <v>1</v>
      </c>
      <c r="E161">
        <v>217</v>
      </c>
      <c r="F161">
        <f>ROUND(Source!AU142,O161)</f>
        <v>70841.820000000007</v>
      </c>
      <c r="G161" t="s">
        <v>119</v>
      </c>
      <c r="H161" t="s">
        <v>120</v>
      </c>
      <c r="K161">
        <v>217</v>
      </c>
      <c r="L161">
        <v>18</v>
      </c>
      <c r="M161">
        <v>3</v>
      </c>
      <c r="N161" t="s">
        <v>5</v>
      </c>
      <c r="O161">
        <v>2</v>
      </c>
    </row>
    <row r="162" spans="1:15" x14ac:dyDescent="0.2">
      <c r="A162">
        <v>50</v>
      </c>
      <c r="B162">
        <v>0</v>
      </c>
      <c r="C162">
        <v>0</v>
      </c>
      <c r="D162">
        <v>1</v>
      </c>
      <c r="E162">
        <v>230</v>
      </c>
      <c r="F162">
        <f>ROUND(Source!BA142,O162)</f>
        <v>0</v>
      </c>
      <c r="G162" t="s">
        <v>121</v>
      </c>
      <c r="H162" t="s">
        <v>122</v>
      </c>
      <c r="K162">
        <v>230</v>
      </c>
      <c r="L162">
        <v>19</v>
      </c>
      <c r="M162">
        <v>3</v>
      </c>
      <c r="N162" t="s">
        <v>5</v>
      </c>
      <c r="O162">
        <v>2</v>
      </c>
    </row>
    <row r="163" spans="1:15" x14ac:dyDescent="0.2">
      <c r="A163">
        <v>50</v>
      </c>
      <c r="B163">
        <v>0</v>
      </c>
      <c r="C163">
        <v>0</v>
      </c>
      <c r="D163">
        <v>1</v>
      </c>
      <c r="E163">
        <v>206</v>
      </c>
      <c r="F163">
        <f>ROUND(Source!T142,O163)</f>
        <v>0</v>
      </c>
      <c r="G163" t="s">
        <v>123</v>
      </c>
      <c r="H163" t="s">
        <v>124</v>
      </c>
      <c r="K163">
        <v>206</v>
      </c>
      <c r="L163">
        <v>20</v>
      </c>
      <c r="M163">
        <v>3</v>
      </c>
      <c r="N163" t="s">
        <v>5</v>
      </c>
      <c r="O163">
        <v>2</v>
      </c>
    </row>
    <row r="164" spans="1:15" x14ac:dyDescent="0.2">
      <c r="A164">
        <v>50</v>
      </c>
      <c r="B164">
        <v>0</v>
      </c>
      <c r="C164">
        <v>0</v>
      </c>
      <c r="D164">
        <v>1</v>
      </c>
      <c r="E164">
        <v>207</v>
      </c>
      <c r="F164">
        <f>Source!U142</f>
        <v>278.79684999999995</v>
      </c>
      <c r="G164" t="s">
        <v>125</v>
      </c>
      <c r="H164" t="s">
        <v>126</v>
      </c>
      <c r="K164">
        <v>207</v>
      </c>
      <c r="L164">
        <v>21</v>
      </c>
      <c r="M164">
        <v>3</v>
      </c>
      <c r="N164" t="s">
        <v>5</v>
      </c>
      <c r="O164">
        <v>-1</v>
      </c>
    </row>
    <row r="165" spans="1:15" x14ac:dyDescent="0.2">
      <c r="A165">
        <v>50</v>
      </c>
      <c r="B165">
        <v>0</v>
      </c>
      <c r="C165">
        <v>0</v>
      </c>
      <c r="D165">
        <v>1</v>
      </c>
      <c r="E165">
        <v>208</v>
      </c>
      <c r="F165">
        <f>Source!V142</f>
        <v>0</v>
      </c>
      <c r="G165" t="s">
        <v>127</v>
      </c>
      <c r="H165" t="s">
        <v>128</v>
      </c>
      <c r="K165">
        <v>208</v>
      </c>
      <c r="L165">
        <v>22</v>
      </c>
      <c r="M165">
        <v>3</v>
      </c>
      <c r="N165" t="s">
        <v>5</v>
      </c>
      <c r="O165">
        <v>-1</v>
      </c>
    </row>
    <row r="166" spans="1:15" x14ac:dyDescent="0.2">
      <c r="A166">
        <v>50</v>
      </c>
      <c r="B166">
        <v>0</v>
      </c>
      <c r="C166">
        <v>0</v>
      </c>
      <c r="D166">
        <v>1</v>
      </c>
      <c r="E166">
        <v>209</v>
      </c>
      <c r="F166">
        <f>ROUND(Source!W142,O166)</f>
        <v>0</v>
      </c>
      <c r="G166" t="s">
        <v>129</v>
      </c>
      <c r="H166" t="s">
        <v>130</v>
      </c>
      <c r="K166">
        <v>209</v>
      </c>
      <c r="L166">
        <v>23</v>
      </c>
      <c r="M166">
        <v>3</v>
      </c>
      <c r="N166" t="s">
        <v>5</v>
      </c>
      <c r="O166">
        <v>2</v>
      </c>
    </row>
    <row r="167" spans="1:15" x14ac:dyDescent="0.2">
      <c r="A167">
        <v>50</v>
      </c>
      <c r="B167">
        <v>0</v>
      </c>
      <c r="C167">
        <v>0</v>
      </c>
      <c r="D167">
        <v>1</v>
      </c>
      <c r="E167">
        <v>210</v>
      </c>
      <c r="F167">
        <f>ROUND(Source!X142,O167)</f>
        <v>82630.02</v>
      </c>
      <c r="G167" t="s">
        <v>131</v>
      </c>
      <c r="H167" t="s">
        <v>132</v>
      </c>
      <c r="K167">
        <v>210</v>
      </c>
      <c r="L167">
        <v>24</v>
      </c>
      <c r="M167">
        <v>3</v>
      </c>
      <c r="N167" t="s">
        <v>5</v>
      </c>
      <c r="O167">
        <v>2</v>
      </c>
    </row>
    <row r="168" spans="1:15" x14ac:dyDescent="0.2">
      <c r="A168">
        <v>50</v>
      </c>
      <c r="B168">
        <v>0</v>
      </c>
      <c r="C168">
        <v>0</v>
      </c>
      <c r="D168">
        <v>1</v>
      </c>
      <c r="E168">
        <v>211</v>
      </c>
      <c r="F168">
        <f>ROUND(Source!Y142,O168)</f>
        <v>45622.16</v>
      </c>
      <c r="G168" t="s">
        <v>133</v>
      </c>
      <c r="H168" t="s">
        <v>134</v>
      </c>
      <c r="K168">
        <v>211</v>
      </c>
      <c r="L168">
        <v>25</v>
      </c>
      <c r="M168">
        <v>3</v>
      </c>
      <c r="N168" t="s">
        <v>5</v>
      </c>
      <c r="O168">
        <v>2</v>
      </c>
    </row>
    <row r="169" spans="1:15" x14ac:dyDescent="0.2">
      <c r="A169">
        <v>50</v>
      </c>
      <c r="B169">
        <v>0</v>
      </c>
      <c r="C169">
        <v>0</v>
      </c>
      <c r="D169">
        <v>1</v>
      </c>
      <c r="E169">
        <v>224</v>
      </c>
      <c r="F169">
        <f>ROUND(Source!AR142,O169)</f>
        <v>383093.55</v>
      </c>
      <c r="G169" t="s">
        <v>135</v>
      </c>
      <c r="H169" t="s">
        <v>136</v>
      </c>
      <c r="K169">
        <v>224</v>
      </c>
      <c r="L169">
        <v>26</v>
      </c>
      <c r="M169">
        <v>3</v>
      </c>
      <c r="N169" t="s">
        <v>5</v>
      </c>
      <c r="O169">
        <v>2</v>
      </c>
    </row>
    <row r="170" spans="1:15" x14ac:dyDescent="0.2">
      <c r="A170">
        <v>50</v>
      </c>
      <c r="B170">
        <v>1</v>
      </c>
      <c r="C170">
        <v>0</v>
      </c>
      <c r="D170">
        <v>2</v>
      </c>
      <c r="E170">
        <v>0</v>
      </c>
      <c r="F170">
        <f>ROUND(F169*0.2,O170)</f>
        <v>76618.710000000006</v>
      </c>
      <c r="G170" t="s">
        <v>167</v>
      </c>
      <c r="H170" t="s">
        <v>168</v>
      </c>
      <c r="K170">
        <v>212</v>
      </c>
      <c r="L170">
        <v>27</v>
      </c>
      <c r="M170">
        <v>0</v>
      </c>
      <c r="N170" t="s">
        <v>5</v>
      </c>
      <c r="O170">
        <v>2</v>
      </c>
    </row>
    <row r="171" spans="1:15" x14ac:dyDescent="0.2">
      <c r="A171">
        <v>50</v>
      </c>
      <c r="B171">
        <v>1</v>
      </c>
      <c r="C171">
        <v>0</v>
      </c>
      <c r="D171">
        <v>2</v>
      </c>
      <c r="E171">
        <v>0</v>
      </c>
      <c r="F171">
        <f>ROUND(F169+F170,O171)</f>
        <v>459712.26</v>
      </c>
      <c r="G171" t="s">
        <v>169</v>
      </c>
      <c r="H171" t="s">
        <v>170</v>
      </c>
      <c r="K171">
        <v>212</v>
      </c>
      <c r="L171">
        <v>28</v>
      </c>
      <c r="M171">
        <v>0</v>
      </c>
      <c r="N171" t="s">
        <v>5</v>
      </c>
      <c r="O171">
        <v>2</v>
      </c>
    </row>
    <row r="174" spans="1:15" x14ac:dyDescent="0.2">
      <c r="A174">
        <v>-1</v>
      </c>
    </row>
    <row r="176" spans="1:15" x14ac:dyDescent="0.2">
      <c r="A176">
        <v>75</v>
      </c>
      <c r="B176" t="s">
        <v>171</v>
      </c>
      <c r="C176">
        <v>2018</v>
      </c>
      <c r="D176">
        <v>0</v>
      </c>
      <c r="E176">
        <v>12</v>
      </c>
      <c r="G176">
        <v>0</v>
      </c>
      <c r="H176">
        <v>2</v>
      </c>
      <c r="I176">
        <v>1</v>
      </c>
      <c r="J176">
        <v>1</v>
      </c>
      <c r="K176">
        <v>93</v>
      </c>
      <c r="L176">
        <v>64</v>
      </c>
      <c r="M176">
        <v>0</v>
      </c>
      <c r="N176">
        <v>31330642</v>
      </c>
      <c r="O176">
        <v>1</v>
      </c>
    </row>
    <row r="177" spans="1:27" x14ac:dyDescent="0.2">
      <c r="A177">
        <v>1</v>
      </c>
      <c r="B177" t="s">
        <v>172</v>
      </c>
      <c r="C177" t="s">
        <v>173</v>
      </c>
      <c r="D177">
        <v>2018</v>
      </c>
      <c r="E177">
        <v>12</v>
      </c>
      <c r="F177">
        <v>1</v>
      </c>
      <c r="G177">
        <v>1</v>
      </c>
      <c r="H177">
        <v>0</v>
      </c>
      <c r="I177">
        <v>2</v>
      </c>
      <c r="J177">
        <v>1</v>
      </c>
      <c r="K177">
        <v>1</v>
      </c>
      <c r="L177">
        <v>1</v>
      </c>
      <c r="M177">
        <v>1</v>
      </c>
      <c r="N177">
        <v>1</v>
      </c>
      <c r="O177">
        <v>1</v>
      </c>
      <c r="P177">
        <v>1</v>
      </c>
      <c r="Q177">
        <v>1</v>
      </c>
      <c r="R177" t="s">
        <v>5</v>
      </c>
      <c r="S177" t="s">
        <v>5</v>
      </c>
      <c r="T177" t="s">
        <v>5</v>
      </c>
      <c r="U177" t="s">
        <v>5</v>
      </c>
      <c r="V177" t="s">
        <v>5</v>
      </c>
      <c r="W177" t="s">
        <v>5</v>
      </c>
      <c r="X177" t="s">
        <v>5</v>
      </c>
      <c r="Y177" t="s">
        <v>5</v>
      </c>
      <c r="Z177" t="s">
        <v>5</v>
      </c>
      <c r="AA177" t="s">
        <v>174</v>
      </c>
    </row>
    <row r="181" spans="1:27" x14ac:dyDescent="0.2">
      <c r="A181">
        <v>65</v>
      </c>
      <c r="C181">
        <v>1</v>
      </c>
      <c r="D181">
        <v>0</v>
      </c>
      <c r="E18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>
      <selection activeCell="I1" sqref="I1"/>
    </sheetView>
  </sheetViews>
  <sheetFormatPr defaultRowHeight="12.75" x14ac:dyDescent="0.2"/>
  <sheetData>
    <row r="1" spans="1:133" x14ac:dyDescent="0.2">
      <c r="A1">
        <v>0</v>
      </c>
      <c r="B1" t="s">
        <v>0</v>
      </c>
      <c r="D1" t="s">
        <v>175</v>
      </c>
      <c r="F1">
        <v>0</v>
      </c>
      <c r="G1">
        <v>0</v>
      </c>
      <c r="H1">
        <v>0</v>
      </c>
      <c r="K1">
        <v>0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>
        <v>1</v>
      </c>
      <c r="B12">
        <v>52</v>
      </c>
      <c r="C12">
        <v>0</v>
      </c>
      <c r="E12">
        <v>0</v>
      </c>
      <c r="F12" t="s">
        <v>3</v>
      </c>
      <c r="G12" t="s">
        <v>4</v>
      </c>
      <c r="H12" t="s">
        <v>5</v>
      </c>
      <c r="I12">
        <v>0</v>
      </c>
      <c r="J12" t="s">
        <v>5</v>
      </c>
      <c r="K12">
        <v>0</v>
      </c>
      <c r="O12">
        <v>0</v>
      </c>
      <c r="P12">
        <v>0</v>
      </c>
      <c r="Q12">
        <v>0</v>
      </c>
      <c r="R12">
        <v>157</v>
      </c>
      <c r="U12" t="s">
        <v>5</v>
      </c>
      <c r="V12">
        <v>0</v>
      </c>
      <c r="W12" t="s">
        <v>5</v>
      </c>
      <c r="X12" t="s">
        <v>5</v>
      </c>
      <c r="Y12" t="s">
        <v>5</v>
      </c>
      <c r="Z12" t="s">
        <v>5</v>
      </c>
      <c r="AA12" t="s">
        <v>5</v>
      </c>
      <c r="AB12" t="s">
        <v>5</v>
      </c>
      <c r="AC12" t="s">
        <v>5</v>
      </c>
      <c r="AD12" t="s">
        <v>5</v>
      </c>
      <c r="AE12" t="s">
        <v>5</v>
      </c>
      <c r="AF12" t="s">
        <v>5</v>
      </c>
      <c r="AG12" t="s">
        <v>5</v>
      </c>
      <c r="AH12" t="s">
        <v>5</v>
      </c>
      <c r="AI12" t="s">
        <v>5</v>
      </c>
      <c r="AJ12" t="s">
        <v>5</v>
      </c>
      <c r="AL12" t="s">
        <v>5</v>
      </c>
      <c r="AM12" t="s">
        <v>5</v>
      </c>
      <c r="AN12" t="s">
        <v>5</v>
      </c>
      <c r="AP12" t="s">
        <v>5</v>
      </c>
      <c r="AQ12" t="s">
        <v>5</v>
      </c>
      <c r="AR12" t="s">
        <v>5</v>
      </c>
      <c r="AX12" t="s">
        <v>5</v>
      </c>
      <c r="AY12" t="s">
        <v>5</v>
      </c>
      <c r="AZ12" t="s">
        <v>5</v>
      </c>
      <c r="BH12" t="s">
        <v>6</v>
      </c>
      <c r="BI12" t="s">
        <v>7</v>
      </c>
      <c r="BJ12">
        <v>1</v>
      </c>
      <c r="BK12">
        <v>1</v>
      </c>
      <c r="BL12">
        <v>0</v>
      </c>
      <c r="BM12">
        <v>0</v>
      </c>
      <c r="BN12">
        <v>1</v>
      </c>
      <c r="BO12">
        <v>0</v>
      </c>
      <c r="BP12">
        <v>6</v>
      </c>
      <c r="BQ12">
        <v>2</v>
      </c>
      <c r="BR12">
        <v>1</v>
      </c>
      <c r="BS12">
        <v>1</v>
      </c>
      <c r="BT12">
        <v>0</v>
      </c>
      <c r="BU12">
        <v>0</v>
      </c>
      <c r="BV12">
        <v>0</v>
      </c>
      <c r="BW12">
        <v>0</v>
      </c>
      <c r="BX12">
        <v>0</v>
      </c>
      <c r="BY12" t="s">
        <v>8</v>
      </c>
      <c r="BZ12" t="s">
        <v>9</v>
      </c>
      <c r="CA12" t="s">
        <v>10</v>
      </c>
      <c r="CB12" t="s">
        <v>10</v>
      </c>
      <c r="CC12" t="s">
        <v>10</v>
      </c>
      <c r="CD12" t="s">
        <v>10</v>
      </c>
      <c r="CE12" t="s">
        <v>11</v>
      </c>
      <c r="CF12">
        <v>0</v>
      </c>
      <c r="CG12">
        <v>0</v>
      </c>
      <c r="CH12">
        <v>18874376</v>
      </c>
      <c r="CI12" t="s">
        <v>5</v>
      </c>
      <c r="CJ12" t="s">
        <v>5</v>
      </c>
      <c r="CK12">
        <v>50</v>
      </c>
      <c r="EC12">
        <v>0</v>
      </c>
    </row>
    <row r="14" spans="1:133" x14ac:dyDescent="0.2">
      <c r="A14">
        <v>22</v>
      </c>
      <c r="B14">
        <v>0</v>
      </c>
      <c r="C14">
        <v>0</v>
      </c>
      <c r="D14">
        <v>31330642</v>
      </c>
      <c r="E14">
        <v>0</v>
      </c>
      <c r="F14">
        <v>3</v>
      </c>
    </row>
    <row r="16" spans="1:133" x14ac:dyDescent="0.2">
      <c r="A16">
        <v>3</v>
      </c>
      <c r="B16">
        <v>1</v>
      </c>
      <c r="C16" t="s">
        <v>12</v>
      </c>
      <c r="D16" t="s">
        <v>12</v>
      </c>
      <c r="E16">
        <f>(Source!F130)/1000</f>
        <v>0</v>
      </c>
      <c r="F16">
        <f>(Source!F131)/1000</f>
        <v>173.98065</v>
      </c>
      <c r="G16">
        <f>(Source!F122)/1000</f>
        <v>138.27107999999998</v>
      </c>
      <c r="H16">
        <f>(Source!F132)/1000+(Source!F133)/1000</f>
        <v>70.841820000000013</v>
      </c>
      <c r="I16">
        <f>E16+F16+G16+H16</f>
        <v>383.09354999999994</v>
      </c>
      <c r="J16">
        <f>(Source!F128)/1000</f>
        <v>111.27355</v>
      </c>
      <c r="AI16">
        <v>0</v>
      </c>
      <c r="AJ16">
        <v>0</v>
      </c>
      <c r="AK16" t="s">
        <v>5</v>
      </c>
      <c r="AL16" t="s">
        <v>5</v>
      </c>
      <c r="AM16" t="s">
        <v>5</v>
      </c>
      <c r="AN16">
        <v>0</v>
      </c>
      <c r="AO16" t="s">
        <v>5</v>
      </c>
      <c r="AP16" t="s">
        <v>5</v>
      </c>
      <c r="AT16">
        <v>253479.77</v>
      </c>
      <c r="AU16">
        <v>140211.89000000001</v>
      </c>
      <c r="AV16">
        <v>0</v>
      </c>
      <c r="AW16">
        <v>138271.07999999999</v>
      </c>
      <c r="AX16">
        <v>0</v>
      </c>
      <c r="AY16">
        <v>1994.33</v>
      </c>
      <c r="AZ16">
        <v>867.26</v>
      </c>
      <c r="BA16">
        <v>111273.55</v>
      </c>
      <c r="BB16">
        <v>0</v>
      </c>
      <c r="BC16">
        <v>173980.65</v>
      </c>
      <c r="BD16">
        <v>70841.820000000007</v>
      </c>
      <c r="BE16">
        <v>0</v>
      </c>
      <c r="BF16">
        <v>278.79685000000001</v>
      </c>
      <c r="BG16">
        <v>0</v>
      </c>
      <c r="BH16">
        <v>0</v>
      </c>
      <c r="BI16">
        <v>82630.02</v>
      </c>
      <c r="BJ16">
        <v>45622.16</v>
      </c>
      <c r="BK16">
        <v>383093.55</v>
      </c>
    </row>
    <row r="18" spans="1:15" x14ac:dyDescent="0.2">
      <c r="A18">
        <v>51</v>
      </c>
      <c r="E18">
        <f>SUMIF(A16:A17,3,E16:E17)</f>
        <v>0</v>
      </c>
      <c r="F18">
        <f>SUMIF(A16:A17,3,F16:F17)</f>
        <v>173.98065</v>
      </c>
      <c r="G18">
        <f>SUMIF(A16:A17,3,G16:G17)</f>
        <v>138.27107999999998</v>
      </c>
      <c r="H18">
        <f>SUMIF(A16:A17,3,H16:H17)</f>
        <v>70.841820000000013</v>
      </c>
      <c r="I18">
        <f>SUMIF(A16:A17,3,I16:I17)</f>
        <v>383.09354999999994</v>
      </c>
      <c r="J18">
        <f>SUMIF(A16:A17,3,J16:J17)</f>
        <v>111.27355</v>
      </c>
    </row>
    <row r="20" spans="1:15" x14ac:dyDescent="0.2">
      <c r="A20">
        <v>50</v>
      </c>
      <c r="B20">
        <v>0</v>
      </c>
      <c r="C20">
        <v>0</v>
      </c>
      <c r="D20">
        <v>1</v>
      </c>
      <c r="E20">
        <v>201</v>
      </c>
      <c r="F20">
        <v>253479.77</v>
      </c>
      <c r="G20" t="s">
        <v>85</v>
      </c>
      <c r="H20" t="s">
        <v>86</v>
      </c>
      <c r="K20">
        <v>201</v>
      </c>
      <c r="L20">
        <v>1</v>
      </c>
      <c r="M20">
        <v>3</v>
      </c>
      <c r="N20" t="s">
        <v>5</v>
      </c>
      <c r="O20">
        <v>2</v>
      </c>
    </row>
    <row r="21" spans="1:15" x14ac:dyDescent="0.2">
      <c r="A21">
        <v>50</v>
      </c>
      <c r="B21">
        <v>0</v>
      </c>
      <c r="C21">
        <v>0</v>
      </c>
      <c r="D21">
        <v>1</v>
      </c>
      <c r="E21">
        <v>202</v>
      </c>
      <c r="F21">
        <v>140211.89000000001</v>
      </c>
      <c r="G21" t="s">
        <v>87</v>
      </c>
      <c r="H21" t="s">
        <v>88</v>
      </c>
      <c r="K21">
        <v>202</v>
      </c>
      <c r="L21">
        <v>2</v>
      </c>
      <c r="M21">
        <v>3</v>
      </c>
      <c r="N21" t="s">
        <v>5</v>
      </c>
      <c r="O21">
        <v>2</v>
      </c>
    </row>
    <row r="22" spans="1:15" x14ac:dyDescent="0.2">
      <c r="A22">
        <v>50</v>
      </c>
      <c r="B22">
        <v>0</v>
      </c>
      <c r="C22">
        <v>0</v>
      </c>
      <c r="D22">
        <v>1</v>
      </c>
      <c r="E22">
        <v>222</v>
      </c>
      <c r="F22">
        <v>0</v>
      </c>
      <c r="G22" t="s">
        <v>89</v>
      </c>
      <c r="H22" t="s">
        <v>90</v>
      </c>
      <c r="K22">
        <v>222</v>
      </c>
      <c r="L22">
        <v>3</v>
      </c>
      <c r="M22">
        <v>3</v>
      </c>
      <c r="N22" t="s">
        <v>5</v>
      </c>
      <c r="O22">
        <v>2</v>
      </c>
    </row>
    <row r="23" spans="1:15" x14ac:dyDescent="0.2">
      <c r="A23">
        <v>50</v>
      </c>
      <c r="B23">
        <v>0</v>
      </c>
      <c r="C23">
        <v>0</v>
      </c>
      <c r="D23">
        <v>1</v>
      </c>
      <c r="E23">
        <v>225</v>
      </c>
      <c r="F23">
        <v>140211.89000000001</v>
      </c>
      <c r="G23" t="s">
        <v>91</v>
      </c>
      <c r="H23" t="s">
        <v>92</v>
      </c>
      <c r="K23">
        <v>225</v>
      </c>
      <c r="L23">
        <v>4</v>
      </c>
      <c r="M23">
        <v>3</v>
      </c>
      <c r="N23" t="s">
        <v>5</v>
      </c>
      <c r="O23">
        <v>2</v>
      </c>
    </row>
    <row r="24" spans="1:15" x14ac:dyDescent="0.2">
      <c r="A24">
        <v>50</v>
      </c>
      <c r="B24">
        <v>0</v>
      </c>
      <c r="C24">
        <v>0</v>
      </c>
      <c r="D24">
        <v>1</v>
      </c>
      <c r="E24">
        <v>226</v>
      </c>
      <c r="F24">
        <v>1940.81</v>
      </c>
      <c r="G24" t="s">
        <v>93</v>
      </c>
      <c r="H24" t="s">
        <v>94</v>
      </c>
      <c r="K24">
        <v>226</v>
      </c>
      <c r="L24">
        <v>5</v>
      </c>
      <c r="M24">
        <v>3</v>
      </c>
      <c r="N24" t="s">
        <v>5</v>
      </c>
      <c r="O24">
        <v>2</v>
      </c>
    </row>
    <row r="25" spans="1:15" x14ac:dyDescent="0.2">
      <c r="A25">
        <v>50</v>
      </c>
      <c r="B25">
        <v>0</v>
      </c>
      <c r="C25">
        <v>0</v>
      </c>
      <c r="D25">
        <v>1</v>
      </c>
      <c r="E25">
        <v>227</v>
      </c>
      <c r="F25">
        <v>0</v>
      </c>
      <c r="G25" t="s">
        <v>95</v>
      </c>
      <c r="H25" t="s">
        <v>96</v>
      </c>
      <c r="K25">
        <v>227</v>
      </c>
      <c r="L25">
        <v>6</v>
      </c>
      <c r="M25">
        <v>3</v>
      </c>
      <c r="N25" t="s">
        <v>5</v>
      </c>
      <c r="O25">
        <v>2</v>
      </c>
    </row>
    <row r="26" spans="1:15" x14ac:dyDescent="0.2">
      <c r="A26">
        <v>50</v>
      </c>
      <c r="B26">
        <v>0</v>
      </c>
      <c r="C26">
        <v>0</v>
      </c>
      <c r="D26">
        <v>1</v>
      </c>
      <c r="E26">
        <v>228</v>
      </c>
      <c r="F26">
        <v>1940.81</v>
      </c>
      <c r="G26" t="s">
        <v>97</v>
      </c>
      <c r="H26" t="s">
        <v>98</v>
      </c>
      <c r="K26">
        <v>228</v>
      </c>
      <c r="L26">
        <v>7</v>
      </c>
      <c r="M26">
        <v>3</v>
      </c>
      <c r="N26" t="s">
        <v>5</v>
      </c>
      <c r="O26">
        <v>2</v>
      </c>
    </row>
    <row r="27" spans="1:15" x14ac:dyDescent="0.2">
      <c r="A27">
        <v>50</v>
      </c>
      <c r="B27">
        <v>0</v>
      </c>
      <c r="C27">
        <v>0</v>
      </c>
      <c r="D27">
        <v>1</v>
      </c>
      <c r="E27">
        <v>216</v>
      </c>
      <c r="F27">
        <v>138271.07999999999</v>
      </c>
      <c r="G27" t="s">
        <v>99</v>
      </c>
      <c r="H27" t="s">
        <v>100</v>
      </c>
      <c r="K27">
        <v>216</v>
      </c>
      <c r="L27">
        <v>8</v>
      </c>
      <c r="M27">
        <v>3</v>
      </c>
      <c r="N27" t="s">
        <v>5</v>
      </c>
      <c r="O27">
        <v>2</v>
      </c>
    </row>
    <row r="28" spans="1:15" x14ac:dyDescent="0.2">
      <c r="A28">
        <v>50</v>
      </c>
      <c r="B28">
        <v>0</v>
      </c>
      <c r="C28">
        <v>0</v>
      </c>
      <c r="D28">
        <v>1</v>
      </c>
      <c r="E28">
        <v>223</v>
      </c>
      <c r="F28">
        <v>0</v>
      </c>
      <c r="G28" t="s">
        <v>101</v>
      </c>
      <c r="H28" t="s">
        <v>102</v>
      </c>
      <c r="K28">
        <v>223</v>
      </c>
      <c r="L28">
        <v>9</v>
      </c>
      <c r="M28">
        <v>3</v>
      </c>
      <c r="N28" t="s">
        <v>5</v>
      </c>
      <c r="O28">
        <v>2</v>
      </c>
    </row>
    <row r="29" spans="1:15" x14ac:dyDescent="0.2">
      <c r="A29">
        <v>50</v>
      </c>
      <c r="B29">
        <v>0</v>
      </c>
      <c r="C29">
        <v>0</v>
      </c>
      <c r="D29">
        <v>1</v>
      </c>
      <c r="E29">
        <v>229</v>
      </c>
      <c r="F29">
        <v>138271.07999999999</v>
      </c>
      <c r="G29" t="s">
        <v>103</v>
      </c>
      <c r="H29" t="s">
        <v>104</v>
      </c>
      <c r="K29">
        <v>229</v>
      </c>
      <c r="L29">
        <v>10</v>
      </c>
      <c r="M29">
        <v>3</v>
      </c>
      <c r="N29" t="s">
        <v>5</v>
      </c>
      <c r="O29">
        <v>2</v>
      </c>
    </row>
    <row r="30" spans="1:15" x14ac:dyDescent="0.2">
      <c r="A30">
        <v>50</v>
      </c>
      <c r="B30">
        <v>0</v>
      </c>
      <c r="C30">
        <v>0</v>
      </c>
      <c r="D30">
        <v>1</v>
      </c>
      <c r="E30">
        <v>203</v>
      </c>
      <c r="F30">
        <v>1994.33</v>
      </c>
      <c r="G30" t="s">
        <v>105</v>
      </c>
      <c r="H30" t="s">
        <v>106</v>
      </c>
      <c r="K30">
        <v>203</v>
      </c>
      <c r="L30">
        <v>11</v>
      </c>
      <c r="M30">
        <v>3</v>
      </c>
      <c r="N30" t="s">
        <v>5</v>
      </c>
      <c r="O30">
        <v>2</v>
      </c>
    </row>
    <row r="31" spans="1:15" x14ac:dyDescent="0.2">
      <c r="A31">
        <v>50</v>
      </c>
      <c r="B31">
        <v>0</v>
      </c>
      <c r="C31">
        <v>0</v>
      </c>
      <c r="D31">
        <v>1</v>
      </c>
      <c r="E31">
        <v>231</v>
      </c>
      <c r="F31">
        <v>0</v>
      </c>
      <c r="G31" t="s">
        <v>107</v>
      </c>
      <c r="H31" t="s">
        <v>108</v>
      </c>
      <c r="K31">
        <v>231</v>
      </c>
      <c r="L31">
        <v>12</v>
      </c>
      <c r="M31">
        <v>3</v>
      </c>
      <c r="N31" t="s">
        <v>5</v>
      </c>
      <c r="O31">
        <v>2</v>
      </c>
    </row>
    <row r="32" spans="1:15" x14ac:dyDescent="0.2">
      <c r="A32">
        <v>50</v>
      </c>
      <c r="B32">
        <v>0</v>
      </c>
      <c r="C32">
        <v>0</v>
      </c>
      <c r="D32">
        <v>1</v>
      </c>
      <c r="E32">
        <v>204</v>
      </c>
      <c r="F32">
        <v>867.26</v>
      </c>
      <c r="G32" t="s">
        <v>109</v>
      </c>
      <c r="H32" t="s">
        <v>110</v>
      </c>
      <c r="K32">
        <v>204</v>
      </c>
      <c r="L32">
        <v>13</v>
      </c>
      <c r="M32">
        <v>3</v>
      </c>
      <c r="N32" t="s">
        <v>5</v>
      </c>
      <c r="O32">
        <v>2</v>
      </c>
    </row>
    <row r="33" spans="1:15" x14ac:dyDescent="0.2">
      <c r="A33">
        <v>50</v>
      </c>
      <c r="B33">
        <v>0</v>
      </c>
      <c r="C33">
        <v>0</v>
      </c>
      <c r="D33">
        <v>1</v>
      </c>
      <c r="E33">
        <v>205</v>
      </c>
      <c r="F33">
        <v>111273.55</v>
      </c>
      <c r="G33" t="s">
        <v>111</v>
      </c>
      <c r="H33" t="s">
        <v>112</v>
      </c>
      <c r="K33">
        <v>205</v>
      </c>
      <c r="L33">
        <v>14</v>
      </c>
      <c r="M33">
        <v>3</v>
      </c>
      <c r="N33" t="s">
        <v>5</v>
      </c>
      <c r="O33">
        <v>2</v>
      </c>
    </row>
    <row r="34" spans="1:15" x14ac:dyDescent="0.2">
      <c r="A34">
        <v>50</v>
      </c>
      <c r="B34">
        <v>0</v>
      </c>
      <c r="C34">
        <v>0</v>
      </c>
      <c r="D34">
        <v>1</v>
      </c>
      <c r="E34">
        <v>232</v>
      </c>
      <c r="F34">
        <v>0</v>
      </c>
      <c r="G34" t="s">
        <v>113</v>
      </c>
      <c r="H34" t="s">
        <v>114</v>
      </c>
      <c r="K34">
        <v>232</v>
      </c>
      <c r="L34">
        <v>15</v>
      </c>
      <c r="M34">
        <v>3</v>
      </c>
      <c r="N34" t="s">
        <v>5</v>
      </c>
      <c r="O34">
        <v>2</v>
      </c>
    </row>
    <row r="35" spans="1:15" x14ac:dyDescent="0.2">
      <c r="A35">
        <v>50</v>
      </c>
      <c r="B35">
        <v>0</v>
      </c>
      <c r="C35">
        <v>0</v>
      </c>
      <c r="D35">
        <v>1</v>
      </c>
      <c r="E35">
        <v>214</v>
      </c>
      <c r="F35">
        <v>0</v>
      </c>
      <c r="G35" t="s">
        <v>115</v>
      </c>
      <c r="H35" t="s">
        <v>116</v>
      </c>
      <c r="K35">
        <v>214</v>
      </c>
      <c r="L35">
        <v>16</v>
      </c>
      <c r="M35">
        <v>3</v>
      </c>
      <c r="N35" t="s">
        <v>5</v>
      </c>
      <c r="O35">
        <v>2</v>
      </c>
    </row>
    <row r="36" spans="1:15" x14ac:dyDescent="0.2">
      <c r="A36">
        <v>50</v>
      </c>
      <c r="B36">
        <v>0</v>
      </c>
      <c r="C36">
        <v>0</v>
      </c>
      <c r="D36">
        <v>1</v>
      </c>
      <c r="E36">
        <v>215</v>
      </c>
      <c r="F36">
        <v>173980.65</v>
      </c>
      <c r="G36" t="s">
        <v>117</v>
      </c>
      <c r="H36" t="s">
        <v>118</v>
      </c>
      <c r="K36">
        <v>215</v>
      </c>
      <c r="L36">
        <v>17</v>
      </c>
      <c r="M36">
        <v>3</v>
      </c>
      <c r="N36" t="s">
        <v>5</v>
      </c>
      <c r="O36">
        <v>2</v>
      </c>
    </row>
    <row r="37" spans="1:15" x14ac:dyDescent="0.2">
      <c r="A37">
        <v>50</v>
      </c>
      <c r="B37">
        <v>0</v>
      </c>
      <c r="C37">
        <v>0</v>
      </c>
      <c r="D37">
        <v>1</v>
      </c>
      <c r="E37">
        <v>217</v>
      </c>
      <c r="F37">
        <v>70841.820000000007</v>
      </c>
      <c r="G37" t="s">
        <v>119</v>
      </c>
      <c r="H37" t="s">
        <v>120</v>
      </c>
      <c r="K37">
        <v>217</v>
      </c>
      <c r="L37">
        <v>18</v>
      </c>
      <c r="M37">
        <v>3</v>
      </c>
      <c r="N37" t="s">
        <v>5</v>
      </c>
      <c r="O37">
        <v>2</v>
      </c>
    </row>
    <row r="38" spans="1:15" x14ac:dyDescent="0.2">
      <c r="A38">
        <v>50</v>
      </c>
      <c r="B38">
        <v>0</v>
      </c>
      <c r="C38">
        <v>0</v>
      </c>
      <c r="D38">
        <v>1</v>
      </c>
      <c r="E38">
        <v>230</v>
      </c>
      <c r="F38">
        <v>0</v>
      </c>
      <c r="G38" t="s">
        <v>121</v>
      </c>
      <c r="H38" t="s">
        <v>122</v>
      </c>
      <c r="K38">
        <v>230</v>
      </c>
      <c r="L38">
        <v>19</v>
      </c>
      <c r="M38">
        <v>3</v>
      </c>
      <c r="N38" t="s">
        <v>5</v>
      </c>
      <c r="O38">
        <v>2</v>
      </c>
    </row>
    <row r="39" spans="1:15" x14ac:dyDescent="0.2">
      <c r="A39">
        <v>50</v>
      </c>
      <c r="B39">
        <v>0</v>
      </c>
      <c r="C39">
        <v>0</v>
      </c>
      <c r="D39">
        <v>1</v>
      </c>
      <c r="E39">
        <v>206</v>
      </c>
      <c r="F39">
        <v>0</v>
      </c>
      <c r="G39" t="s">
        <v>123</v>
      </c>
      <c r="H39" t="s">
        <v>124</v>
      </c>
      <c r="K39">
        <v>206</v>
      </c>
      <c r="L39">
        <v>20</v>
      </c>
      <c r="M39">
        <v>3</v>
      </c>
      <c r="N39" t="s">
        <v>5</v>
      </c>
      <c r="O39">
        <v>2</v>
      </c>
    </row>
    <row r="40" spans="1:15" x14ac:dyDescent="0.2">
      <c r="A40">
        <v>50</v>
      </c>
      <c r="B40">
        <v>0</v>
      </c>
      <c r="C40">
        <v>0</v>
      </c>
      <c r="D40">
        <v>1</v>
      </c>
      <c r="E40">
        <v>207</v>
      </c>
      <c r="F40">
        <v>278.79685000000001</v>
      </c>
      <c r="G40" t="s">
        <v>125</v>
      </c>
      <c r="H40" t="s">
        <v>126</v>
      </c>
      <c r="K40">
        <v>207</v>
      </c>
      <c r="L40">
        <v>21</v>
      </c>
      <c r="M40">
        <v>3</v>
      </c>
      <c r="N40" t="s">
        <v>5</v>
      </c>
      <c r="O40">
        <v>-1</v>
      </c>
    </row>
    <row r="41" spans="1:15" x14ac:dyDescent="0.2">
      <c r="A41">
        <v>50</v>
      </c>
      <c r="B41">
        <v>0</v>
      </c>
      <c r="C41">
        <v>0</v>
      </c>
      <c r="D41">
        <v>1</v>
      </c>
      <c r="E41">
        <v>208</v>
      </c>
      <c r="F41">
        <v>0</v>
      </c>
      <c r="G41" t="s">
        <v>127</v>
      </c>
      <c r="H41" t="s">
        <v>128</v>
      </c>
      <c r="K41">
        <v>208</v>
      </c>
      <c r="L41">
        <v>22</v>
      </c>
      <c r="M41">
        <v>3</v>
      </c>
      <c r="N41" t="s">
        <v>5</v>
      </c>
      <c r="O41">
        <v>-1</v>
      </c>
    </row>
    <row r="42" spans="1:15" x14ac:dyDescent="0.2">
      <c r="A42">
        <v>50</v>
      </c>
      <c r="B42">
        <v>0</v>
      </c>
      <c r="C42">
        <v>0</v>
      </c>
      <c r="D42">
        <v>1</v>
      </c>
      <c r="E42">
        <v>209</v>
      </c>
      <c r="F42">
        <v>0</v>
      </c>
      <c r="G42" t="s">
        <v>129</v>
      </c>
      <c r="H42" t="s">
        <v>130</v>
      </c>
      <c r="K42">
        <v>209</v>
      </c>
      <c r="L42">
        <v>23</v>
      </c>
      <c r="M42">
        <v>3</v>
      </c>
      <c r="N42" t="s">
        <v>5</v>
      </c>
      <c r="O42">
        <v>2</v>
      </c>
    </row>
    <row r="43" spans="1:15" x14ac:dyDescent="0.2">
      <c r="A43">
        <v>50</v>
      </c>
      <c r="B43">
        <v>0</v>
      </c>
      <c r="C43">
        <v>0</v>
      </c>
      <c r="D43">
        <v>1</v>
      </c>
      <c r="E43">
        <v>210</v>
      </c>
      <c r="F43">
        <v>82630.02</v>
      </c>
      <c r="G43" t="s">
        <v>131</v>
      </c>
      <c r="H43" t="s">
        <v>132</v>
      </c>
      <c r="K43">
        <v>210</v>
      </c>
      <c r="L43">
        <v>24</v>
      </c>
      <c r="M43">
        <v>3</v>
      </c>
      <c r="N43" t="s">
        <v>5</v>
      </c>
      <c r="O43">
        <v>2</v>
      </c>
    </row>
    <row r="44" spans="1:15" x14ac:dyDescent="0.2">
      <c r="A44">
        <v>50</v>
      </c>
      <c r="B44">
        <v>0</v>
      </c>
      <c r="C44">
        <v>0</v>
      </c>
      <c r="D44">
        <v>1</v>
      </c>
      <c r="E44">
        <v>211</v>
      </c>
      <c r="F44">
        <v>45622.16</v>
      </c>
      <c r="G44" t="s">
        <v>133</v>
      </c>
      <c r="H44" t="s">
        <v>134</v>
      </c>
      <c r="K44">
        <v>211</v>
      </c>
      <c r="L44">
        <v>25</v>
      </c>
      <c r="M44">
        <v>3</v>
      </c>
      <c r="N44" t="s">
        <v>5</v>
      </c>
      <c r="O44">
        <v>2</v>
      </c>
    </row>
    <row r="45" spans="1:15" x14ac:dyDescent="0.2">
      <c r="A45">
        <v>50</v>
      </c>
      <c r="B45">
        <v>0</v>
      </c>
      <c r="C45">
        <v>0</v>
      </c>
      <c r="D45">
        <v>1</v>
      </c>
      <c r="E45">
        <v>224</v>
      </c>
      <c r="F45">
        <v>383093.55</v>
      </c>
      <c r="G45" t="s">
        <v>135</v>
      </c>
      <c r="H45" t="s">
        <v>136</v>
      </c>
      <c r="K45">
        <v>224</v>
      </c>
      <c r="L45">
        <v>26</v>
      </c>
      <c r="M45">
        <v>3</v>
      </c>
      <c r="N45" t="s">
        <v>5</v>
      </c>
      <c r="O45">
        <v>2</v>
      </c>
    </row>
    <row r="46" spans="1:15" x14ac:dyDescent="0.2">
      <c r="A46">
        <v>50</v>
      </c>
      <c r="B46">
        <v>1</v>
      </c>
      <c r="C46">
        <v>0</v>
      </c>
      <c r="D46">
        <v>2</v>
      </c>
      <c r="E46">
        <v>0</v>
      </c>
      <c r="F46">
        <v>76618.710000000006</v>
      </c>
      <c r="G46" t="s">
        <v>167</v>
      </c>
      <c r="H46" t="s">
        <v>168</v>
      </c>
      <c r="K46">
        <v>212</v>
      </c>
      <c r="L46">
        <v>27</v>
      </c>
      <c r="M46">
        <v>0</v>
      </c>
      <c r="N46" t="s">
        <v>5</v>
      </c>
      <c r="O46">
        <v>2</v>
      </c>
    </row>
    <row r="47" spans="1:15" x14ac:dyDescent="0.2">
      <c r="A47">
        <v>50</v>
      </c>
      <c r="B47">
        <v>1</v>
      </c>
      <c r="C47">
        <v>0</v>
      </c>
      <c r="D47">
        <v>2</v>
      </c>
      <c r="E47">
        <v>0</v>
      </c>
      <c r="F47">
        <v>459712.26</v>
      </c>
      <c r="G47" t="s">
        <v>169</v>
      </c>
      <c r="H47" t="s">
        <v>170</v>
      </c>
      <c r="K47">
        <v>212</v>
      </c>
      <c r="L47">
        <v>28</v>
      </c>
      <c r="M47">
        <v>0</v>
      </c>
      <c r="N47" t="s">
        <v>5</v>
      </c>
      <c r="O47">
        <v>2</v>
      </c>
    </row>
    <row r="49" spans="1:27" x14ac:dyDescent="0.2">
      <c r="A49">
        <v>-1</v>
      </c>
    </row>
    <row r="52" spans="1:27" x14ac:dyDescent="0.2">
      <c r="A52">
        <v>75</v>
      </c>
      <c r="B52" t="s">
        <v>171</v>
      </c>
      <c r="C52">
        <v>2018</v>
      </c>
      <c r="D52">
        <v>0</v>
      </c>
      <c r="E52">
        <v>12</v>
      </c>
      <c r="G52">
        <v>0</v>
      </c>
      <c r="H52">
        <v>2</v>
      </c>
      <c r="I52">
        <v>1</v>
      </c>
      <c r="J52">
        <v>1</v>
      </c>
      <c r="K52">
        <v>93</v>
      </c>
      <c r="L52">
        <v>64</v>
      </c>
      <c r="M52">
        <v>0</v>
      </c>
      <c r="N52">
        <v>31330642</v>
      </c>
      <c r="O52">
        <v>1</v>
      </c>
    </row>
    <row r="53" spans="1:27" x14ac:dyDescent="0.2">
      <c r="A53">
        <v>1</v>
      </c>
      <c r="B53" t="s">
        <v>172</v>
      </c>
      <c r="C53" t="s">
        <v>173</v>
      </c>
      <c r="D53">
        <v>2018</v>
      </c>
      <c r="E53">
        <v>12</v>
      </c>
      <c r="F53">
        <v>1</v>
      </c>
      <c r="G53">
        <v>1</v>
      </c>
      <c r="H53">
        <v>0</v>
      </c>
      <c r="I53">
        <v>2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 t="s">
        <v>5</v>
      </c>
      <c r="S53" t="s">
        <v>5</v>
      </c>
      <c r="T53" t="s">
        <v>5</v>
      </c>
      <c r="U53" t="s">
        <v>5</v>
      </c>
      <c r="V53" t="s">
        <v>5</v>
      </c>
      <c r="W53" t="s">
        <v>5</v>
      </c>
      <c r="X53" t="s">
        <v>5</v>
      </c>
      <c r="Y53" t="s">
        <v>5</v>
      </c>
      <c r="Z53" t="s">
        <v>5</v>
      </c>
      <c r="AA53" t="s">
        <v>174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4"/>
  <sheetViews>
    <sheetView workbookViewId="0"/>
  </sheetViews>
  <sheetFormatPr defaultRowHeight="12.75" x14ac:dyDescent="0.2"/>
  <sheetData>
    <row r="1" spans="1:107" x14ac:dyDescent="0.2">
      <c r="A1">
        <f>ROW(Source!A28)</f>
        <v>28</v>
      </c>
      <c r="B1">
        <v>31330642</v>
      </c>
      <c r="C1">
        <v>31331012</v>
      </c>
      <c r="D1">
        <v>28953743</v>
      </c>
      <c r="E1">
        <v>13</v>
      </c>
      <c r="F1">
        <v>1</v>
      </c>
      <c r="G1">
        <v>13</v>
      </c>
      <c r="H1">
        <v>1</v>
      </c>
      <c r="I1" t="s">
        <v>176</v>
      </c>
      <c r="J1" t="s">
        <v>5</v>
      </c>
      <c r="K1" t="s">
        <v>177</v>
      </c>
      <c r="L1">
        <v>1191</v>
      </c>
      <c r="N1">
        <v>1013</v>
      </c>
      <c r="O1" t="s">
        <v>178</v>
      </c>
      <c r="P1" t="s">
        <v>178</v>
      </c>
      <c r="Q1">
        <v>1</v>
      </c>
      <c r="W1">
        <v>0</v>
      </c>
      <c r="X1">
        <v>476480486</v>
      </c>
      <c r="Y1">
        <v>2.3689999999999998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5</v>
      </c>
      <c r="AT1">
        <v>2.06</v>
      </c>
      <c r="AU1" t="s">
        <v>20</v>
      </c>
      <c r="AV1">
        <v>1</v>
      </c>
      <c r="AW1">
        <v>2</v>
      </c>
      <c r="AX1">
        <v>31331013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2.3689999999999998</v>
      </c>
      <c r="CY1">
        <f>AD1</f>
        <v>0</v>
      </c>
      <c r="CZ1">
        <f>AH1</f>
        <v>0</v>
      </c>
      <c r="DA1">
        <f>AL1</f>
        <v>1</v>
      </c>
      <c r="DB1">
        <f>ROUND((ROUND(AT1*CZ1,2)*1.15),6)</f>
        <v>0</v>
      </c>
      <c r="DC1">
        <f>ROUND((ROUND(AT1*AG1,2)*1.15),6)</f>
        <v>0</v>
      </c>
    </row>
    <row r="2" spans="1:107" x14ac:dyDescent="0.2">
      <c r="A2">
        <f>ROW(Source!A31)</f>
        <v>31</v>
      </c>
      <c r="B2">
        <v>31330642</v>
      </c>
      <c r="C2">
        <v>31330762</v>
      </c>
      <c r="D2">
        <v>28953743</v>
      </c>
      <c r="E2">
        <v>13</v>
      </c>
      <c r="F2">
        <v>1</v>
      </c>
      <c r="G2">
        <v>13</v>
      </c>
      <c r="H2">
        <v>1</v>
      </c>
      <c r="I2" t="s">
        <v>176</v>
      </c>
      <c r="J2" t="s">
        <v>5</v>
      </c>
      <c r="K2" t="s">
        <v>177</v>
      </c>
      <c r="L2">
        <v>1191</v>
      </c>
      <c r="N2">
        <v>1013</v>
      </c>
      <c r="O2" t="s">
        <v>178</v>
      </c>
      <c r="P2" t="s">
        <v>178</v>
      </c>
      <c r="Q2">
        <v>1</v>
      </c>
      <c r="W2">
        <v>0</v>
      </c>
      <c r="X2">
        <v>476480486</v>
      </c>
      <c r="Y2">
        <v>1.38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5</v>
      </c>
      <c r="AT2">
        <v>1.2</v>
      </c>
      <c r="AU2" t="s">
        <v>20</v>
      </c>
      <c r="AV2">
        <v>1</v>
      </c>
      <c r="AW2">
        <v>2</v>
      </c>
      <c r="AX2">
        <v>31331005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Y2*Source!I31</f>
        <v>1.38</v>
      </c>
      <c r="CY2">
        <f>AD2</f>
        <v>0</v>
      </c>
      <c r="CZ2">
        <f>AH2</f>
        <v>0</v>
      </c>
      <c r="DA2">
        <f>AL2</f>
        <v>1</v>
      </c>
      <c r="DB2">
        <f>ROUND((ROUND(AT2*CZ2,2)*1.15),6)</f>
        <v>0</v>
      </c>
      <c r="DC2">
        <f>ROUND((ROUND(AT2*AG2,2)*1.15),6)</f>
        <v>0</v>
      </c>
    </row>
    <row r="3" spans="1:107" x14ac:dyDescent="0.2">
      <c r="A3">
        <f>ROW(Source!A33)</f>
        <v>33</v>
      </c>
      <c r="B3">
        <v>31330642</v>
      </c>
      <c r="C3">
        <v>31331003</v>
      </c>
      <c r="D3">
        <v>28953743</v>
      </c>
      <c r="E3">
        <v>13</v>
      </c>
      <c r="F3">
        <v>1</v>
      </c>
      <c r="G3">
        <v>13</v>
      </c>
      <c r="H3">
        <v>1</v>
      </c>
      <c r="I3" t="s">
        <v>176</v>
      </c>
      <c r="J3" t="s">
        <v>5</v>
      </c>
      <c r="K3" t="s">
        <v>177</v>
      </c>
      <c r="L3">
        <v>1191</v>
      </c>
      <c r="N3">
        <v>1013</v>
      </c>
      <c r="O3" t="s">
        <v>178</v>
      </c>
      <c r="P3" t="s">
        <v>178</v>
      </c>
      <c r="Q3">
        <v>1</v>
      </c>
      <c r="W3">
        <v>0</v>
      </c>
      <c r="X3">
        <v>476480486</v>
      </c>
      <c r="Y3">
        <v>4.6459999999999999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5</v>
      </c>
      <c r="AT3">
        <v>4.04</v>
      </c>
      <c r="AU3" t="s">
        <v>20</v>
      </c>
      <c r="AV3">
        <v>1</v>
      </c>
      <c r="AW3">
        <v>2</v>
      </c>
      <c r="AX3">
        <v>31331004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Y3*Source!I33</f>
        <v>4.6459999999999999</v>
      </c>
      <c r="CY3">
        <f>AD3</f>
        <v>0</v>
      </c>
      <c r="CZ3">
        <f>AH3</f>
        <v>0</v>
      </c>
      <c r="DA3">
        <f>AL3</f>
        <v>1</v>
      </c>
      <c r="DB3">
        <f>ROUND((ROUND(AT3*CZ3,2)*1.15),6)</f>
        <v>0</v>
      </c>
      <c r="DC3">
        <f>ROUND((ROUND(AT3*AG3,2)*1.15),6)</f>
        <v>0</v>
      </c>
    </row>
    <row r="4" spans="1:107" x14ac:dyDescent="0.2">
      <c r="A4">
        <f>ROW(Source!A35)</f>
        <v>35</v>
      </c>
      <c r="B4">
        <v>31330642</v>
      </c>
      <c r="C4">
        <v>31331019</v>
      </c>
      <c r="D4">
        <v>28953743</v>
      </c>
      <c r="E4">
        <v>13</v>
      </c>
      <c r="F4">
        <v>1</v>
      </c>
      <c r="G4">
        <v>13</v>
      </c>
      <c r="H4">
        <v>1</v>
      </c>
      <c r="I4" t="s">
        <v>176</v>
      </c>
      <c r="J4" t="s">
        <v>5</v>
      </c>
      <c r="K4" t="s">
        <v>177</v>
      </c>
      <c r="L4">
        <v>1191</v>
      </c>
      <c r="N4">
        <v>1013</v>
      </c>
      <c r="O4" t="s">
        <v>178</v>
      </c>
      <c r="P4" t="s">
        <v>178</v>
      </c>
      <c r="Q4">
        <v>1</v>
      </c>
      <c r="W4">
        <v>0</v>
      </c>
      <c r="X4">
        <v>476480486</v>
      </c>
      <c r="Y4">
        <v>9.3000000000000007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5</v>
      </c>
      <c r="AT4">
        <v>9.3000000000000007</v>
      </c>
      <c r="AU4" t="s">
        <v>5</v>
      </c>
      <c r="AV4">
        <v>1</v>
      </c>
      <c r="AW4">
        <v>2</v>
      </c>
      <c r="AX4">
        <v>31331020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Y4*Source!I35</f>
        <v>9.3000000000000007</v>
      </c>
      <c r="CY4">
        <f>AD4</f>
        <v>0</v>
      </c>
      <c r="CZ4">
        <f>AH4</f>
        <v>0</v>
      </c>
      <c r="DA4">
        <f>AL4</f>
        <v>1</v>
      </c>
      <c r="DB4">
        <f>ROUND(ROUND(AT4*CZ4,2),6)</f>
        <v>0</v>
      </c>
      <c r="DC4">
        <f>ROUND(ROUND(AT4*AG4,2),6)</f>
        <v>0</v>
      </c>
    </row>
    <row r="5" spans="1:107" x14ac:dyDescent="0.2">
      <c r="A5">
        <f>ROW(Source!A35)</f>
        <v>35</v>
      </c>
      <c r="B5">
        <v>31330642</v>
      </c>
      <c r="C5">
        <v>31331019</v>
      </c>
      <c r="D5">
        <v>28953733</v>
      </c>
      <c r="E5">
        <v>13</v>
      </c>
      <c r="F5">
        <v>1</v>
      </c>
      <c r="G5">
        <v>13</v>
      </c>
      <c r="H5">
        <v>3</v>
      </c>
      <c r="I5" t="s">
        <v>179</v>
      </c>
      <c r="J5" t="s">
        <v>5</v>
      </c>
      <c r="K5" t="s">
        <v>180</v>
      </c>
      <c r="L5">
        <v>1348</v>
      </c>
      <c r="N5">
        <v>1013</v>
      </c>
      <c r="O5" t="s">
        <v>181</v>
      </c>
      <c r="P5" t="s">
        <v>181</v>
      </c>
      <c r="Q5">
        <v>1</v>
      </c>
      <c r="W5">
        <v>0</v>
      </c>
      <c r="X5">
        <v>-783086922</v>
      </c>
      <c r="Y5">
        <v>1E-3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5</v>
      </c>
      <c r="AT5">
        <v>1E-3</v>
      </c>
      <c r="AU5" t="s">
        <v>5</v>
      </c>
      <c r="AV5">
        <v>0</v>
      </c>
      <c r="AW5">
        <v>2</v>
      </c>
      <c r="AX5">
        <v>31331021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Y5*Source!I35</f>
        <v>1E-3</v>
      </c>
      <c r="CY5">
        <f>AA5</f>
        <v>0</v>
      </c>
      <c r="CZ5">
        <f>AE5</f>
        <v>0</v>
      </c>
      <c r="DA5">
        <f>AI5</f>
        <v>1</v>
      </c>
      <c r="DB5">
        <f>ROUND(ROUND(AT5*CZ5,2),6)</f>
        <v>0</v>
      </c>
      <c r="DC5">
        <f>ROUND(ROUND(AT5*AG5,2),6)</f>
        <v>0</v>
      </c>
    </row>
    <row r="6" spans="1:107" x14ac:dyDescent="0.2">
      <c r="A6">
        <f>ROW(Source!A36)</f>
        <v>36</v>
      </c>
      <c r="B6">
        <v>31330642</v>
      </c>
      <c r="C6">
        <v>31331022</v>
      </c>
      <c r="D6">
        <v>28953743</v>
      </c>
      <c r="E6">
        <v>13</v>
      </c>
      <c r="F6">
        <v>1</v>
      </c>
      <c r="G6">
        <v>13</v>
      </c>
      <c r="H6">
        <v>1</v>
      </c>
      <c r="I6" t="s">
        <v>176</v>
      </c>
      <c r="J6" t="s">
        <v>5</v>
      </c>
      <c r="K6" t="s">
        <v>177</v>
      </c>
      <c r="L6">
        <v>1191</v>
      </c>
      <c r="N6">
        <v>1013</v>
      </c>
      <c r="O6" t="s">
        <v>178</v>
      </c>
      <c r="P6" t="s">
        <v>178</v>
      </c>
      <c r="Q6">
        <v>1</v>
      </c>
      <c r="W6">
        <v>0</v>
      </c>
      <c r="X6">
        <v>476480486</v>
      </c>
      <c r="Y6">
        <v>5.76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5</v>
      </c>
      <c r="AT6">
        <v>5.76</v>
      </c>
      <c r="AU6" t="s">
        <v>5</v>
      </c>
      <c r="AV6">
        <v>1</v>
      </c>
      <c r="AW6">
        <v>2</v>
      </c>
      <c r="AX6">
        <v>31331023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Y6*Source!I36</f>
        <v>5.76</v>
      </c>
      <c r="CY6">
        <f t="shared" ref="CY6:CY14" si="0">AD6</f>
        <v>0</v>
      </c>
      <c r="CZ6">
        <f t="shared" ref="CZ6:CZ14" si="1">AH6</f>
        <v>0</v>
      </c>
      <c r="DA6">
        <f t="shared" ref="DA6:DA14" si="2">AL6</f>
        <v>1</v>
      </c>
      <c r="DB6">
        <f>ROUND(ROUND(AT6*CZ6,2),6)</f>
        <v>0</v>
      </c>
      <c r="DC6">
        <f>ROUND(ROUND(AT6*AG6,2),6)</f>
        <v>0</v>
      </c>
    </row>
    <row r="7" spans="1:107" x14ac:dyDescent="0.2">
      <c r="A7">
        <f>ROW(Source!A37)</f>
        <v>37</v>
      </c>
      <c r="B7">
        <v>31330642</v>
      </c>
      <c r="C7">
        <v>31331026</v>
      </c>
      <c r="D7">
        <v>28953743</v>
      </c>
      <c r="E7">
        <v>13</v>
      </c>
      <c r="F7">
        <v>1</v>
      </c>
      <c r="G7">
        <v>13</v>
      </c>
      <c r="H7">
        <v>1</v>
      </c>
      <c r="I7" t="s">
        <v>176</v>
      </c>
      <c r="J7" t="s">
        <v>5</v>
      </c>
      <c r="K7" t="s">
        <v>177</v>
      </c>
      <c r="L7">
        <v>1191</v>
      </c>
      <c r="N7">
        <v>1013</v>
      </c>
      <c r="O7" t="s">
        <v>178</v>
      </c>
      <c r="P7" t="s">
        <v>178</v>
      </c>
      <c r="Q7">
        <v>1</v>
      </c>
      <c r="W7">
        <v>0</v>
      </c>
      <c r="X7">
        <v>476480486</v>
      </c>
      <c r="Y7">
        <v>3.6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5</v>
      </c>
      <c r="AT7">
        <v>3.6</v>
      </c>
      <c r="AU7" t="s">
        <v>5</v>
      </c>
      <c r="AV7">
        <v>1</v>
      </c>
      <c r="AW7">
        <v>2</v>
      </c>
      <c r="AX7">
        <v>31331027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Y7*Source!I37</f>
        <v>3.6</v>
      </c>
      <c r="CY7">
        <f t="shared" si="0"/>
        <v>0</v>
      </c>
      <c r="CZ7">
        <f t="shared" si="1"/>
        <v>0</v>
      </c>
      <c r="DA7">
        <f t="shared" si="2"/>
        <v>1</v>
      </c>
      <c r="DB7">
        <f>ROUND(ROUND(AT7*CZ7,2),6)</f>
        <v>0</v>
      </c>
      <c r="DC7">
        <f>ROUND(ROUND(AT7*AG7,2),6)</f>
        <v>0</v>
      </c>
    </row>
    <row r="8" spans="1:107" x14ac:dyDescent="0.2">
      <c r="A8">
        <f>ROW(Source!A38)</f>
        <v>38</v>
      </c>
      <c r="B8">
        <v>31330642</v>
      </c>
      <c r="C8">
        <v>31331024</v>
      </c>
      <c r="D8">
        <v>28953743</v>
      </c>
      <c r="E8">
        <v>13</v>
      </c>
      <c r="F8">
        <v>1</v>
      </c>
      <c r="G8">
        <v>13</v>
      </c>
      <c r="H8">
        <v>1</v>
      </c>
      <c r="I8" t="s">
        <v>176</v>
      </c>
      <c r="J8" t="s">
        <v>5</v>
      </c>
      <c r="K8" t="s">
        <v>177</v>
      </c>
      <c r="L8">
        <v>1191</v>
      </c>
      <c r="N8">
        <v>1013</v>
      </c>
      <c r="O8" t="s">
        <v>178</v>
      </c>
      <c r="P8" t="s">
        <v>178</v>
      </c>
      <c r="Q8">
        <v>1</v>
      </c>
      <c r="W8">
        <v>0</v>
      </c>
      <c r="X8">
        <v>476480486</v>
      </c>
      <c r="Y8">
        <v>0.59799999999999998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5</v>
      </c>
      <c r="AT8">
        <v>0.52</v>
      </c>
      <c r="AU8" t="s">
        <v>20</v>
      </c>
      <c r="AV8">
        <v>1</v>
      </c>
      <c r="AW8">
        <v>2</v>
      </c>
      <c r="AX8">
        <v>31331025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Y8*Source!I38</f>
        <v>0.59799999999999998</v>
      </c>
      <c r="CY8">
        <f t="shared" si="0"/>
        <v>0</v>
      </c>
      <c r="CZ8">
        <f t="shared" si="1"/>
        <v>0</v>
      </c>
      <c r="DA8">
        <f t="shared" si="2"/>
        <v>1</v>
      </c>
      <c r="DB8">
        <f>ROUND((ROUND(AT8*CZ8,2)*1.15),6)</f>
        <v>0</v>
      </c>
      <c r="DC8">
        <f>ROUND((ROUND(AT8*AG8,2)*1.15),6)</f>
        <v>0</v>
      </c>
    </row>
    <row r="9" spans="1:107" x14ac:dyDescent="0.2">
      <c r="A9">
        <f>ROW(Source!A40)</f>
        <v>40</v>
      </c>
      <c r="B9">
        <v>31330642</v>
      </c>
      <c r="C9">
        <v>31331028</v>
      </c>
      <c r="D9">
        <v>28953743</v>
      </c>
      <c r="E9">
        <v>13</v>
      </c>
      <c r="F9">
        <v>1</v>
      </c>
      <c r="G9">
        <v>13</v>
      </c>
      <c r="H9">
        <v>1</v>
      </c>
      <c r="I9" t="s">
        <v>176</v>
      </c>
      <c r="J9" t="s">
        <v>5</v>
      </c>
      <c r="K9" t="s">
        <v>177</v>
      </c>
      <c r="L9">
        <v>1191</v>
      </c>
      <c r="N9">
        <v>1013</v>
      </c>
      <c r="O9" t="s">
        <v>178</v>
      </c>
      <c r="P9" t="s">
        <v>178</v>
      </c>
      <c r="Q9">
        <v>1</v>
      </c>
      <c r="W9">
        <v>0</v>
      </c>
      <c r="X9">
        <v>476480486</v>
      </c>
      <c r="Y9">
        <v>2.3689999999999998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5</v>
      </c>
      <c r="AT9">
        <v>2.06</v>
      </c>
      <c r="AU9" t="s">
        <v>20</v>
      </c>
      <c r="AV9">
        <v>1</v>
      </c>
      <c r="AW9">
        <v>2</v>
      </c>
      <c r="AX9">
        <v>31331029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Y9*Source!I40</f>
        <v>11.844999999999999</v>
      </c>
      <c r="CY9">
        <f t="shared" si="0"/>
        <v>0</v>
      </c>
      <c r="CZ9">
        <f t="shared" si="1"/>
        <v>0</v>
      </c>
      <c r="DA9">
        <f t="shared" si="2"/>
        <v>1</v>
      </c>
      <c r="DB9">
        <f>ROUND((ROUND(AT9*CZ9,2)*1.15),6)</f>
        <v>0</v>
      </c>
      <c r="DC9">
        <f>ROUND((ROUND(AT9*AG9,2)*1.15),6)</f>
        <v>0</v>
      </c>
    </row>
    <row r="10" spans="1:107" x14ac:dyDescent="0.2">
      <c r="A10">
        <f>ROW(Source!A42)</f>
        <v>42</v>
      </c>
      <c r="B10">
        <v>31330642</v>
      </c>
      <c r="C10">
        <v>31332280</v>
      </c>
      <c r="D10">
        <v>28953743</v>
      </c>
      <c r="E10">
        <v>13</v>
      </c>
      <c r="F10">
        <v>1</v>
      </c>
      <c r="G10">
        <v>13</v>
      </c>
      <c r="H10">
        <v>1</v>
      </c>
      <c r="I10" t="s">
        <v>176</v>
      </c>
      <c r="J10" t="s">
        <v>5</v>
      </c>
      <c r="K10" t="s">
        <v>177</v>
      </c>
      <c r="L10">
        <v>1191</v>
      </c>
      <c r="N10">
        <v>1013</v>
      </c>
      <c r="O10" t="s">
        <v>178</v>
      </c>
      <c r="P10" t="s">
        <v>178</v>
      </c>
      <c r="Q10">
        <v>1</v>
      </c>
      <c r="W10">
        <v>0</v>
      </c>
      <c r="X10">
        <v>476480486</v>
      </c>
      <c r="Y10">
        <v>1.1844999999999999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5</v>
      </c>
      <c r="AT10">
        <v>1.03</v>
      </c>
      <c r="AU10" t="s">
        <v>20</v>
      </c>
      <c r="AV10">
        <v>1</v>
      </c>
      <c r="AW10">
        <v>2</v>
      </c>
      <c r="AX10">
        <v>31332281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Y10*Source!I42</f>
        <v>0.35534999999999994</v>
      </c>
      <c r="CY10">
        <f t="shared" si="0"/>
        <v>0</v>
      </c>
      <c r="CZ10">
        <f t="shared" si="1"/>
        <v>0</v>
      </c>
      <c r="DA10">
        <f t="shared" si="2"/>
        <v>1</v>
      </c>
      <c r="DB10">
        <f>ROUND((ROUND(AT10*CZ10,2)*1.15),6)</f>
        <v>0</v>
      </c>
      <c r="DC10">
        <f>ROUND((ROUND(AT10*AG10,2)*1.15),6)</f>
        <v>0</v>
      </c>
    </row>
    <row r="11" spans="1:107" x14ac:dyDescent="0.2">
      <c r="A11">
        <f>ROW(Source!A43)</f>
        <v>43</v>
      </c>
      <c r="B11">
        <v>31330642</v>
      </c>
      <c r="C11">
        <v>31332282</v>
      </c>
      <c r="D11">
        <v>28953743</v>
      </c>
      <c r="E11">
        <v>13</v>
      </c>
      <c r="F11">
        <v>1</v>
      </c>
      <c r="G11">
        <v>13</v>
      </c>
      <c r="H11">
        <v>1</v>
      </c>
      <c r="I11" t="s">
        <v>176</v>
      </c>
      <c r="J11" t="s">
        <v>5</v>
      </c>
      <c r="K11" t="s">
        <v>177</v>
      </c>
      <c r="L11">
        <v>1191</v>
      </c>
      <c r="N11">
        <v>1013</v>
      </c>
      <c r="O11" t="s">
        <v>178</v>
      </c>
      <c r="P11" t="s">
        <v>178</v>
      </c>
      <c r="Q11">
        <v>1</v>
      </c>
      <c r="W11">
        <v>0</v>
      </c>
      <c r="X11">
        <v>476480486</v>
      </c>
      <c r="Y11">
        <v>23.344999999999999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5</v>
      </c>
      <c r="AT11">
        <v>20.3</v>
      </c>
      <c r="AU11" t="s">
        <v>20</v>
      </c>
      <c r="AV11">
        <v>1</v>
      </c>
      <c r="AW11">
        <v>2</v>
      </c>
      <c r="AX11">
        <v>31332283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Y11*Source!I43</f>
        <v>7.0034999999999998</v>
      </c>
      <c r="CY11">
        <f t="shared" si="0"/>
        <v>0</v>
      </c>
      <c r="CZ11">
        <f t="shared" si="1"/>
        <v>0</v>
      </c>
      <c r="DA11">
        <f t="shared" si="2"/>
        <v>1</v>
      </c>
      <c r="DB11">
        <f>ROUND((ROUND(AT11*CZ11,2)*1.15),6)</f>
        <v>0</v>
      </c>
      <c r="DC11">
        <f>ROUND((ROUND(AT11*AG11,2)*1.15),6)</f>
        <v>0</v>
      </c>
    </row>
    <row r="12" spans="1:107" x14ac:dyDescent="0.2">
      <c r="A12">
        <f>ROW(Source!A78)</f>
        <v>78</v>
      </c>
      <c r="B12">
        <v>31330642</v>
      </c>
      <c r="C12">
        <v>31332241</v>
      </c>
      <c r="D12">
        <v>28953743</v>
      </c>
      <c r="E12">
        <v>13</v>
      </c>
      <c r="F12">
        <v>1</v>
      </c>
      <c r="G12">
        <v>13</v>
      </c>
      <c r="H12">
        <v>1</v>
      </c>
      <c r="I12" t="s">
        <v>176</v>
      </c>
      <c r="J12" t="s">
        <v>5</v>
      </c>
      <c r="K12" t="s">
        <v>177</v>
      </c>
      <c r="L12">
        <v>1191</v>
      </c>
      <c r="N12">
        <v>1013</v>
      </c>
      <c r="O12" t="s">
        <v>178</v>
      </c>
      <c r="P12" t="s">
        <v>178</v>
      </c>
      <c r="Q12">
        <v>1</v>
      </c>
      <c r="W12">
        <v>0</v>
      </c>
      <c r="X12">
        <v>476480486</v>
      </c>
      <c r="Y12">
        <v>167.43999999999997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5</v>
      </c>
      <c r="AT12">
        <v>145.6</v>
      </c>
      <c r="AU12" t="s">
        <v>20</v>
      </c>
      <c r="AV12">
        <v>1</v>
      </c>
      <c r="AW12">
        <v>2</v>
      </c>
      <c r="AX12">
        <v>31332243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Y12*Source!I78</f>
        <v>167.43999999999997</v>
      </c>
      <c r="CY12">
        <f t="shared" si="0"/>
        <v>0</v>
      </c>
      <c r="CZ12">
        <f t="shared" si="1"/>
        <v>0</v>
      </c>
      <c r="DA12">
        <f t="shared" si="2"/>
        <v>1</v>
      </c>
      <c r="DB12">
        <f>ROUND((ROUND(AT12*CZ12,2)*1.15),6)</f>
        <v>0</v>
      </c>
      <c r="DC12">
        <f>ROUND((ROUND(AT12*AG12,2)*1.15),6)</f>
        <v>0</v>
      </c>
    </row>
    <row r="13" spans="1:107" x14ac:dyDescent="0.2">
      <c r="A13">
        <f>ROW(Source!A81)</f>
        <v>81</v>
      </c>
      <c r="B13">
        <v>31330642</v>
      </c>
      <c r="C13">
        <v>31330759</v>
      </c>
      <c r="D13">
        <v>28953743</v>
      </c>
      <c r="E13">
        <v>13</v>
      </c>
      <c r="F13">
        <v>1</v>
      </c>
      <c r="G13">
        <v>13</v>
      </c>
      <c r="H13">
        <v>1</v>
      </c>
      <c r="I13" t="s">
        <v>176</v>
      </c>
      <c r="J13" t="s">
        <v>5</v>
      </c>
      <c r="K13" t="s">
        <v>177</v>
      </c>
      <c r="L13">
        <v>1191</v>
      </c>
      <c r="N13">
        <v>1013</v>
      </c>
      <c r="O13" t="s">
        <v>178</v>
      </c>
      <c r="P13" t="s">
        <v>178</v>
      </c>
      <c r="Q13">
        <v>1</v>
      </c>
      <c r="W13">
        <v>0</v>
      </c>
      <c r="X13">
        <v>476480486</v>
      </c>
      <c r="Y13">
        <v>1.512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5</v>
      </c>
      <c r="AT13">
        <v>1.4</v>
      </c>
      <c r="AU13" t="s">
        <v>155</v>
      </c>
      <c r="AV13">
        <v>1</v>
      </c>
      <c r="AW13">
        <v>2</v>
      </c>
      <c r="AX13">
        <v>31330760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Y13*Source!I81</f>
        <v>7.5600000000000005</v>
      </c>
      <c r="CY13">
        <f t="shared" si="0"/>
        <v>0</v>
      </c>
      <c r="CZ13">
        <f t="shared" si="1"/>
        <v>0</v>
      </c>
      <c r="DA13">
        <f t="shared" si="2"/>
        <v>1</v>
      </c>
      <c r="DB13">
        <f>ROUND(((ROUND(AT13*CZ13,2)*0.8)*1.35),6)</f>
        <v>0</v>
      </c>
      <c r="DC13">
        <f>ROUND(((ROUND(AT13*AG13,2)*0.8)*1.35),6)</f>
        <v>0</v>
      </c>
    </row>
    <row r="14" spans="1:107" x14ac:dyDescent="0.2">
      <c r="A14">
        <f>ROW(Source!A82)</f>
        <v>82</v>
      </c>
      <c r="B14">
        <v>31330642</v>
      </c>
      <c r="C14">
        <v>31332250</v>
      </c>
      <c r="D14">
        <v>28953743</v>
      </c>
      <c r="E14">
        <v>13</v>
      </c>
      <c r="F14">
        <v>1</v>
      </c>
      <c r="G14">
        <v>13</v>
      </c>
      <c r="H14">
        <v>1</v>
      </c>
      <c r="I14" t="s">
        <v>176</v>
      </c>
      <c r="J14" t="s">
        <v>5</v>
      </c>
      <c r="K14" t="s">
        <v>177</v>
      </c>
      <c r="L14">
        <v>1191</v>
      </c>
      <c r="N14">
        <v>1013</v>
      </c>
      <c r="O14" t="s">
        <v>178</v>
      </c>
      <c r="P14" t="s">
        <v>178</v>
      </c>
      <c r="Q14">
        <v>1</v>
      </c>
      <c r="W14">
        <v>0</v>
      </c>
      <c r="X14">
        <v>476480486</v>
      </c>
      <c r="Y14">
        <v>75.600000000000009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5</v>
      </c>
      <c r="AT14">
        <v>56</v>
      </c>
      <c r="AU14" t="s">
        <v>165</v>
      </c>
      <c r="AV14">
        <v>1</v>
      </c>
      <c r="AW14">
        <v>2</v>
      </c>
      <c r="AX14">
        <v>31332251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Y14*Source!I82</f>
        <v>75.600000000000009</v>
      </c>
      <c r="CY14">
        <f t="shared" si="0"/>
        <v>0</v>
      </c>
      <c r="CZ14">
        <f t="shared" si="1"/>
        <v>0</v>
      </c>
      <c r="DA14">
        <f t="shared" si="2"/>
        <v>1</v>
      </c>
      <c r="DB14">
        <f>ROUND((ROUND(AT14*CZ14,2)*1.35),6)</f>
        <v>0</v>
      </c>
      <c r="DC14">
        <f>ROUND((ROUND(AT14*AG14,2)*1.35),6)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"/>
  <sheetViews>
    <sheetView workbookViewId="0"/>
  </sheetViews>
  <sheetFormatPr defaultRowHeight="12.75" x14ac:dyDescent="0.2"/>
  <sheetData>
    <row r="1" spans="1:44" x14ac:dyDescent="0.2">
      <c r="A1">
        <f>ROW(Source!A28)</f>
        <v>28</v>
      </c>
      <c r="B1">
        <v>31331013</v>
      </c>
      <c r="C1">
        <v>31331012</v>
      </c>
      <c r="D1">
        <v>28953743</v>
      </c>
      <c r="E1">
        <v>13</v>
      </c>
      <c r="F1">
        <v>1</v>
      </c>
      <c r="G1">
        <v>13</v>
      </c>
      <c r="H1">
        <v>1</v>
      </c>
      <c r="I1" t="s">
        <v>176</v>
      </c>
      <c r="J1" t="s">
        <v>5</v>
      </c>
      <c r="K1" t="s">
        <v>177</v>
      </c>
      <c r="L1">
        <v>1191</v>
      </c>
      <c r="N1">
        <v>1013</v>
      </c>
      <c r="O1" t="s">
        <v>178</v>
      </c>
      <c r="P1" t="s">
        <v>178</v>
      </c>
      <c r="Q1">
        <v>1</v>
      </c>
      <c r="X1">
        <v>2.06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20</v>
      </c>
      <c r="AG1">
        <v>2.3689999999999998</v>
      </c>
      <c r="AH1">
        <v>2</v>
      </c>
      <c r="AI1">
        <v>31331013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ROW(Source!A31)</f>
        <v>31</v>
      </c>
      <c r="B2">
        <v>31331005</v>
      </c>
      <c r="C2">
        <v>31330762</v>
      </c>
      <c r="D2">
        <v>28953743</v>
      </c>
      <c r="E2">
        <v>13</v>
      </c>
      <c r="F2">
        <v>1</v>
      </c>
      <c r="G2">
        <v>13</v>
      </c>
      <c r="H2">
        <v>1</v>
      </c>
      <c r="I2" t="s">
        <v>176</v>
      </c>
      <c r="J2" t="s">
        <v>5</v>
      </c>
      <c r="K2" t="s">
        <v>177</v>
      </c>
      <c r="L2">
        <v>1191</v>
      </c>
      <c r="N2">
        <v>1013</v>
      </c>
      <c r="O2" t="s">
        <v>178</v>
      </c>
      <c r="P2" t="s">
        <v>178</v>
      </c>
      <c r="Q2">
        <v>1</v>
      </c>
      <c r="X2">
        <v>1.2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1</v>
      </c>
      <c r="AF2" t="s">
        <v>20</v>
      </c>
      <c r="AG2">
        <v>1.38</v>
      </c>
      <c r="AH2">
        <v>2</v>
      </c>
      <c r="AI2">
        <v>31331005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ROW(Source!A33)</f>
        <v>33</v>
      </c>
      <c r="B3">
        <v>31331004</v>
      </c>
      <c r="C3">
        <v>31331003</v>
      </c>
      <c r="D3">
        <v>28953743</v>
      </c>
      <c r="E3">
        <v>13</v>
      </c>
      <c r="F3">
        <v>1</v>
      </c>
      <c r="G3">
        <v>13</v>
      </c>
      <c r="H3">
        <v>1</v>
      </c>
      <c r="I3" t="s">
        <v>176</v>
      </c>
      <c r="J3" t="s">
        <v>5</v>
      </c>
      <c r="K3" t="s">
        <v>177</v>
      </c>
      <c r="L3">
        <v>1191</v>
      </c>
      <c r="N3">
        <v>1013</v>
      </c>
      <c r="O3" t="s">
        <v>178</v>
      </c>
      <c r="P3" t="s">
        <v>178</v>
      </c>
      <c r="Q3">
        <v>1</v>
      </c>
      <c r="X3">
        <v>4.04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1</v>
      </c>
      <c r="AF3" t="s">
        <v>20</v>
      </c>
      <c r="AG3">
        <v>4.6459999999999999</v>
      </c>
      <c r="AH3">
        <v>2</v>
      </c>
      <c r="AI3">
        <v>31331004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ROW(Source!A35)</f>
        <v>35</v>
      </c>
      <c r="B4">
        <v>31331020</v>
      </c>
      <c r="C4">
        <v>31331019</v>
      </c>
      <c r="D4">
        <v>28953743</v>
      </c>
      <c r="E4">
        <v>13</v>
      </c>
      <c r="F4">
        <v>1</v>
      </c>
      <c r="G4">
        <v>13</v>
      </c>
      <c r="H4">
        <v>1</v>
      </c>
      <c r="I4" t="s">
        <v>176</v>
      </c>
      <c r="J4" t="s">
        <v>5</v>
      </c>
      <c r="K4" t="s">
        <v>177</v>
      </c>
      <c r="L4">
        <v>1191</v>
      </c>
      <c r="N4">
        <v>1013</v>
      </c>
      <c r="O4" t="s">
        <v>178</v>
      </c>
      <c r="P4" t="s">
        <v>178</v>
      </c>
      <c r="Q4">
        <v>1</v>
      </c>
      <c r="X4">
        <v>9.3000000000000007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1</v>
      </c>
      <c r="AF4" t="s">
        <v>5</v>
      </c>
      <c r="AG4">
        <v>9.3000000000000007</v>
      </c>
      <c r="AH4">
        <v>2</v>
      </c>
      <c r="AI4">
        <v>31331020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ROW(Source!A35)</f>
        <v>35</v>
      </c>
      <c r="B5">
        <v>31331021</v>
      </c>
      <c r="C5">
        <v>31331019</v>
      </c>
      <c r="D5">
        <v>28953733</v>
      </c>
      <c r="E5">
        <v>13</v>
      </c>
      <c r="F5">
        <v>1</v>
      </c>
      <c r="G5">
        <v>13</v>
      </c>
      <c r="H5">
        <v>3</v>
      </c>
      <c r="I5" t="s">
        <v>179</v>
      </c>
      <c r="J5" t="s">
        <v>5</v>
      </c>
      <c r="K5" t="s">
        <v>180</v>
      </c>
      <c r="L5">
        <v>1348</v>
      </c>
      <c r="N5">
        <v>1013</v>
      </c>
      <c r="O5" t="s">
        <v>181</v>
      </c>
      <c r="P5" t="s">
        <v>181</v>
      </c>
      <c r="Q5">
        <v>1</v>
      </c>
      <c r="X5">
        <v>1E-3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5</v>
      </c>
      <c r="AG5">
        <v>1E-3</v>
      </c>
      <c r="AH5">
        <v>2</v>
      </c>
      <c r="AI5">
        <v>31331021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ROW(Source!A36)</f>
        <v>36</v>
      </c>
      <c r="B6">
        <v>31331023</v>
      </c>
      <c r="C6">
        <v>31331022</v>
      </c>
      <c r="D6">
        <v>28953743</v>
      </c>
      <c r="E6">
        <v>13</v>
      </c>
      <c r="F6">
        <v>1</v>
      </c>
      <c r="G6">
        <v>13</v>
      </c>
      <c r="H6">
        <v>1</v>
      </c>
      <c r="I6" t="s">
        <v>176</v>
      </c>
      <c r="J6" t="s">
        <v>5</v>
      </c>
      <c r="K6" t="s">
        <v>177</v>
      </c>
      <c r="L6">
        <v>1191</v>
      </c>
      <c r="N6">
        <v>1013</v>
      </c>
      <c r="O6" t="s">
        <v>178</v>
      </c>
      <c r="P6" t="s">
        <v>178</v>
      </c>
      <c r="Q6">
        <v>1</v>
      </c>
      <c r="X6">
        <v>5.76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 t="s">
        <v>5</v>
      </c>
      <c r="AG6">
        <v>5.76</v>
      </c>
      <c r="AH6">
        <v>2</v>
      </c>
      <c r="AI6">
        <v>31331023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ROW(Source!A37)</f>
        <v>37</v>
      </c>
      <c r="B7">
        <v>31331027</v>
      </c>
      <c r="C7">
        <v>31331026</v>
      </c>
      <c r="D7">
        <v>28953743</v>
      </c>
      <c r="E7">
        <v>13</v>
      </c>
      <c r="F7">
        <v>1</v>
      </c>
      <c r="G7">
        <v>13</v>
      </c>
      <c r="H7">
        <v>1</v>
      </c>
      <c r="I7" t="s">
        <v>176</v>
      </c>
      <c r="J7" t="s">
        <v>5</v>
      </c>
      <c r="K7" t="s">
        <v>177</v>
      </c>
      <c r="L7">
        <v>1191</v>
      </c>
      <c r="N7">
        <v>1013</v>
      </c>
      <c r="O7" t="s">
        <v>178</v>
      </c>
      <c r="P7" t="s">
        <v>178</v>
      </c>
      <c r="Q7">
        <v>1</v>
      </c>
      <c r="X7">
        <v>3.6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1</v>
      </c>
      <c r="AF7" t="s">
        <v>5</v>
      </c>
      <c r="AG7">
        <v>3.6</v>
      </c>
      <c r="AH7">
        <v>2</v>
      </c>
      <c r="AI7">
        <v>31331027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ROW(Source!A38)</f>
        <v>38</v>
      </c>
      <c r="B8">
        <v>31331025</v>
      </c>
      <c r="C8">
        <v>31331024</v>
      </c>
      <c r="D8">
        <v>28953743</v>
      </c>
      <c r="E8">
        <v>13</v>
      </c>
      <c r="F8">
        <v>1</v>
      </c>
      <c r="G8">
        <v>13</v>
      </c>
      <c r="H8">
        <v>1</v>
      </c>
      <c r="I8" t="s">
        <v>176</v>
      </c>
      <c r="J8" t="s">
        <v>5</v>
      </c>
      <c r="K8" t="s">
        <v>177</v>
      </c>
      <c r="L8">
        <v>1191</v>
      </c>
      <c r="N8">
        <v>1013</v>
      </c>
      <c r="O8" t="s">
        <v>178</v>
      </c>
      <c r="P8" t="s">
        <v>178</v>
      </c>
      <c r="Q8">
        <v>1</v>
      </c>
      <c r="X8">
        <v>0.52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 t="s">
        <v>20</v>
      </c>
      <c r="AG8">
        <v>0.59799999999999998</v>
      </c>
      <c r="AH8">
        <v>2</v>
      </c>
      <c r="AI8">
        <v>31331025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ROW(Source!A40)</f>
        <v>40</v>
      </c>
      <c r="B9">
        <v>31331029</v>
      </c>
      <c r="C9">
        <v>31331028</v>
      </c>
      <c r="D9">
        <v>28953743</v>
      </c>
      <c r="E9">
        <v>13</v>
      </c>
      <c r="F9">
        <v>1</v>
      </c>
      <c r="G9">
        <v>13</v>
      </c>
      <c r="H9">
        <v>1</v>
      </c>
      <c r="I9" t="s">
        <v>176</v>
      </c>
      <c r="J9" t="s">
        <v>5</v>
      </c>
      <c r="K9" t="s">
        <v>177</v>
      </c>
      <c r="L9">
        <v>1191</v>
      </c>
      <c r="N9">
        <v>1013</v>
      </c>
      <c r="O9" t="s">
        <v>178</v>
      </c>
      <c r="P9" t="s">
        <v>178</v>
      </c>
      <c r="Q9">
        <v>1</v>
      </c>
      <c r="X9">
        <v>2.06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1</v>
      </c>
      <c r="AF9" t="s">
        <v>20</v>
      </c>
      <c r="AG9">
        <v>2.3689999999999998</v>
      </c>
      <c r="AH9">
        <v>2</v>
      </c>
      <c r="AI9">
        <v>31331029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ROW(Source!A42)</f>
        <v>42</v>
      </c>
      <c r="B10">
        <v>31332281</v>
      </c>
      <c r="C10">
        <v>31332280</v>
      </c>
      <c r="D10">
        <v>28953743</v>
      </c>
      <c r="E10">
        <v>13</v>
      </c>
      <c r="F10">
        <v>1</v>
      </c>
      <c r="G10">
        <v>13</v>
      </c>
      <c r="H10">
        <v>1</v>
      </c>
      <c r="I10" t="s">
        <v>176</v>
      </c>
      <c r="J10" t="s">
        <v>5</v>
      </c>
      <c r="K10" t="s">
        <v>177</v>
      </c>
      <c r="L10">
        <v>1191</v>
      </c>
      <c r="N10">
        <v>1013</v>
      </c>
      <c r="O10" t="s">
        <v>178</v>
      </c>
      <c r="P10" t="s">
        <v>178</v>
      </c>
      <c r="Q10">
        <v>1</v>
      </c>
      <c r="X10">
        <v>1.03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1</v>
      </c>
      <c r="AF10" t="s">
        <v>20</v>
      </c>
      <c r="AG10">
        <v>1.1844999999999999</v>
      </c>
      <c r="AH10">
        <v>2</v>
      </c>
      <c r="AI10">
        <v>31332281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ROW(Source!A43)</f>
        <v>43</v>
      </c>
      <c r="B11">
        <v>31332283</v>
      </c>
      <c r="C11">
        <v>31332282</v>
      </c>
      <c r="D11">
        <v>28953743</v>
      </c>
      <c r="E11">
        <v>13</v>
      </c>
      <c r="F11">
        <v>1</v>
      </c>
      <c r="G11">
        <v>13</v>
      </c>
      <c r="H11">
        <v>1</v>
      </c>
      <c r="I11" t="s">
        <v>176</v>
      </c>
      <c r="J11" t="s">
        <v>5</v>
      </c>
      <c r="K11" t="s">
        <v>177</v>
      </c>
      <c r="L11">
        <v>1191</v>
      </c>
      <c r="N11">
        <v>1013</v>
      </c>
      <c r="O11" t="s">
        <v>178</v>
      </c>
      <c r="P11" t="s">
        <v>178</v>
      </c>
      <c r="Q11">
        <v>1</v>
      </c>
      <c r="X11">
        <v>20.3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1</v>
      </c>
      <c r="AF11" t="s">
        <v>20</v>
      </c>
      <c r="AG11">
        <v>23.344999999999999</v>
      </c>
      <c r="AH11">
        <v>2</v>
      </c>
      <c r="AI11">
        <v>31332283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ROW(Source!A78)</f>
        <v>78</v>
      </c>
      <c r="B12">
        <v>31332243</v>
      </c>
      <c r="C12">
        <v>31332241</v>
      </c>
      <c r="D12">
        <v>28953743</v>
      </c>
      <c r="E12">
        <v>13</v>
      </c>
      <c r="F12">
        <v>1</v>
      </c>
      <c r="G12">
        <v>13</v>
      </c>
      <c r="H12">
        <v>1</v>
      </c>
      <c r="I12" t="s">
        <v>176</v>
      </c>
      <c r="J12" t="s">
        <v>5</v>
      </c>
      <c r="K12" t="s">
        <v>177</v>
      </c>
      <c r="L12">
        <v>1191</v>
      </c>
      <c r="N12">
        <v>1013</v>
      </c>
      <c r="O12" t="s">
        <v>178</v>
      </c>
      <c r="P12" t="s">
        <v>178</v>
      </c>
      <c r="Q12">
        <v>1</v>
      </c>
      <c r="X12">
        <v>145.6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1</v>
      </c>
      <c r="AF12" t="s">
        <v>20</v>
      </c>
      <c r="AG12">
        <v>167.43999999999997</v>
      </c>
      <c r="AH12">
        <v>2</v>
      </c>
      <c r="AI12">
        <v>31332242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ROW(Source!A81)</f>
        <v>81</v>
      </c>
      <c r="B13">
        <v>31330760</v>
      </c>
      <c r="C13">
        <v>31330759</v>
      </c>
      <c r="D13">
        <v>28953743</v>
      </c>
      <c r="E13">
        <v>13</v>
      </c>
      <c r="F13">
        <v>1</v>
      </c>
      <c r="G13">
        <v>13</v>
      </c>
      <c r="H13">
        <v>1</v>
      </c>
      <c r="I13" t="s">
        <v>176</v>
      </c>
      <c r="J13" t="s">
        <v>5</v>
      </c>
      <c r="K13" t="s">
        <v>177</v>
      </c>
      <c r="L13">
        <v>1191</v>
      </c>
      <c r="N13">
        <v>1013</v>
      </c>
      <c r="O13" t="s">
        <v>178</v>
      </c>
      <c r="P13" t="s">
        <v>178</v>
      </c>
      <c r="Q13">
        <v>1</v>
      </c>
      <c r="X13">
        <v>1.4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1</v>
      </c>
      <c r="AF13" t="s">
        <v>155</v>
      </c>
      <c r="AG13">
        <v>1.512</v>
      </c>
      <c r="AH13">
        <v>2</v>
      </c>
      <c r="AI13">
        <v>31330760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ROW(Source!A82)</f>
        <v>82</v>
      </c>
      <c r="B14">
        <v>31332251</v>
      </c>
      <c r="C14">
        <v>31332250</v>
      </c>
      <c r="D14">
        <v>28953743</v>
      </c>
      <c r="E14">
        <v>13</v>
      </c>
      <c r="F14">
        <v>1</v>
      </c>
      <c r="G14">
        <v>13</v>
      </c>
      <c r="H14">
        <v>1</v>
      </c>
      <c r="I14" t="s">
        <v>176</v>
      </c>
      <c r="J14" t="s">
        <v>5</v>
      </c>
      <c r="K14" t="s">
        <v>177</v>
      </c>
      <c r="L14">
        <v>1191</v>
      </c>
      <c r="N14">
        <v>1013</v>
      </c>
      <c r="O14" t="s">
        <v>178</v>
      </c>
      <c r="P14" t="s">
        <v>178</v>
      </c>
      <c r="Q14">
        <v>1</v>
      </c>
      <c r="X14">
        <v>56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 t="s">
        <v>165</v>
      </c>
      <c r="AG14">
        <v>75.600000000000009</v>
      </c>
      <c r="AH14">
        <v>2</v>
      </c>
      <c r="AI14">
        <v>31332251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по ТСН-2001_3</vt:lpstr>
      <vt:lpstr>Source</vt:lpstr>
      <vt:lpstr>SourceObSm</vt:lpstr>
      <vt:lpstr>SmtRes</vt:lpstr>
      <vt:lpstr>EtalonRes</vt:lpstr>
      <vt:lpstr>'Смета по ТСН-2001_3'!Заголовки_для_печати</vt:lpstr>
      <vt:lpstr>'Смета по ТСН-2001_3'!Область_печати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Nizamova, Elvina R.</dc:creator>
  <cp:lastModifiedBy>Adm</cp:lastModifiedBy>
  <dcterms:created xsi:type="dcterms:W3CDTF">2019-04-08T14:03:39Z</dcterms:created>
  <dcterms:modified xsi:type="dcterms:W3CDTF">2019-04-08T14:09:41Z</dcterms:modified>
</cp:coreProperties>
</file>