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EW9\Desktop\"/>
    </mc:Choice>
  </mc:AlternateContent>
  <bookViews>
    <workbookView xWindow="0" yWindow="0" windowWidth="28800" windowHeight="12330"/>
  </bookViews>
  <sheets>
    <sheet name="Смета по ТСН-2001" sheetId="5" r:id="rId1"/>
    <sheet name="Объектная смета" sheetId="6" r:id="rId2"/>
    <sheet name="Source" sheetId="1" r:id="rId3"/>
    <sheet name="SourceObSm" sheetId="2" r:id="rId4"/>
    <sheet name="SmtRes" sheetId="3" r:id="rId5"/>
    <sheet name="EtalonRes" sheetId="4" r:id="rId6"/>
  </sheets>
  <definedNames>
    <definedName name="_xlnm.Print_Titles" localSheetId="1">'Объектная смета'!$23:$23</definedName>
    <definedName name="_xlnm.Print_Titles" localSheetId="0">'Смета по ТСН-2001'!$24:$24</definedName>
    <definedName name="_xlnm.Print_Area" localSheetId="0">'Смета по ТСН-2001'!$A$1:$K$626</definedName>
  </definedNames>
  <calcPr calcId="162913"/>
</workbook>
</file>

<file path=xl/calcChain.xml><?xml version="1.0" encoding="utf-8"?>
<calcChain xmlns="http://schemas.openxmlformats.org/spreadsheetml/2006/main">
  <c r="F38" i="6" l="1"/>
  <c r="C38" i="6"/>
  <c r="F35" i="6"/>
  <c r="C35" i="6"/>
  <c r="H32" i="6"/>
  <c r="C32" i="6"/>
  <c r="D29" i="6"/>
  <c r="I25" i="6"/>
  <c r="H25" i="6"/>
  <c r="G25" i="6"/>
  <c r="F25" i="6"/>
  <c r="E25" i="6"/>
  <c r="D25" i="6"/>
  <c r="I24" i="6"/>
  <c r="H24" i="6"/>
  <c r="G24" i="6"/>
  <c r="F24" i="6"/>
  <c r="E24" i="6"/>
  <c r="D24" i="6"/>
  <c r="J24" i="6"/>
  <c r="C24" i="6"/>
  <c r="B24" i="6"/>
  <c r="E17" i="6"/>
  <c r="D17" i="6"/>
  <c r="D15" i="6"/>
  <c r="D13" i="6"/>
  <c r="D11" i="6"/>
  <c r="D8" i="6"/>
  <c r="B4" i="6"/>
  <c r="A1" i="6"/>
  <c r="H624" i="5"/>
  <c r="H621" i="5"/>
  <c r="C624" i="5"/>
  <c r="C621" i="5"/>
  <c r="H618" i="5"/>
  <c r="J618" i="5"/>
  <c r="H617" i="5"/>
  <c r="J617" i="5"/>
  <c r="J21" i="5"/>
  <c r="J20" i="5"/>
  <c r="J19" i="5"/>
  <c r="J18" i="5"/>
  <c r="J17" i="5"/>
  <c r="J16" i="5"/>
  <c r="I21" i="5"/>
  <c r="I20" i="5"/>
  <c r="I19" i="5"/>
  <c r="I18" i="5"/>
  <c r="I17" i="5"/>
  <c r="I16" i="5"/>
  <c r="H615" i="5"/>
  <c r="J615" i="5"/>
  <c r="H614" i="5"/>
  <c r="J614" i="5"/>
  <c r="A614" i="5"/>
  <c r="H612" i="5"/>
  <c r="J612" i="5"/>
  <c r="H611" i="5"/>
  <c r="J611" i="5"/>
  <c r="A611" i="5"/>
  <c r="H609" i="5"/>
  <c r="J609" i="5"/>
  <c r="H608" i="5"/>
  <c r="J608" i="5"/>
  <c r="A608" i="5"/>
  <c r="AA606" i="5"/>
  <c r="Z606" i="5"/>
  <c r="Y606" i="5"/>
  <c r="X606" i="5"/>
  <c r="O606" i="5"/>
  <c r="H606" i="5"/>
  <c r="P606" i="5"/>
  <c r="J606" i="5"/>
  <c r="K605" i="5"/>
  <c r="J605" i="5"/>
  <c r="I605" i="5"/>
  <c r="E605" i="5"/>
  <c r="K604" i="5"/>
  <c r="J604" i="5"/>
  <c r="W604" i="5"/>
  <c r="I604" i="5"/>
  <c r="H604" i="5"/>
  <c r="G604" i="5"/>
  <c r="F604" i="5"/>
  <c r="K603" i="5"/>
  <c r="J603" i="5"/>
  <c r="I603" i="5"/>
  <c r="H603" i="5"/>
  <c r="G603" i="5"/>
  <c r="F603" i="5"/>
  <c r="C602" i="5"/>
  <c r="V601" i="5"/>
  <c r="T601" i="5"/>
  <c r="R601" i="5"/>
  <c r="U601" i="5"/>
  <c r="S601" i="5"/>
  <c r="Q601" i="5"/>
  <c r="E601" i="5"/>
  <c r="D601" i="5"/>
  <c r="C601" i="5"/>
  <c r="B601" i="5"/>
  <c r="A601" i="5"/>
  <c r="AA600" i="5"/>
  <c r="Z600" i="5"/>
  <c r="Y600" i="5"/>
  <c r="X600" i="5"/>
  <c r="O600" i="5"/>
  <c r="H600" i="5"/>
  <c r="P600" i="5"/>
  <c r="J600" i="5"/>
  <c r="I599" i="5"/>
  <c r="H599" i="5"/>
  <c r="G599" i="5"/>
  <c r="E599" i="5"/>
  <c r="K598" i="5"/>
  <c r="J598" i="5"/>
  <c r="I598" i="5"/>
  <c r="E598" i="5"/>
  <c r="K597" i="5"/>
  <c r="J597" i="5"/>
  <c r="I597" i="5"/>
  <c r="E597" i="5"/>
  <c r="K596" i="5"/>
  <c r="J596" i="5"/>
  <c r="W596" i="5"/>
  <c r="I596" i="5"/>
  <c r="H596" i="5"/>
  <c r="G596" i="5"/>
  <c r="F596" i="5"/>
  <c r="V595" i="5"/>
  <c r="T595" i="5"/>
  <c r="R595" i="5"/>
  <c r="U595" i="5"/>
  <c r="S595" i="5"/>
  <c r="Q595" i="5"/>
  <c r="E595" i="5"/>
  <c r="D595" i="5"/>
  <c r="C595" i="5"/>
  <c r="B595" i="5"/>
  <c r="A595" i="5"/>
  <c r="AA594" i="5"/>
  <c r="Z594" i="5"/>
  <c r="Y594" i="5"/>
  <c r="X594" i="5"/>
  <c r="O594" i="5"/>
  <c r="H594" i="5"/>
  <c r="P594" i="5"/>
  <c r="J594" i="5"/>
  <c r="I593" i="5"/>
  <c r="H593" i="5"/>
  <c r="G593" i="5"/>
  <c r="E593" i="5"/>
  <c r="K592" i="5"/>
  <c r="J592" i="5"/>
  <c r="I592" i="5"/>
  <c r="E592" i="5"/>
  <c r="K591" i="5"/>
  <c r="J591" i="5"/>
  <c r="I591" i="5"/>
  <c r="E591" i="5"/>
  <c r="K590" i="5"/>
  <c r="J590" i="5"/>
  <c r="W590" i="5"/>
  <c r="I590" i="5"/>
  <c r="H590" i="5"/>
  <c r="G590" i="5"/>
  <c r="F590" i="5"/>
  <c r="V589" i="5"/>
  <c r="T589" i="5"/>
  <c r="R589" i="5"/>
  <c r="U589" i="5"/>
  <c r="S589" i="5"/>
  <c r="Q589" i="5"/>
  <c r="E589" i="5"/>
  <c r="D589" i="5"/>
  <c r="C589" i="5"/>
  <c r="B589" i="5"/>
  <c r="A589" i="5"/>
  <c r="AA588" i="5"/>
  <c r="Z588" i="5"/>
  <c r="Y588" i="5"/>
  <c r="X588" i="5"/>
  <c r="O588" i="5"/>
  <c r="H588" i="5"/>
  <c r="P588" i="5"/>
  <c r="J588" i="5"/>
  <c r="I587" i="5"/>
  <c r="H587" i="5"/>
  <c r="G587" i="5"/>
  <c r="E587" i="5"/>
  <c r="K586" i="5"/>
  <c r="J586" i="5"/>
  <c r="I586" i="5"/>
  <c r="E586" i="5"/>
  <c r="K585" i="5"/>
  <c r="J585" i="5"/>
  <c r="I585" i="5"/>
  <c r="E585" i="5"/>
  <c r="K584" i="5"/>
  <c r="J584" i="5"/>
  <c r="W584" i="5"/>
  <c r="I584" i="5"/>
  <c r="H584" i="5"/>
  <c r="G584" i="5"/>
  <c r="F584" i="5"/>
  <c r="V583" i="5"/>
  <c r="T583" i="5"/>
  <c r="R583" i="5"/>
  <c r="U583" i="5"/>
  <c r="S583" i="5"/>
  <c r="Q583" i="5"/>
  <c r="E583" i="5"/>
  <c r="D583" i="5"/>
  <c r="C583" i="5"/>
  <c r="B583" i="5"/>
  <c r="A583" i="5"/>
  <c r="AA582" i="5"/>
  <c r="Z582" i="5"/>
  <c r="Y582" i="5"/>
  <c r="X582" i="5"/>
  <c r="O582" i="5"/>
  <c r="H582" i="5"/>
  <c r="P582" i="5"/>
  <c r="J582" i="5"/>
  <c r="I581" i="5"/>
  <c r="H581" i="5"/>
  <c r="G581" i="5"/>
  <c r="E581" i="5"/>
  <c r="K580" i="5"/>
  <c r="J580" i="5"/>
  <c r="I580" i="5"/>
  <c r="E580" i="5"/>
  <c r="K579" i="5"/>
  <c r="J579" i="5"/>
  <c r="I579" i="5"/>
  <c r="E579" i="5"/>
  <c r="K578" i="5"/>
  <c r="J578" i="5"/>
  <c r="W578" i="5"/>
  <c r="I578" i="5"/>
  <c r="H578" i="5"/>
  <c r="G578" i="5"/>
  <c r="F578" i="5"/>
  <c r="V577" i="5"/>
  <c r="T577" i="5"/>
  <c r="R577" i="5"/>
  <c r="U577" i="5"/>
  <c r="S577" i="5"/>
  <c r="Q577" i="5"/>
  <c r="E577" i="5"/>
  <c r="D577" i="5"/>
  <c r="C577" i="5"/>
  <c r="B577" i="5"/>
  <c r="A577" i="5"/>
  <c r="AA576" i="5"/>
  <c r="Z576" i="5"/>
  <c r="Y576" i="5"/>
  <c r="X576" i="5"/>
  <c r="O576" i="5"/>
  <c r="H576" i="5"/>
  <c r="P576" i="5"/>
  <c r="J576" i="5"/>
  <c r="I575" i="5"/>
  <c r="H575" i="5"/>
  <c r="G575" i="5"/>
  <c r="E575" i="5"/>
  <c r="K574" i="5"/>
  <c r="J574" i="5"/>
  <c r="I574" i="5"/>
  <c r="E574" i="5"/>
  <c r="K573" i="5"/>
  <c r="J573" i="5"/>
  <c r="I573" i="5"/>
  <c r="E573" i="5"/>
  <c r="K572" i="5"/>
  <c r="J572" i="5"/>
  <c r="W572" i="5"/>
  <c r="I572" i="5"/>
  <c r="H572" i="5"/>
  <c r="G572" i="5"/>
  <c r="F572" i="5"/>
  <c r="V571" i="5"/>
  <c r="T571" i="5"/>
  <c r="R571" i="5"/>
  <c r="U571" i="5"/>
  <c r="S571" i="5"/>
  <c r="Q571" i="5"/>
  <c r="E571" i="5"/>
  <c r="D571" i="5"/>
  <c r="C571" i="5"/>
  <c r="B571" i="5"/>
  <c r="A571" i="5"/>
  <c r="AA570" i="5"/>
  <c r="Z570" i="5"/>
  <c r="Y570" i="5"/>
  <c r="X570" i="5"/>
  <c r="O570" i="5"/>
  <c r="H570" i="5"/>
  <c r="P570" i="5"/>
  <c r="J570" i="5"/>
  <c r="I569" i="5"/>
  <c r="H569" i="5"/>
  <c r="G569" i="5"/>
  <c r="E569" i="5"/>
  <c r="K568" i="5"/>
  <c r="J568" i="5"/>
  <c r="I568" i="5"/>
  <c r="E568" i="5"/>
  <c r="K567" i="5"/>
  <c r="J567" i="5"/>
  <c r="I567" i="5"/>
  <c r="E567" i="5"/>
  <c r="K566" i="5"/>
  <c r="J566" i="5"/>
  <c r="W566" i="5"/>
  <c r="I566" i="5"/>
  <c r="H566" i="5"/>
  <c r="G566" i="5"/>
  <c r="F566" i="5"/>
  <c r="V565" i="5"/>
  <c r="T565" i="5"/>
  <c r="R565" i="5"/>
  <c r="U565" i="5"/>
  <c r="S565" i="5"/>
  <c r="Q565" i="5"/>
  <c r="E565" i="5"/>
  <c r="D565" i="5"/>
  <c r="C565" i="5"/>
  <c r="B565" i="5"/>
  <c r="A565" i="5"/>
  <c r="AA564" i="5"/>
  <c r="Z564" i="5"/>
  <c r="Y564" i="5"/>
  <c r="X564" i="5"/>
  <c r="O564" i="5"/>
  <c r="H564" i="5"/>
  <c r="P564" i="5"/>
  <c r="J564" i="5"/>
  <c r="I563" i="5"/>
  <c r="H563" i="5"/>
  <c r="G563" i="5"/>
  <c r="E563" i="5"/>
  <c r="K562" i="5"/>
  <c r="J562" i="5"/>
  <c r="I562" i="5"/>
  <c r="E562" i="5"/>
  <c r="K561" i="5"/>
  <c r="J561" i="5"/>
  <c r="I561" i="5"/>
  <c r="E561" i="5"/>
  <c r="K560" i="5"/>
  <c r="J560" i="5"/>
  <c r="W560" i="5"/>
  <c r="I560" i="5"/>
  <c r="H560" i="5"/>
  <c r="G560" i="5"/>
  <c r="F560" i="5"/>
  <c r="V559" i="5"/>
  <c r="T559" i="5"/>
  <c r="R559" i="5"/>
  <c r="U559" i="5"/>
  <c r="S559" i="5"/>
  <c r="Q559" i="5"/>
  <c r="E559" i="5"/>
  <c r="D559" i="5"/>
  <c r="C559" i="5"/>
  <c r="B559" i="5"/>
  <c r="A559" i="5"/>
  <c r="AA558" i="5"/>
  <c r="Z558" i="5"/>
  <c r="Y558" i="5"/>
  <c r="X558" i="5"/>
  <c r="O558" i="5"/>
  <c r="H558" i="5"/>
  <c r="P558" i="5"/>
  <c r="J558" i="5"/>
  <c r="I557" i="5"/>
  <c r="H557" i="5"/>
  <c r="G557" i="5"/>
  <c r="E557" i="5"/>
  <c r="K556" i="5"/>
  <c r="J556" i="5"/>
  <c r="I556" i="5"/>
  <c r="E556" i="5"/>
  <c r="K555" i="5"/>
  <c r="J555" i="5"/>
  <c r="I555" i="5"/>
  <c r="E555" i="5"/>
  <c r="K554" i="5"/>
  <c r="J554" i="5"/>
  <c r="W554" i="5"/>
  <c r="I554" i="5"/>
  <c r="H554" i="5"/>
  <c r="G554" i="5"/>
  <c r="F554" i="5"/>
  <c r="V553" i="5"/>
  <c r="T553" i="5"/>
  <c r="R553" i="5"/>
  <c r="U553" i="5"/>
  <c r="S553" i="5"/>
  <c r="Q553" i="5"/>
  <c r="E553" i="5"/>
  <c r="D553" i="5"/>
  <c r="C553" i="5"/>
  <c r="B553" i="5"/>
  <c r="A553" i="5"/>
  <c r="AA552" i="5"/>
  <c r="Z552" i="5"/>
  <c r="Y552" i="5"/>
  <c r="X552" i="5"/>
  <c r="O552" i="5"/>
  <c r="H552" i="5"/>
  <c r="P552" i="5"/>
  <c r="J552" i="5"/>
  <c r="I551" i="5"/>
  <c r="H551" i="5"/>
  <c r="G551" i="5"/>
  <c r="E551" i="5"/>
  <c r="K550" i="5"/>
  <c r="J550" i="5"/>
  <c r="I550" i="5"/>
  <c r="E550" i="5"/>
  <c r="K549" i="5"/>
  <c r="J549" i="5"/>
  <c r="I549" i="5"/>
  <c r="E549" i="5"/>
  <c r="K548" i="5"/>
  <c r="J548" i="5"/>
  <c r="W548" i="5"/>
  <c r="I548" i="5"/>
  <c r="H548" i="5"/>
  <c r="G548" i="5"/>
  <c r="F548" i="5"/>
  <c r="V547" i="5"/>
  <c r="T547" i="5"/>
  <c r="R547" i="5"/>
  <c r="U547" i="5"/>
  <c r="S547" i="5"/>
  <c r="Q547" i="5"/>
  <c r="E547" i="5"/>
  <c r="D547" i="5"/>
  <c r="C547" i="5"/>
  <c r="B547" i="5"/>
  <c r="A547" i="5"/>
  <c r="A546" i="5"/>
  <c r="H544" i="5"/>
  <c r="J544" i="5"/>
  <c r="H543" i="5"/>
  <c r="J543" i="5"/>
  <c r="A543" i="5"/>
  <c r="AA541" i="5"/>
  <c r="Z541" i="5"/>
  <c r="Y541" i="5"/>
  <c r="X541" i="5"/>
  <c r="O541" i="5"/>
  <c r="H541" i="5"/>
  <c r="P541" i="5"/>
  <c r="J541" i="5"/>
  <c r="K540" i="5"/>
  <c r="J540" i="5"/>
  <c r="I540" i="5"/>
  <c r="H540" i="5"/>
  <c r="G540" i="5"/>
  <c r="F540" i="5"/>
  <c r="V540" i="5"/>
  <c r="T540" i="5"/>
  <c r="R540" i="5"/>
  <c r="U540" i="5"/>
  <c r="S540" i="5"/>
  <c r="Q540" i="5"/>
  <c r="E540" i="5"/>
  <c r="D540" i="5"/>
  <c r="C540" i="5"/>
  <c r="B540" i="5"/>
  <c r="A540" i="5"/>
  <c r="AA539" i="5"/>
  <c r="Z539" i="5"/>
  <c r="Y539" i="5"/>
  <c r="X539" i="5"/>
  <c r="O539" i="5"/>
  <c r="H539" i="5"/>
  <c r="P539" i="5"/>
  <c r="J539" i="5"/>
  <c r="I538" i="5"/>
  <c r="H538" i="5"/>
  <c r="G538" i="5"/>
  <c r="E538" i="5"/>
  <c r="K537" i="5"/>
  <c r="J537" i="5"/>
  <c r="I537" i="5"/>
  <c r="E537" i="5"/>
  <c r="K536" i="5"/>
  <c r="J536" i="5"/>
  <c r="I536" i="5"/>
  <c r="E536" i="5"/>
  <c r="K535" i="5"/>
  <c r="J535" i="5"/>
  <c r="I535" i="5"/>
  <c r="E535" i="5"/>
  <c r="K534" i="5"/>
  <c r="J534" i="5"/>
  <c r="H534" i="5"/>
  <c r="AA534" i="5"/>
  <c r="Z534" i="5"/>
  <c r="Y534" i="5"/>
  <c r="X534" i="5"/>
  <c r="I534" i="5"/>
  <c r="F534" i="5"/>
  <c r="V534" i="5"/>
  <c r="T534" i="5"/>
  <c r="R534" i="5"/>
  <c r="U534" i="5"/>
  <c r="S534" i="5"/>
  <c r="Q534" i="5"/>
  <c r="E534" i="5"/>
  <c r="D534" i="5"/>
  <c r="C534" i="5"/>
  <c r="B534" i="5"/>
  <c r="A534" i="5"/>
  <c r="K533" i="5"/>
  <c r="J533" i="5"/>
  <c r="I533" i="5"/>
  <c r="H533" i="5"/>
  <c r="G533" i="5"/>
  <c r="F533" i="5"/>
  <c r="K532" i="5"/>
  <c r="J532" i="5"/>
  <c r="W532" i="5"/>
  <c r="I532" i="5"/>
  <c r="H532" i="5"/>
  <c r="G532" i="5"/>
  <c r="F532" i="5"/>
  <c r="K531" i="5"/>
  <c r="J531" i="5"/>
  <c r="I531" i="5"/>
  <c r="H531" i="5"/>
  <c r="G531" i="5"/>
  <c r="F531" i="5"/>
  <c r="K530" i="5"/>
  <c r="J530" i="5"/>
  <c r="W530" i="5"/>
  <c r="I530" i="5"/>
  <c r="H530" i="5"/>
  <c r="G530" i="5"/>
  <c r="F530" i="5"/>
  <c r="C529" i="5"/>
  <c r="V528" i="5"/>
  <c r="T528" i="5"/>
  <c r="R528" i="5"/>
  <c r="U528" i="5"/>
  <c r="S528" i="5"/>
  <c r="Q528" i="5"/>
  <c r="E528" i="5"/>
  <c r="D528" i="5"/>
  <c r="C528" i="5"/>
  <c r="B528" i="5"/>
  <c r="A528" i="5"/>
  <c r="AA527" i="5"/>
  <c r="Z527" i="5"/>
  <c r="Y527" i="5"/>
  <c r="X527" i="5"/>
  <c r="O527" i="5"/>
  <c r="H527" i="5"/>
  <c r="P527" i="5"/>
  <c r="J527" i="5"/>
  <c r="I526" i="5"/>
  <c r="H526" i="5"/>
  <c r="G526" i="5"/>
  <c r="E526" i="5"/>
  <c r="K525" i="5"/>
  <c r="J525" i="5"/>
  <c r="I525" i="5"/>
  <c r="E525" i="5"/>
  <c r="K524" i="5"/>
  <c r="J524" i="5"/>
  <c r="I524" i="5"/>
  <c r="E524" i="5"/>
  <c r="K523" i="5"/>
  <c r="J523" i="5"/>
  <c r="I523" i="5"/>
  <c r="E523" i="5"/>
  <c r="K522" i="5"/>
  <c r="J522" i="5"/>
  <c r="H522" i="5"/>
  <c r="AA522" i="5"/>
  <c r="Z522" i="5"/>
  <c r="Y522" i="5"/>
  <c r="X522" i="5"/>
  <c r="I522" i="5"/>
  <c r="F522" i="5"/>
  <c r="V522" i="5"/>
  <c r="T522" i="5"/>
  <c r="R522" i="5"/>
  <c r="U522" i="5"/>
  <c r="S522" i="5"/>
  <c r="Q522" i="5"/>
  <c r="E522" i="5"/>
  <c r="D522" i="5"/>
  <c r="C522" i="5"/>
  <c r="B522" i="5"/>
  <c r="A522" i="5"/>
  <c r="K521" i="5"/>
  <c r="J521" i="5"/>
  <c r="I521" i="5"/>
  <c r="H521" i="5"/>
  <c r="G521" i="5"/>
  <c r="F521" i="5"/>
  <c r="K520" i="5"/>
  <c r="J520" i="5"/>
  <c r="W520" i="5"/>
  <c r="I520" i="5"/>
  <c r="H520" i="5"/>
  <c r="G520" i="5"/>
  <c r="F520" i="5"/>
  <c r="K519" i="5"/>
  <c r="J519" i="5"/>
  <c r="I519" i="5"/>
  <c r="H519" i="5"/>
  <c r="G519" i="5"/>
  <c r="F519" i="5"/>
  <c r="K518" i="5"/>
  <c r="J518" i="5"/>
  <c r="W518" i="5"/>
  <c r="I518" i="5"/>
  <c r="H518" i="5"/>
  <c r="G518" i="5"/>
  <c r="F518" i="5"/>
  <c r="C517" i="5"/>
  <c r="V516" i="5"/>
  <c r="T516" i="5"/>
  <c r="R516" i="5"/>
  <c r="U516" i="5"/>
  <c r="S516" i="5"/>
  <c r="Q516" i="5"/>
  <c r="E516" i="5"/>
  <c r="D516" i="5"/>
  <c r="C516" i="5"/>
  <c r="B516" i="5"/>
  <c r="A516" i="5"/>
  <c r="AA515" i="5"/>
  <c r="Z515" i="5"/>
  <c r="Y515" i="5"/>
  <c r="X515" i="5"/>
  <c r="O515" i="5"/>
  <c r="H515" i="5"/>
  <c r="P515" i="5"/>
  <c r="J515" i="5"/>
  <c r="I514" i="5"/>
  <c r="H514" i="5"/>
  <c r="G514" i="5"/>
  <c r="E514" i="5"/>
  <c r="K513" i="5"/>
  <c r="J513" i="5"/>
  <c r="I513" i="5"/>
  <c r="E513" i="5"/>
  <c r="K512" i="5"/>
  <c r="J512" i="5"/>
  <c r="I512" i="5"/>
  <c r="E512" i="5"/>
  <c r="K511" i="5"/>
  <c r="J511" i="5"/>
  <c r="I511" i="5"/>
  <c r="E511" i="5"/>
  <c r="K510" i="5"/>
  <c r="J510" i="5"/>
  <c r="I510" i="5"/>
  <c r="H510" i="5"/>
  <c r="G510" i="5"/>
  <c r="F510" i="5"/>
  <c r="K509" i="5"/>
  <c r="J509" i="5"/>
  <c r="W509" i="5"/>
  <c r="I509" i="5"/>
  <c r="H509" i="5"/>
  <c r="G509" i="5"/>
  <c r="F509" i="5"/>
  <c r="K508" i="5"/>
  <c r="J508" i="5"/>
  <c r="I508" i="5"/>
  <c r="H508" i="5"/>
  <c r="G508" i="5"/>
  <c r="F508" i="5"/>
  <c r="K507" i="5"/>
  <c r="J507" i="5"/>
  <c r="W507" i="5"/>
  <c r="I507" i="5"/>
  <c r="H507" i="5"/>
  <c r="G507" i="5"/>
  <c r="F507" i="5"/>
  <c r="C506" i="5"/>
  <c r="V505" i="5"/>
  <c r="T505" i="5"/>
  <c r="R505" i="5"/>
  <c r="U505" i="5"/>
  <c r="S505" i="5"/>
  <c r="Q505" i="5"/>
  <c r="E505" i="5"/>
  <c r="D505" i="5"/>
  <c r="C505" i="5"/>
  <c r="B505" i="5"/>
  <c r="A505" i="5"/>
  <c r="AA504" i="5"/>
  <c r="Z504" i="5"/>
  <c r="Y504" i="5"/>
  <c r="X504" i="5"/>
  <c r="O504" i="5"/>
  <c r="H504" i="5"/>
  <c r="P504" i="5"/>
  <c r="J504" i="5"/>
  <c r="K503" i="5"/>
  <c r="J503" i="5"/>
  <c r="I503" i="5"/>
  <c r="H503" i="5"/>
  <c r="G503" i="5"/>
  <c r="F503" i="5"/>
  <c r="V503" i="5"/>
  <c r="T503" i="5"/>
  <c r="R503" i="5"/>
  <c r="U503" i="5"/>
  <c r="S503" i="5"/>
  <c r="Q503" i="5"/>
  <c r="E503" i="5"/>
  <c r="D503" i="5"/>
  <c r="C503" i="5"/>
  <c r="B503" i="5"/>
  <c r="A503" i="5"/>
  <c r="AA502" i="5"/>
  <c r="Z502" i="5"/>
  <c r="Y502" i="5"/>
  <c r="X502" i="5"/>
  <c r="O502" i="5"/>
  <c r="H502" i="5"/>
  <c r="P502" i="5"/>
  <c r="J502" i="5"/>
  <c r="I501" i="5"/>
  <c r="H501" i="5"/>
  <c r="G501" i="5"/>
  <c r="E501" i="5"/>
  <c r="K500" i="5"/>
  <c r="J500" i="5"/>
  <c r="I500" i="5"/>
  <c r="E500" i="5"/>
  <c r="K499" i="5"/>
  <c r="J499" i="5"/>
  <c r="I499" i="5"/>
  <c r="E499" i="5"/>
  <c r="K498" i="5"/>
  <c r="J498" i="5"/>
  <c r="I498" i="5"/>
  <c r="E498" i="5"/>
  <c r="K497" i="5"/>
  <c r="J497" i="5"/>
  <c r="I497" i="5"/>
  <c r="H497" i="5"/>
  <c r="G497" i="5"/>
  <c r="F497" i="5"/>
  <c r="K496" i="5"/>
  <c r="J496" i="5"/>
  <c r="W496" i="5"/>
  <c r="I496" i="5"/>
  <c r="H496" i="5"/>
  <c r="G496" i="5"/>
  <c r="F496" i="5"/>
  <c r="K495" i="5"/>
  <c r="J495" i="5"/>
  <c r="I495" i="5"/>
  <c r="H495" i="5"/>
  <c r="G495" i="5"/>
  <c r="F495" i="5"/>
  <c r="K494" i="5"/>
  <c r="J494" i="5"/>
  <c r="W494" i="5"/>
  <c r="I494" i="5"/>
  <c r="H494" i="5"/>
  <c r="G494" i="5"/>
  <c r="F494" i="5"/>
  <c r="C493" i="5"/>
  <c r="V492" i="5"/>
  <c r="T492" i="5"/>
  <c r="R492" i="5"/>
  <c r="U492" i="5"/>
  <c r="S492" i="5"/>
  <c r="Q492" i="5"/>
  <c r="E492" i="5"/>
  <c r="D492" i="5"/>
  <c r="C492" i="5"/>
  <c r="B492" i="5"/>
  <c r="A492" i="5"/>
  <c r="AA491" i="5"/>
  <c r="Z491" i="5"/>
  <c r="Y491" i="5"/>
  <c r="X491" i="5"/>
  <c r="O491" i="5"/>
  <c r="H491" i="5"/>
  <c r="P491" i="5"/>
  <c r="J491" i="5"/>
  <c r="I490" i="5"/>
  <c r="H490" i="5"/>
  <c r="G490" i="5"/>
  <c r="E490" i="5"/>
  <c r="K489" i="5"/>
  <c r="J489" i="5"/>
  <c r="I489" i="5"/>
  <c r="E489" i="5"/>
  <c r="K488" i="5"/>
  <c r="J488" i="5"/>
  <c r="I488" i="5"/>
  <c r="E488" i="5"/>
  <c r="K487" i="5"/>
  <c r="J487" i="5"/>
  <c r="I487" i="5"/>
  <c r="E487" i="5"/>
  <c r="K486" i="5"/>
  <c r="J486" i="5"/>
  <c r="H486" i="5"/>
  <c r="AA486" i="5"/>
  <c r="Z486" i="5"/>
  <c r="Y486" i="5"/>
  <c r="X486" i="5"/>
  <c r="I486" i="5"/>
  <c r="F486" i="5"/>
  <c r="V486" i="5"/>
  <c r="T486" i="5"/>
  <c r="R486" i="5"/>
  <c r="U486" i="5"/>
  <c r="S486" i="5"/>
  <c r="Q486" i="5"/>
  <c r="E486" i="5"/>
  <c r="D486" i="5"/>
  <c r="C486" i="5"/>
  <c r="B486" i="5"/>
  <c r="A486" i="5"/>
  <c r="K485" i="5"/>
  <c r="J485" i="5"/>
  <c r="I485" i="5"/>
  <c r="H485" i="5"/>
  <c r="G485" i="5"/>
  <c r="F485" i="5"/>
  <c r="K484" i="5"/>
  <c r="J484" i="5"/>
  <c r="W484" i="5"/>
  <c r="I484" i="5"/>
  <c r="H484" i="5"/>
  <c r="G484" i="5"/>
  <c r="F484" i="5"/>
  <c r="K483" i="5"/>
  <c r="J483" i="5"/>
  <c r="I483" i="5"/>
  <c r="H483" i="5"/>
  <c r="G483" i="5"/>
  <c r="F483" i="5"/>
  <c r="K482" i="5"/>
  <c r="J482" i="5"/>
  <c r="W482" i="5"/>
  <c r="I482" i="5"/>
  <c r="H482" i="5"/>
  <c r="G482" i="5"/>
  <c r="F482" i="5"/>
  <c r="C481" i="5"/>
  <c r="V480" i="5"/>
  <c r="T480" i="5"/>
  <c r="R480" i="5"/>
  <c r="U480" i="5"/>
  <c r="S480" i="5"/>
  <c r="Q480" i="5"/>
  <c r="E480" i="5"/>
  <c r="D480" i="5"/>
  <c r="C480" i="5"/>
  <c r="B480" i="5"/>
  <c r="A480" i="5"/>
  <c r="AA479" i="5"/>
  <c r="Z479" i="5"/>
  <c r="Y479" i="5"/>
  <c r="X479" i="5"/>
  <c r="O479" i="5"/>
  <c r="H479" i="5"/>
  <c r="P479" i="5"/>
  <c r="J479" i="5"/>
  <c r="K478" i="5"/>
  <c r="J478" i="5"/>
  <c r="I478" i="5"/>
  <c r="H478" i="5"/>
  <c r="G478" i="5"/>
  <c r="F478" i="5"/>
  <c r="V478" i="5"/>
  <c r="T478" i="5"/>
  <c r="R478" i="5"/>
  <c r="U478" i="5"/>
  <c r="S478" i="5"/>
  <c r="Q478" i="5"/>
  <c r="E478" i="5"/>
  <c r="D478" i="5"/>
  <c r="B478" i="5"/>
  <c r="A478" i="5"/>
  <c r="AA477" i="5"/>
  <c r="Z477" i="5"/>
  <c r="Y477" i="5"/>
  <c r="X477" i="5"/>
  <c r="O477" i="5"/>
  <c r="H477" i="5"/>
  <c r="P477" i="5"/>
  <c r="J477" i="5"/>
  <c r="I476" i="5"/>
  <c r="H476" i="5"/>
  <c r="G476" i="5"/>
  <c r="E476" i="5"/>
  <c r="K475" i="5"/>
  <c r="J475" i="5"/>
  <c r="I475" i="5"/>
  <c r="E475" i="5"/>
  <c r="K474" i="5"/>
  <c r="J474" i="5"/>
  <c r="I474" i="5"/>
  <c r="E474" i="5"/>
  <c r="K473" i="5"/>
  <c r="J473" i="5"/>
  <c r="I473" i="5"/>
  <c r="E473" i="5"/>
  <c r="K472" i="5"/>
  <c r="J472" i="5"/>
  <c r="I472" i="5"/>
  <c r="H472" i="5"/>
  <c r="G472" i="5"/>
  <c r="F472" i="5"/>
  <c r="K471" i="5"/>
  <c r="J471" i="5"/>
  <c r="W471" i="5"/>
  <c r="I471" i="5"/>
  <c r="H471" i="5"/>
  <c r="G471" i="5"/>
  <c r="F471" i="5"/>
  <c r="K470" i="5"/>
  <c r="J470" i="5"/>
  <c r="I470" i="5"/>
  <c r="H470" i="5"/>
  <c r="G470" i="5"/>
  <c r="F470" i="5"/>
  <c r="K469" i="5"/>
  <c r="J469" i="5"/>
  <c r="W469" i="5"/>
  <c r="I469" i="5"/>
  <c r="H469" i="5"/>
  <c r="G469" i="5"/>
  <c r="F469" i="5"/>
  <c r="V468" i="5"/>
  <c r="T468" i="5"/>
  <c r="R468" i="5"/>
  <c r="U468" i="5"/>
  <c r="S468" i="5"/>
  <c r="Q468" i="5"/>
  <c r="E468" i="5"/>
  <c r="D468" i="5"/>
  <c r="C468" i="5"/>
  <c r="B468" i="5"/>
  <c r="A468" i="5"/>
  <c r="AA467" i="5"/>
  <c r="Z467" i="5"/>
  <c r="Y467" i="5"/>
  <c r="X467" i="5"/>
  <c r="O467" i="5"/>
  <c r="H467" i="5"/>
  <c r="P467" i="5"/>
  <c r="J467" i="5"/>
  <c r="K466" i="5"/>
  <c r="J466" i="5"/>
  <c r="I466" i="5"/>
  <c r="H466" i="5"/>
  <c r="G466" i="5"/>
  <c r="F466" i="5"/>
  <c r="V466" i="5"/>
  <c r="T466" i="5"/>
  <c r="R466" i="5"/>
  <c r="U466" i="5"/>
  <c r="S466" i="5"/>
  <c r="Q466" i="5"/>
  <c r="E466" i="5"/>
  <c r="D466" i="5"/>
  <c r="B466" i="5"/>
  <c r="A466" i="5"/>
  <c r="AA465" i="5"/>
  <c r="Z465" i="5"/>
  <c r="Y465" i="5"/>
  <c r="X465" i="5"/>
  <c r="O465" i="5"/>
  <c r="H465" i="5"/>
  <c r="P465" i="5"/>
  <c r="J465" i="5"/>
  <c r="I464" i="5"/>
  <c r="H464" i="5"/>
  <c r="G464" i="5"/>
  <c r="E464" i="5"/>
  <c r="K463" i="5"/>
  <c r="J463" i="5"/>
  <c r="I463" i="5"/>
  <c r="E463" i="5"/>
  <c r="K462" i="5"/>
  <c r="J462" i="5"/>
  <c r="I462" i="5"/>
  <c r="E462" i="5"/>
  <c r="K461" i="5"/>
  <c r="J461" i="5"/>
  <c r="I461" i="5"/>
  <c r="E461" i="5"/>
  <c r="K460" i="5"/>
  <c r="J460" i="5"/>
  <c r="I460" i="5"/>
  <c r="H460" i="5"/>
  <c r="G460" i="5"/>
  <c r="F460" i="5"/>
  <c r="K459" i="5"/>
  <c r="J459" i="5"/>
  <c r="W459" i="5"/>
  <c r="I459" i="5"/>
  <c r="H459" i="5"/>
  <c r="G459" i="5"/>
  <c r="F459" i="5"/>
  <c r="K458" i="5"/>
  <c r="J458" i="5"/>
  <c r="I458" i="5"/>
  <c r="H458" i="5"/>
  <c r="G458" i="5"/>
  <c r="F458" i="5"/>
  <c r="K457" i="5"/>
  <c r="J457" i="5"/>
  <c r="W457" i="5"/>
  <c r="I457" i="5"/>
  <c r="H457" i="5"/>
  <c r="G457" i="5"/>
  <c r="F457" i="5"/>
  <c r="V456" i="5"/>
  <c r="T456" i="5"/>
  <c r="R456" i="5"/>
  <c r="U456" i="5"/>
  <c r="S456" i="5"/>
  <c r="Q456" i="5"/>
  <c r="E456" i="5"/>
  <c r="D456" i="5"/>
  <c r="C456" i="5"/>
  <c r="B456" i="5"/>
  <c r="A456" i="5"/>
  <c r="AA455" i="5"/>
  <c r="Z455" i="5"/>
  <c r="Y455" i="5"/>
  <c r="X455" i="5"/>
  <c r="O455" i="5"/>
  <c r="H455" i="5"/>
  <c r="P455" i="5"/>
  <c r="J455" i="5"/>
  <c r="I454" i="5"/>
  <c r="H454" i="5"/>
  <c r="G454" i="5"/>
  <c r="E454" i="5"/>
  <c r="K453" i="5"/>
  <c r="J453" i="5"/>
  <c r="I453" i="5"/>
  <c r="E453" i="5"/>
  <c r="K452" i="5"/>
  <c r="J452" i="5"/>
  <c r="I452" i="5"/>
  <c r="E452" i="5"/>
  <c r="K451" i="5"/>
  <c r="J451" i="5"/>
  <c r="H451" i="5"/>
  <c r="AA451" i="5"/>
  <c r="Z451" i="5"/>
  <c r="Y451" i="5"/>
  <c r="X451" i="5"/>
  <c r="I451" i="5"/>
  <c r="F451" i="5"/>
  <c r="V451" i="5"/>
  <c r="T451" i="5"/>
  <c r="R451" i="5"/>
  <c r="U451" i="5"/>
  <c r="S451" i="5"/>
  <c r="Q451" i="5"/>
  <c r="E451" i="5"/>
  <c r="D451" i="5"/>
  <c r="C451" i="5"/>
  <c r="B451" i="5"/>
  <c r="A451" i="5"/>
  <c r="K450" i="5"/>
  <c r="J450" i="5"/>
  <c r="W450" i="5"/>
  <c r="I450" i="5"/>
  <c r="H450" i="5"/>
  <c r="G450" i="5"/>
  <c r="F450" i="5"/>
  <c r="V449" i="5"/>
  <c r="T449" i="5"/>
  <c r="R449" i="5"/>
  <c r="U449" i="5"/>
  <c r="S449" i="5"/>
  <c r="Q449" i="5"/>
  <c r="E449" i="5"/>
  <c r="D449" i="5"/>
  <c r="C449" i="5"/>
  <c r="B449" i="5"/>
  <c r="A449" i="5"/>
  <c r="A448" i="5"/>
  <c r="H446" i="5"/>
  <c r="J446" i="5"/>
  <c r="H445" i="5"/>
  <c r="J445" i="5"/>
  <c r="A445" i="5"/>
  <c r="AA443" i="5"/>
  <c r="Z443" i="5"/>
  <c r="Y443" i="5"/>
  <c r="X443" i="5"/>
  <c r="O443" i="5"/>
  <c r="H443" i="5"/>
  <c r="P443" i="5"/>
  <c r="J443" i="5"/>
  <c r="K442" i="5"/>
  <c r="J442" i="5"/>
  <c r="I442" i="5"/>
  <c r="H442" i="5"/>
  <c r="G442" i="5"/>
  <c r="F442" i="5"/>
  <c r="V442" i="5"/>
  <c r="T442" i="5"/>
  <c r="R442" i="5"/>
  <c r="U442" i="5"/>
  <c r="S442" i="5"/>
  <c r="Q442" i="5"/>
  <c r="E442" i="5"/>
  <c r="D442" i="5"/>
  <c r="C442" i="5"/>
  <c r="B442" i="5"/>
  <c r="A442" i="5"/>
  <c r="AA441" i="5"/>
  <c r="Z441" i="5"/>
  <c r="Y441" i="5"/>
  <c r="X441" i="5"/>
  <c r="O441" i="5"/>
  <c r="H441" i="5"/>
  <c r="P441" i="5"/>
  <c r="J441" i="5"/>
  <c r="K440" i="5"/>
  <c r="J440" i="5"/>
  <c r="I440" i="5"/>
  <c r="H440" i="5"/>
  <c r="G440" i="5"/>
  <c r="F440" i="5"/>
  <c r="V440" i="5"/>
  <c r="T440" i="5"/>
  <c r="R440" i="5"/>
  <c r="U440" i="5"/>
  <c r="S440" i="5"/>
  <c r="Q440" i="5"/>
  <c r="E440" i="5"/>
  <c r="D440" i="5"/>
  <c r="C440" i="5"/>
  <c r="B440" i="5"/>
  <c r="A440" i="5"/>
  <c r="AA439" i="5"/>
  <c r="Z439" i="5"/>
  <c r="Y439" i="5"/>
  <c r="X439" i="5"/>
  <c r="O439" i="5"/>
  <c r="H439" i="5"/>
  <c r="P439" i="5"/>
  <c r="J439" i="5"/>
  <c r="I438" i="5"/>
  <c r="H438" i="5"/>
  <c r="G438" i="5"/>
  <c r="E438" i="5"/>
  <c r="K437" i="5"/>
  <c r="J437" i="5"/>
  <c r="I437" i="5"/>
  <c r="E437" i="5"/>
  <c r="K436" i="5"/>
  <c r="J436" i="5"/>
  <c r="I436" i="5"/>
  <c r="E436" i="5"/>
  <c r="K435" i="5"/>
  <c r="J435" i="5"/>
  <c r="I435" i="5"/>
  <c r="H435" i="5"/>
  <c r="G435" i="5"/>
  <c r="F435" i="5"/>
  <c r="K434" i="5"/>
  <c r="J434" i="5"/>
  <c r="W434" i="5"/>
  <c r="I434" i="5"/>
  <c r="H434" i="5"/>
  <c r="G434" i="5"/>
  <c r="F434" i="5"/>
  <c r="C433" i="5"/>
  <c r="V432" i="5"/>
  <c r="T432" i="5"/>
  <c r="R432" i="5"/>
  <c r="U432" i="5"/>
  <c r="S432" i="5"/>
  <c r="Q432" i="5"/>
  <c r="E432" i="5"/>
  <c r="D432" i="5"/>
  <c r="C432" i="5"/>
  <c r="B432" i="5"/>
  <c r="A432" i="5"/>
  <c r="A431" i="5"/>
  <c r="H429" i="5"/>
  <c r="J429" i="5"/>
  <c r="H428" i="5"/>
  <c r="J428" i="5"/>
  <c r="A428" i="5"/>
  <c r="AA426" i="5"/>
  <c r="Z426" i="5"/>
  <c r="Y426" i="5"/>
  <c r="X426" i="5"/>
  <c r="O426" i="5"/>
  <c r="H426" i="5"/>
  <c r="P426" i="5"/>
  <c r="J426" i="5"/>
  <c r="K425" i="5"/>
  <c r="J425" i="5"/>
  <c r="I425" i="5"/>
  <c r="H425" i="5"/>
  <c r="G425" i="5"/>
  <c r="F425" i="5"/>
  <c r="V425" i="5"/>
  <c r="T425" i="5"/>
  <c r="R425" i="5"/>
  <c r="U425" i="5"/>
  <c r="S425" i="5"/>
  <c r="Q425" i="5"/>
  <c r="E425" i="5"/>
  <c r="D425" i="5"/>
  <c r="C425" i="5"/>
  <c r="B425" i="5"/>
  <c r="A425" i="5"/>
  <c r="AA424" i="5"/>
  <c r="Z424" i="5"/>
  <c r="Y424" i="5"/>
  <c r="X424" i="5"/>
  <c r="O424" i="5"/>
  <c r="H424" i="5"/>
  <c r="P424" i="5"/>
  <c r="J424" i="5"/>
  <c r="I423" i="5"/>
  <c r="H423" i="5"/>
  <c r="G423" i="5"/>
  <c r="E423" i="5"/>
  <c r="K422" i="5"/>
  <c r="J422" i="5"/>
  <c r="I422" i="5"/>
  <c r="E422" i="5"/>
  <c r="K421" i="5"/>
  <c r="J421" i="5"/>
  <c r="I421" i="5"/>
  <c r="E421" i="5"/>
  <c r="K420" i="5"/>
  <c r="J420" i="5"/>
  <c r="I420" i="5"/>
  <c r="E420" i="5"/>
  <c r="K419" i="5"/>
  <c r="J419" i="5"/>
  <c r="I419" i="5"/>
  <c r="H419" i="5"/>
  <c r="G419" i="5"/>
  <c r="F419" i="5"/>
  <c r="K418" i="5"/>
  <c r="J418" i="5"/>
  <c r="W418" i="5"/>
  <c r="I418" i="5"/>
  <c r="H418" i="5"/>
  <c r="G418" i="5"/>
  <c r="F418" i="5"/>
  <c r="K417" i="5"/>
  <c r="J417" i="5"/>
  <c r="I417" i="5"/>
  <c r="H417" i="5"/>
  <c r="G417" i="5"/>
  <c r="F417" i="5"/>
  <c r="K416" i="5"/>
  <c r="J416" i="5"/>
  <c r="W416" i="5"/>
  <c r="I416" i="5"/>
  <c r="H416" i="5"/>
  <c r="G416" i="5"/>
  <c r="F416" i="5"/>
  <c r="V415" i="5"/>
  <c r="T415" i="5"/>
  <c r="R415" i="5"/>
  <c r="U415" i="5"/>
  <c r="S415" i="5"/>
  <c r="Q415" i="5"/>
  <c r="E415" i="5"/>
  <c r="D415" i="5"/>
  <c r="C415" i="5"/>
  <c r="B415" i="5"/>
  <c r="A415" i="5"/>
  <c r="AA414" i="5"/>
  <c r="Z414" i="5"/>
  <c r="Y414" i="5"/>
  <c r="X414" i="5"/>
  <c r="O414" i="5"/>
  <c r="H414" i="5"/>
  <c r="P414" i="5"/>
  <c r="J414" i="5"/>
  <c r="K413" i="5"/>
  <c r="J413" i="5"/>
  <c r="I413" i="5"/>
  <c r="H413" i="5"/>
  <c r="G413" i="5"/>
  <c r="F413" i="5"/>
  <c r="V413" i="5"/>
  <c r="T413" i="5"/>
  <c r="R413" i="5"/>
  <c r="U413" i="5"/>
  <c r="S413" i="5"/>
  <c r="Q413" i="5"/>
  <c r="E413" i="5"/>
  <c r="D413" i="5"/>
  <c r="C413" i="5"/>
  <c r="B413" i="5"/>
  <c r="A413" i="5"/>
  <c r="AA412" i="5"/>
  <c r="Z412" i="5"/>
  <c r="Y412" i="5"/>
  <c r="X412" i="5"/>
  <c r="O412" i="5"/>
  <c r="H412" i="5"/>
  <c r="P412" i="5"/>
  <c r="J412" i="5"/>
  <c r="I411" i="5"/>
  <c r="H411" i="5"/>
  <c r="G411" i="5"/>
  <c r="E411" i="5"/>
  <c r="K410" i="5"/>
  <c r="J410" i="5"/>
  <c r="I410" i="5"/>
  <c r="E410" i="5"/>
  <c r="K409" i="5"/>
  <c r="J409" i="5"/>
  <c r="I409" i="5"/>
  <c r="E409" i="5"/>
  <c r="K408" i="5"/>
  <c r="J408" i="5"/>
  <c r="I408" i="5"/>
  <c r="E408" i="5"/>
  <c r="K407" i="5"/>
  <c r="J407" i="5"/>
  <c r="I407" i="5"/>
  <c r="H407" i="5"/>
  <c r="G407" i="5"/>
  <c r="F407" i="5"/>
  <c r="K406" i="5"/>
  <c r="J406" i="5"/>
  <c r="W406" i="5"/>
  <c r="I406" i="5"/>
  <c r="H406" i="5"/>
  <c r="G406" i="5"/>
  <c r="F406" i="5"/>
  <c r="K405" i="5"/>
  <c r="J405" i="5"/>
  <c r="I405" i="5"/>
  <c r="H405" i="5"/>
  <c r="G405" i="5"/>
  <c r="F405" i="5"/>
  <c r="K404" i="5"/>
  <c r="J404" i="5"/>
  <c r="W404" i="5"/>
  <c r="I404" i="5"/>
  <c r="H404" i="5"/>
  <c r="G404" i="5"/>
  <c r="F404" i="5"/>
  <c r="V403" i="5"/>
  <c r="T403" i="5"/>
  <c r="R403" i="5"/>
  <c r="U403" i="5"/>
  <c r="S403" i="5"/>
  <c r="Q403" i="5"/>
  <c r="E403" i="5"/>
  <c r="D403" i="5"/>
  <c r="C403" i="5"/>
  <c r="B403" i="5"/>
  <c r="A403" i="5"/>
  <c r="A402" i="5"/>
  <c r="H400" i="5"/>
  <c r="J400" i="5"/>
  <c r="H399" i="5"/>
  <c r="J399" i="5"/>
  <c r="A399" i="5"/>
  <c r="AA397" i="5"/>
  <c r="Z397" i="5"/>
  <c r="Y397" i="5"/>
  <c r="X397" i="5"/>
  <c r="O397" i="5"/>
  <c r="H397" i="5"/>
  <c r="P397" i="5"/>
  <c r="J397" i="5"/>
  <c r="C396" i="5"/>
  <c r="K395" i="5"/>
  <c r="J395" i="5"/>
  <c r="I395" i="5"/>
  <c r="H395" i="5"/>
  <c r="G395" i="5"/>
  <c r="F395" i="5"/>
  <c r="V395" i="5"/>
  <c r="T395" i="5"/>
  <c r="R395" i="5"/>
  <c r="U395" i="5"/>
  <c r="S395" i="5"/>
  <c r="Q395" i="5"/>
  <c r="E395" i="5"/>
  <c r="D395" i="5"/>
  <c r="C395" i="5"/>
  <c r="B395" i="5"/>
  <c r="A395" i="5"/>
  <c r="AA394" i="5"/>
  <c r="Z394" i="5"/>
  <c r="Y394" i="5"/>
  <c r="X394" i="5"/>
  <c r="O394" i="5"/>
  <c r="H394" i="5"/>
  <c r="P394" i="5"/>
  <c r="J394" i="5"/>
  <c r="I393" i="5"/>
  <c r="H393" i="5"/>
  <c r="G393" i="5"/>
  <c r="E393" i="5"/>
  <c r="K392" i="5"/>
  <c r="J392" i="5"/>
  <c r="I392" i="5"/>
  <c r="E392" i="5"/>
  <c r="K391" i="5"/>
  <c r="J391" i="5"/>
  <c r="I391" i="5"/>
  <c r="E391" i="5"/>
  <c r="K390" i="5"/>
  <c r="J390" i="5"/>
  <c r="I390" i="5"/>
  <c r="E390" i="5"/>
  <c r="K389" i="5"/>
  <c r="J389" i="5"/>
  <c r="I389" i="5"/>
  <c r="H389" i="5"/>
  <c r="G389" i="5"/>
  <c r="F389" i="5"/>
  <c r="K388" i="5"/>
  <c r="J388" i="5"/>
  <c r="W388" i="5"/>
  <c r="I388" i="5"/>
  <c r="H388" i="5"/>
  <c r="G388" i="5"/>
  <c r="F388" i="5"/>
  <c r="K387" i="5"/>
  <c r="J387" i="5"/>
  <c r="I387" i="5"/>
  <c r="H387" i="5"/>
  <c r="G387" i="5"/>
  <c r="F387" i="5"/>
  <c r="K386" i="5"/>
  <c r="J386" i="5"/>
  <c r="W386" i="5"/>
  <c r="I386" i="5"/>
  <c r="H386" i="5"/>
  <c r="G386" i="5"/>
  <c r="F386" i="5"/>
  <c r="C385" i="5"/>
  <c r="V384" i="5"/>
  <c r="T384" i="5"/>
  <c r="R384" i="5"/>
  <c r="U384" i="5"/>
  <c r="S384" i="5"/>
  <c r="Q384" i="5"/>
  <c r="E384" i="5"/>
  <c r="D384" i="5"/>
  <c r="C384" i="5"/>
  <c r="B384" i="5"/>
  <c r="A384" i="5"/>
  <c r="AA383" i="5"/>
  <c r="Z383" i="5"/>
  <c r="Y383" i="5"/>
  <c r="X383" i="5"/>
  <c r="O383" i="5"/>
  <c r="H383" i="5"/>
  <c r="P383" i="5"/>
  <c r="J383" i="5"/>
  <c r="I382" i="5"/>
  <c r="H382" i="5"/>
  <c r="G382" i="5"/>
  <c r="E382" i="5"/>
  <c r="K381" i="5"/>
  <c r="J381" i="5"/>
  <c r="I381" i="5"/>
  <c r="E381" i="5"/>
  <c r="K380" i="5"/>
  <c r="J380" i="5"/>
  <c r="I380" i="5"/>
  <c r="E380" i="5"/>
  <c r="K379" i="5"/>
  <c r="J379" i="5"/>
  <c r="I379" i="5"/>
  <c r="E379" i="5"/>
  <c r="K378" i="5"/>
  <c r="J378" i="5"/>
  <c r="I378" i="5"/>
  <c r="H378" i="5"/>
  <c r="G378" i="5"/>
  <c r="F378" i="5"/>
  <c r="K377" i="5"/>
  <c r="J377" i="5"/>
  <c r="W377" i="5"/>
  <c r="I377" i="5"/>
  <c r="H377" i="5"/>
  <c r="G377" i="5"/>
  <c r="F377" i="5"/>
  <c r="K376" i="5"/>
  <c r="J376" i="5"/>
  <c r="I376" i="5"/>
  <c r="H376" i="5"/>
  <c r="G376" i="5"/>
  <c r="F376" i="5"/>
  <c r="K375" i="5"/>
  <c r="J375" i="5"/>
  <c r="W375" i="5"/>
  <c r="I375" i="5"/>
  <c r="H375" i="5"/>
  <c r="G375" i="5"/>
  <c r="F375" i="5"/>
  <c r="C374" i="5"/>
  <c r="V373" i="5"/>
  <c r="T373" i="5"/>
  <c r="R373" i="5"/>
  <c r="U373" i="5"/>
  <c r="S373" i="5"/>
  <c r="Q373" i="5"/>
  <c r="E373" i="5"/>
  <c r="D373" i="5"/>
  <c r="C373" i="5"/>
  <c r="B373" i="5"/>
  <c r="A373" i="5"/>
  <c r="AA372" i="5"/>
  <c r="Z372" i="5"/>
  <c r="Y372" i="5"/>
  <c r="X372" i="5"/>
  <c r="O372" i="5"/>
  <c r="H372" i="5"/>
  <c r="P372" i="5"/>
  <c r="J372" i="5"/>
  <c r="I371" i="5"/>
  <c r="H371" i="5"/>
  <c r="G371" i="5"/>
  <c r="E371" i="5"/>
  <c r="K370" i="5"/>
  <c r="J370" i="5"/>
  <c r="I370" i="5"/>
  <c r="E370" i="5"/>
  <c r="K369" i="5"/>
  <c r="J369" i="5"/>
  <c r="I369" i="5"/>
  <c r="E369" i="5"/>
  <c r="K368" i="5"/>
  <c r="J368" i="5"/>
  <c r="I368" i="5"/>
  <c r="E368" i="5"/>
  <c r="K367" i="5"/>
  <c r="J367" i="5"/>
  <c r="I367" i="5"/>
  <c r="H367" i="5"/>
  <c r="G367" i="5"/>
  <c r="F367" i="5"/>
  <c r="K366" i="5"/>
  <c r="J366" i="5"/>
  <c r="W366" i="5"/>
  <c r="I366" i="5"/>
  <c r="H366" i="5"/>
  <c r="G366" i="5"/>
  <c r="F366" i="5"/>
  <c r="K365" i="5"/>
  <c r="J365" i="5"/>
  <c r="I365" i="5"/>
  <c r="H365" i="5"/>
  <c r="G365" i="5"/>
  <c r="F365" i="5"/>
  <c r="K364" i="5"/>
  <c r="J364" i="5"/>
  <c r="W364" i="5"/>
  <c r="I364" i="5"/>
  <c r="H364" i="5"/>
  <c r="G364" i="5"/>
  <c r="F364" i="5"/>
  <c r="C363" i="5"/>
  <c r="V362" i="5"/>
  <c r="T362" i="5"/>
  <c r="R362" i="5"/>
  <c r="U362" i="5"/>
  <c r="S362" i="5"/>
  <c r="Q362" i="5"/>
  <c r="E362" i="5"/>
  <c r="D362" i="5"/>
  <c r="C362" i="5"/>
  <c r="B362" i="5"/>
  <c r="A362" i="5"/>
  <c r="AA361" i="5"/>
  <c r="Z361" i="5"/>
  <c r="Y361" i="5"/>
  <c r="X361" i="5"/>
  <c r="O361" i="5"/>
  <c r="H361" i="5"/>
  <c r="P361" i="5"/>
  <c r="J361" i="5"/>
  <c r="C360" i="5"/>
  <c r="K359" i="5"/>
  <c r="J359" i="5"/>
  <c r="I359" i="5"/>
  <c r="H359" i="5"/>
  <c r="G359" i="5"/>
  <c r="F359" i="5"/>
  <c r="V359" i="5"/>
  <c r="T359" i="5"/>
  <c r="R359" i="5"/>
  <c r="U359" i="5"/>
  <c r="S359" i="5"/>
  <c r="Q359" i="5"/>
  <c r="E359" i="5"/>
  <c r="D359" i="5"/>
  <c r="C359" i="5"/>
  <c r="B359" i="5"/>
  <c r="A359" i="5"/>
  <c r="AA358" i="5"/>
  <c r="Z358" i="5"/>
  <c r="Y358" i="5"/>
  <c r="X358" i="5"/>
  <c r="O358" i="5"/>
  <c r="H358" i="5"/>
  <c r="P358" i="5"/>
  <c r="J358" i="5"/>
  <c r="I357" i="5"/>
  <c r="H357" i="5"/>
  <c r="G357" i="5"/>
  <c r="E357" i="5"/>
  <c r="K356" i="5"/>
  <c r="J356" i="5"/>
  <c r="I356" i="5"/>
  <c r="E356" i="5"/>
  <c r="K355" i="5"/>
  <c r="J355" i="5"/>
  <c r="I355" i="5"/>
  <c r="E355" i="5"/>
  <c r="K354" i="5"/>
  <c r="J354" i="5"/>
  <c r="I354" i="5"/>
  <c r="E354" i="5"/>
  <c r="K353" i="5"/>
  <c r="J353" i="5"/>
  <c r="I353" i="5"/>
  <c r="H353" i="5"/>
  <c r="G353" i="5"/>
  <c r="F353" i="5"/>
  <c r="K352" i="5"/>
  <c r="J352" i="5"/>
  <c r="W352" i="5"/>
  <c r="I352" i="5"/>
  <c r="H352" i="5"/>
  <c r="G352" i="5"/>
  <c r="F352" i="5"/>
  <c r="K351" i="5"/>
  <c r="J351" i="5"/>
  <c r="I351" i="5"/>
  <c r="H351" i="5"/>
  <c r="G351" i="5"/>
  <c r="F351" i="5"/>
  <c r="K350" i="5"/>
  <c r="J350" i="5"/>
  <c r="W350" i="5"/>
  <c r="I350" i="5"/>
  <c r="H350" i="5"/>
  <c r="G350" i="5"/>
  <c r="F350" i="5"/>
  <c r="C349" i="5"/>
  <c r="V348" i="5"/>
  <c r="T348" i="5"/>
  <c r="R348" i="5"/>
  <c r="U348" i="5"/>
  <c r="S348" i="5"/>
  <c r="Q348" i="5"/>
  <c r="E348" i="5"/>
  <c r="D348" i="5"/>
  <c r="C348" i="5"/>
  <c r="B348" i="5"/>
  <c r="A348" i="5"/>
  <c r="AA347" i="5"/>
  <c r="Z347" i="5"/>
  <c r="Y347" i="5"/>
  <c r="X347" i="5"/>
  <c r="O347" i="5"/>
  <c r="H347" i="5"/>
  <c r="P347" i="5"/>
  <c r="J347" i="5"/>
  <c r="I346" i="5"/>
  <c r="H346" i="5"/>
  <c r="G346" i="5"/>
  <c r="E346" i="5"/>
  <c r="K345" i="5"/>
  <c r="J345" i="5"/>
  <c r="I345" i="5"/>
  <c r="E345" i="5"/>
  <c r="K344" i="5"/>
  <c r="J344" i="5"/>
  <c r="I344" i="5"/>
  <c r="E344" i="5"/>
  <c r="K343" i="5"/>
  <c r="J343" i="5"/>
  <c r="I343" i="5"/>
  <c r="E343" i="5"/>
  <c r="K342" i="5"/>
  <c r="J342" i="5"/>
  <c r="I342" i="5"/>
  <c r="H342" i="5"/>
  <c r="G342" i="5"/>
  <c r="F342" i="5"/>
  <c r="K341" i="5"/>
  <c r="J341" i="5"/>
  <c r="W341" i="5"/>
  <c r="I341" i="5"/>
  <c r="H341" i="5"/>
  <c r="G341" i="5"/>
  <c r="F341" i="5"/>
  <c r="K340" i="5"/>
  <c r="J340" i="5"/>
  <c r="I340" i="5"/>
  <c r="H340" i="5"/>
  <c r="G340" i="5"/>
  <c r="F340" i="5"/>
  <c r="K339" i="5"/>
  <c r="J339" i="5"/>
  <c r="W339" i="5"/>
  <c r="I339" i="5"/>
  <c r="H339" i="5"/>
  <c r="G339" i="5"/>
  <c r="F339" i="5"/>
  <c r="C338" i="5"/>
  <c r="V337" i="5"/>
  <c r="T337" i="5"/>
  <c r="R337" i="5"/>
  <c r="U337" i="5"/>
  <c r="S337" i="5"/>
  <c r="Q337" i="5"/>
  <c r="E337" i="5"/>
  <c r="D337" i="5"/>
  <c r="C337" i="5"/>
  <c r="B337" i="5"/>
  <c r="A337" i="5"/>
  <c r="AA336" i="5"/>
  <c r="Z336" i="5"/>
  <c r="Y336" i="5"/>
  <c r="X336" i="5"/>
  <c r="O336" i="5"/>
  <c r="H336" i="5"/>
  <c r="P336" i="5"/>
  <c r="J336" i="5"/>
  <c r="I335" i="5"/>
  <c r="H335" i="5"/>
  <c r="G335" i="5"/>
  <c r="E335" i="5"/>
  <c r="K334" i="5"/>
  <c r="J334" i="5"/>
  <c r="I334" i="5"/>
  <c r="E334" i="5"/>
  <c r="K333" i="5"/>
  <c r="J333" i="5"/>
  <c r="I333" i="5"/>
  <c r="E333" i="5"/>
  <c r="K332" i="5"/>
  <c r="J332" i="5"/>
  <c r="I332" i="5"/>
  <c r="E332" i="5"/>
  <c r="K331" i="5"/>
  <c r="J331" i="5"/>
  <c r="I331" i="5"/>
  <c r="H331" i="5"/>
  <c r="G331" i="5"/>
  <c r="F331" i="5"/>
  <c r="K330" i="5"/>
  <c r="J330" i="5"/>
  <c r="W330" i="5"/>
  <c r="I330" i="5"/>
  <c r="H330" i="5"/>
  <c r="G330" i="5"/>
  <c r="F330" i="5"/>
  <c r="K329" i="5"/>
  <c r="J329" i="5"/>
  <c r="I329" i="5"/>
  <c r="H329" i="5"/>
  <c r="G329" i="5"/>
  <c r="F329" i="5"/>
  <c r="K328" i="5"/>
  <c r="J328" i="5"/>
  <c r="W328" i="5"/>
  <c r="I328" i="5"/>
  <c r="H328" i="5"/>
  <c r="G328" i="5"/>
  <c r="F328" i="5"/>
  <c r="C327" i="5"/>
  <c r="V326" i="5"/>
  <c r="T326" i="5"/>
  <c r="R326" i="5"/>
  <c r="U326" i="5"/>
  <c r="S326" i="5"/>
  <c r="Q326" i="5"/>
  <c r="E326" i="5"/>
  <c r="D326" i="5"/>
  <c r="C326" i="5"/>
  <c r="B326" i="5"/>
  <c r="A326" i="5"/>
  <c r="AA325" i="5"/>
  <c r="Z325" i="5"/>
  <c r="Y325" i="5"/>
  <c r="X325" i="5"/>
  <c r="O325" i="5"/>
  <c r="H325" i="5"/>
  <c r="P325" i="5"/>
  <c r="J325" i="5"/>
  <c r="C324" i="5"/>
  <c r="K323" i="5"/>
  <c r="J323" i="5"/>
  <c r="I323" i="5"/>
  <c r="H323" i="5"/>
  <c r="G323" i="5"/>
  <c r="F323" i="5"/>
  <c r="V323" i="5"/>
  <c r="T323" i="5"/>
  <c r="R323" i="5"/>
  <c r="U323" i="5"/>
  <c r="S323" i="5"/>
  <c r="Q323" i="5"/>
  <c r="E323" i="5"/>
  <c r="D323" i="5"/>
  <c r="C323" i="5"/>
  <c r="B323" i="5"/>
  <c r="A323" i="5"/>
  <c r="AA322" i="5"/>
  <c r="Z322" i="5"/>
  <c r="Y322" i="5"/>
  <c r="X322" i="5"/>
  <c r="O322" i="5"/>
  <c r="H322" i="5"/>
  <c r="P322" i="5"/>
  <c r="J322" i="5"/>
  <c r="I321" i="5"/>
  <c r="H321" i="5"/>
  <c r="G321" i="5"/>
  <c r="E321" i="5"/>
  <c r="K320" i="5"/>
  <c r="J320" i="5"/>
  <c r="I320" i="5"/>
  <c r="E320" i="5"/>
  <c r="K319" i="5"/>
  <c r="J319" i="5"/>
  <c r="I319" i="5"/>
  <c r="E319" i="5"/>
  <c r="K318" i="5"/>
  <c r="J318" i="5"/>
  <c r="I318" i="5"/>
  <c r="E318" i="5"/>
  <c r="K317" i="5"/>
  <c r="J317" i="5"/>
  <c r="I317" i="5"/>
  <c r="H317" i="5"/>
  <c r="G317" i="5"/>
  <c r="F317" i="5"/>
  <c r="K316" i="5"/>
  <c r="J316" i="5"/>
  <c r="W316" i="5"/>
  <c r="I316" i="5"/>
  <c r="H316" i="5"/>
  <c r="G316" i="5"/>
  <c r="F316" i="5"/>
  <c r="K315" i="5"/>
  <c r="J315" i="5"/>
  <c r="I315" i="5"/>
  <c r="H315" i="5"/>
  <c r="G315" i="5"/>
  <c r="F315" i="5"/>
  <c r="K314" i="5"/>
  <c r="J314" i="5"/>
  <c r="W314" i="5"/>
  <c r="I314" i="5"/>
  <c r="H314" i="5"/>
  <c r="G314" i="5"/>
  <c r="F314" i="5"/>
  <c r="C313" i="5"/>
  <c r="V312" i="5"/>
  <c r="T312" i="5"/>
  <c r="R312" i="5"/>
  <c r="U312" i="5"/>
  <c r="S312" i="5"/>
  <c r="Q312" i="5"/>
  <c r="E312" i="5"/>
  <c r="D312" i="5"/>
  <c r="C312" i="5"/>
  <c r="B312" i="5"/>
  <c r="A312" i="5"/>
  <c r="AA311" i="5"/>
  <c r="Z311" i="5"/>
  <c r="Y311" i="5"/>
  <c r="X311" i="5"/>
  <c r="O311" i="5"/>
  <c r="H311" i="5"/>
  <c r="P311" i="5"/>
  <c r="J311" i="5"/>
  <c r="I310" i="5"/>
  <c r="H310" i="5"/>
  <c r="G310" i="5"/>
  <c r="E310" i="5"/>
  <c r="K309" i="5"/>
  <c r="J309" i="5"/>
  <c r="I309" i="5"/>
  <c r="E309" i="5"/>
  <c r="K308" i="5"/>
  <c r="J308" i="5"/>
  <c r="I308" i="5"/>
  <c r="E308" i="5"/>
  <c r="K307" i="5"/>
  <c r="J307" i="5"/>
  <c r="I307" i="5"/>
  <c r="E307" i="5"/>
  <c r="K306" i="5"/>
  <c r="J306" i="5"/>
  <c r="I306" i="5"/>
  <c r="H306" i="5"/>
  <c r="G306" i="5"/>
  <c r="F306" i="5"/>
  <c r="K305" i="5"/>
  <c r="J305" i="5"/>
  <c r="W305" i="5"/>
  <c r="I305" i="5"/>
  <c r="H305" i="5"/>
  <c r="G305" i="5"/>
  <c r="F305" i="5"/>
  <c r="K304" i="5"/>
  <c r="J304" i="5"/>
  <c r="I304" i="5"/>
  <c r="H304" i="5"/>
  <c r="G304" i="5"/>
  <c r="F304" i="5"/>
  <c r="K303" i="5"/>
  <c r="J303" i="5"/>
  <c r="W303" i="5"/>
  <c r="I303" i="5"/>
  <c r="H303" i="5"/>
  <c r="G303" i="5"/>
  <c r="F303" i="5"/>
  <c r="C302" i="5"/>
  <c r="V301" i="5"/>
  <c r="T301" i="5"/>
  <c r="R301" i="5"/>
  <c r="U301" i="5"/>
  <c r="S301" i="5"/>
  <c r="Q301" i="5"/>
  <c r="E301" i="5"/>
  <c r="D301" i="5"/>
  <c r="C301" i="5"/>
  <c r="B301" i="5"/>
  <c r="A301" i="5"/>
  <c r="AA300" i="5"/>
  <c r="Z300" i="5"/>
  <c r="Y300" i="5"/>
  <c r="X300" i="5"/>
  <c r="O300" i="5"/>
  <c r="H300" i="5"/>
  <c r="P300" i="5"/>
  <c r="J300" i="5"/>
  <c r="I299" i="5"/>
  <c r="H299" i="5"/>
  <c r="G299" i="5"/>
  <c r="E299" i="5"/>
  <c r="K298" i="5"/>
  <c r="J298" i="5"/>
  <c r="I298" i="5"/>
  <c r="E298" i="5"/>
  <c r="K297" i="5"/>
  <c r="J297" i="5"/>
  <c r="I297" i="5"/>
  <c r="E297" i="5"/>
  <c r="K296" i="5"/>
  <c r="J296" i="5"/>
  <c r="I296" i="5"/>
  <c r="E296" i="5"/>
  <c r="K295" i="5"/>
  <c r="J295" i="5"/>
  <c r="I295" i="5"/>
  <c r="H295" i="5"/>
  <c r="G295" i="5"/>
  <c r="F295" i="5"/>
  <c r="K294" i="5"/>
  <c r="J294" i="5"/>
  <c r="W294" i="5"/>
  <c r="I294" i="5"/>
  <c r="H294" i="5"/>
  <c r="G294" i="5"/>
  <c r="F294" i="5"/>
  <c r="K293" i="5"/>
  <c r="J293" i="5"/>
  <c r="I293" i="5"/>
  <c r="H293" i="5"/>
  <c r="G293" i="5"/>
  <c r="F293" i="5"/>
  <c r="K292" i="5"/>
  <c r="J292" i="5"/>
  <c r="W292" i="5"/>
  <c r="I292" i="5"/>
  <c r="H292" i="5"/>
  <c r="G292" i="5"/>
  <c r="F292" i="5"/>
  <c r="C291" i="5"/>
  <c r="V290" i="5"/>
  <c r="T290" i="5"/>
  <c r="R290" i="5"/>
  <c r="U290" i="5"/>
  <c r="S290" i="5"/>
  <c r="Q290" i="5"/>
  <c r="E290" i="5"/>
  <c r="D290" i="5"/>
  <c r="C290" i="5"/>
  <c r="B290" i="5"/>
  <c r="A290" i="5"/>
  <c r="AA289" i="5"/>
  <c r="Z289" i="5"/>
  <c r="Y289" i="5"/>
  <c r="X289" i="5"/>
  <c r="O289" i="5"/>
  <c r="H289" i="5"/>
  <c r="P289" i="5"/>
  <c r="J289" i="5"/>
  <c r="C288" i="5"/>
  <c r="K287" i="5"/>
  <c r="J287" i="5"/>
  <c r="I287" i="5"/>
  <c r="H287" i="5"/>
  <c r="G287" i="5"/>
  <c r="F287" i="5"/>
  <c r="V287" i="5"/>
  <c r="T287" i="5"/>
  <c r="R287" i="5"/>
  <c r="U287" i="5"/>
  <c r="S287" i="5"/>
  <c r="Q287" i="5"/>
  <c r="E287" i="5"/>
  <c r="D287" i="5"/>
  <c r="C287" i="5"/>
  <c r="B287" i="5"/>
  <c r="A287" i="5"/>
  <c r="AA286" i="5"/>
  <c r="Z286" i="5"/>
  <c r="Y286" i="5"/>
  <c r="X286" i="5"/>
  <c r="O286" i="5"/>
  <c r="H286" i="5"/>
  <c r="P286" i="5"/>
  <c r="J286" i="5"/>
  <c r="I285" i="5"/>
  <c r="H285" i="5"/>
  <c r="G285" i="5"/>
  <c r="E285" i="5"/>
  <c r="K284" i="5"/>
  <c r="J284" i="5"/>
  <c r="I284" i="5"/>
  <c r="E284" i="5"/>
  <c r="K283" i="5"/>
  <c r="J283" i="5"/>
  <c r="I283" i="5"/>
  <c r="E283" i="5"/>
  <c r="K282" i="5"/>
  <c r="J282" i="5"/>
  <c r="I282" i="5"/>
  <c r="E282" i="5"/>
  <c r="K281" i="5"/>
  <c r="J281" i="5"/>
  <c r="I281" i="5"/>
  <c r="H281" i="5"/>
  <c r="G281" i="5"/>
  <c r="F281" i="5"/>
  <c r="K280" i="5"/>
  <c r="J280" i="5"/>
  <c r="W280" i="5"/>
  <c r="I280" i="5"/>
  <c r="H280" i="5"/>
  <c r="G280" i="5"/>
  <c r="F280" i="5"/>
  <c r="K279" i="5"/>
  <c r="J279" i="5"/>
  <c r="I279" i="5"/>
  <c r="H279" i="5"/>
  <c r="G279" i="5"/>
  <c r="F279" i="5"/>
  <c r="K278" i="5"/>
  <c r="J278" i="5"/>
  <c r="W278" i="5"/>
  <c r="I278" i="5"/>
  <c r="H278" i="5"/>
  <c r="G278" i="5"/>
  <c r="F278" i="5"/>
  <c r="C277" i="5"/>
  <c r="V276" i="5"/>
  <c r="T276" i="5"/>
  <c r="R276" i="5"/>
  <c r="U276" i="5"/>
  <c r="S276" i="5"/>
  <c r="Q276" i="5"/>
  <c r="E276" i="5"/>
  <c r="D276" i="5"/>
  <c r="C276" i="5"/>
  <c r="B276" i="5"/>
  <c r="A276" i="5"/>
  <c r="AA275" i="5"/>
  <c r="Z275" i="5"/>
  <c r="Y275" i="5"/>
  <c r="X275" i="5"/>
  <c r="O275" i="5"/>
  <c r="H275" i="5"/>
  <c r="P275" i="5"/>
  <c r="J275" i="5"/>
  <c r="I274" i="5"/>
  <c r="H274" i="5"/>
  <c r="G274" i="5"/>
  <c r="E274" i="5"/>
  <c r="K273" i="5"/>
  <c r="J273" i="5"/>
  <c r="I273" i="5"/>
  <c r="E273" i="5"/>
  <c r="K272" i="5"/>
  <c r="J272" i="5"/>
  <c r="I272" i="5"/>
  <c r="E272" i="5"/>
  <c r="K271" i="5"/>
  <c r="J271" i="5"/>
  <c r="I271" i="5"/>
  <c r="E271" i="5"/>
  <c r="K270" i="5"/>
  <c r="J270" i="5"/>
  <c r="I270" i="5"/>
  <c r="H270" i="5"/>
  <c r="G270" i="5"/>
  <c r="F270" i="5"/>
  <c r="K269" i="5"/>
  <c r="J269" i="5"/>
  <c r="W269" i="5"/>
  <c r="I269" i="5"/>
  <c r="H269" i="5"/>
  <c r="G269" i="5"/>
  <c r="F269" i="5"/>
  <c r="K268" i="5"/>
  <c r="J268" i="5"/>
  <c r="I268" i="5"/>
  <c r="H268" i="5"/>
  <c r="G268" i="5"/>
  <c r="F268" i="5"/>
  <c r="K267" i="5"/>
  <c r="J267" i="5"/>
  <c r="W267" i="5"/>
  <c r="I267" i="5"/>
  <c r="H267" i="5"/>
  <c r="G267" i="5"/>
  <c r="F267" i="5"/>
  <c r="C266" i="5"/>
  <c r="V265" i="5"/>
  <c r="T265" i="5"/>
  <c r="R265" i="5"/>
  <c r="U265" i="5"/>
  <c r="S265" i="5"/>
  <c r="Q265" i="5"/>
  <c r="E265" i="5"/>
  <c r="D265" i="5"/>
  <c r="C265" i="5"/>
  <c r="B265" i="5"/>
  <c r="A265" i="5"/>
  <c r="AA264" i="5"/>
  <c r="Z264" i="5"/>
  <c r="Y264" i="5"/>
  <c r="X264" i="5"/>
  <c r="O264" i="5"/>
  <c r="H264" i="5"/>
  <c r="P264" i="5"/>
  <c r="J264" i="5"/>
  <c r="I263" i="5"/>
  <c r="H263" i="5"/>
  <c r="G263" i="5"/>
  <c r="E263" i="5"/>
  <c r="K262" i="5"/>
  <c r="J262" i="5"/>
  <c r="I262" i="5"/>
  <c r="E262" i="5"/>
  <c r="K261" i="5"/>
  <c r="J261" i="5"/>
  <c r="I261" i="5"/>
  <c r="E261" i="5"/>
  <c r="K260" i="5"/>
  <c r="J260" i="5"/>
  <c r="I260" i="5"/>
  <c r="E260" i="5"/>
  <c r="K259" i="5"/>
  <c r="J259" i="5"/>
  <c r="I259" i="5"/>
  <c r="H259" i="5"/>
  <c r="G259" i="5"/>
  <c r="F259" i="5"/>
  <c r="K258" i="5"/>
  <c r="J258" i="5"/>
  <c r="W258" i="5"/>
  <c r="I258" i="5"/>
  <c r="H258" i="5"/>
  <c r="G258" i="5"/>
  <c r="F258" i="5"/>
  <c r="K257" i="5"/>
  <c r="J257" i="5"/>
  <c r="I257" i="5"/>
  <c r="H257" i="5"/>
  <c r="G257" i="5"/>
  <c r="F257" i="5"/>
  <c r="K256" i="5"/>
  <c r="J256" i="5"/>
  <c r="W256" i="5"/>
  <c r="I256" i="5"/>
  <c r="H256" i="5"/>
  <c r="G256" i="5"/>
  <c r="F256" i="5"/>
  <c r="C255" i="5"/>
  <c r="V254" i="5"/>
  <c r="T254" i="5"/>
  <c r="R254" i="5"/>
  <c r="U254" i="5"/>
  <c r="S254" i="5"/>
  <c r="Q254" i="5"/>
  <c r="E254" i="5"/>
  <c r="D254" i="5"/>
  <c r="C254" i="5"/>
  <c r="B254" i="5"/>
  <c r="A254" i="5"/>
  <c r="A253" i="5"/>
  <c r="H251" i="5"/>
  <c r="J251" i="5"/>
  <c r="H250" i="5"/>
  <c r="J250" i="5"/>
  <c r="A250" i="5"/>
  <c r="AA248" i="5"/>
  <c r="Z248" i="5"/>
  <c r="Y248" i="5"/>
  <c r="X248" i="5"/>
  <c r="O248" i="5"/>
  <c r="H248" i="5"/>
  <c r="P248" i="5"/>
  <c r="J248" i="5"/>
  <c r="I247" i="5"/>
  <c r="H247" i="5"/>
  <c r="G247" i="5"/>
  <c r="E247" i="5"/>
  <c r="K246" i="5"/>
  <c r="J246" i="5"/>
  <c r="I246" i="5"/>
  <c r="E246" i="5"/>
  <c r="K245" i="5"/>
  <c r="J245" i="5"/>
  <c r="I245" i="5"/>
  <c r="E245" i="5"/>
  <c r="K244" i="5"/>
  <c r="J244" i="5"/>
  <c r="W244" i="5"/>
  <c r="I244" i="5"/>
  <c r="H244" i="5"/>
  <c r="G244" i="5"/>
  <c r="F244" i="5"/>
  <c r="C243" i="5"/>
  <c r="V242" i="5"/>
  <c r="T242" i="5"/>
  <c r="R242" i="5"/>
  <c r="U242" i="5"/>
  <c r="S242" i="5"/>
  <c r="Q242" i="5"/>
  <c r="E242" i="5"/>
  <c r="D242" i="5"/>
  <c r="C242" i="5"/>
  <c r="B242" i="5"/>
  <c r="A242" i="5"/>
  <c r="AA241" i="5"/>
  <c r="Z241" i="5"/>
  <c r="Y241" i="5"/>
  <c r="X241" i="5"/>
  <c r="O241" i="5"/>
  <c r="H241" i="5"/>
  <c r="P241" i="5"/>
  <c r="J241" i="5"/>
  <c r="I240" i="5"/>
  <c r="H240" i="5"/>
  <c r="G240" i="5"/>
  <c r="E240" i="5"/>
  <c r="K239" i="5"/>
  <c r="J239" i="5"/>
  <c r="I239" i="5"/>
  <c r="E239" i="5"/>
  <c r="K238" i="5"/>
  <c r="J238" i="5"/>
  <c r="I238" i="5"/>
  <c r="E238" i="5"/>
  <c r="K237" i="5"/>
  <c r="J237" i="5"/>
  <c r="I237" i="5"/>
  <c r="E237" i="5"/>
  <c r="K236" i="5"/>
  <c r="J236" i="5"/>
  <c r="W236" i="5"/>
  <c r="I236" i="5"/>
  <c r="H236" i="5"/>
  <c r="G236" i="5"/>
  <c r="F236" i="5"/>
  <c r="K235" i="5"/>
  <c r="J235" i="5"/>
  <c r="I235" i="5"/>
  <c r="H235" i="5"/>
  <c r="G235" i="5"/>
  <c r="F235" i="5"/>
  <c r="K234" i="5"/>
  <c r="J234" i="5"/>
  <c r="W234" i="5"/>
  <c r="I234" i="5"/>
  <c r="H234" i="5"/>
  <c r="G234" i="5"/>
  <c r="F234" i="5"/>
  <c r="C233" i="5"/>
  <c r="V232" i="5"/>
  <c r="T232" i="5"/>
  <c r="R232" i="5"/>
  <c r="U232" i="5"/>
  <c r="S232" i="5"/>
  <c r="Q232" i="5"/>
  <c r="E232" i="5"/>
  <c r="D232" i="5"/>
  <c r="C232" i="5"/>
  <c r="B232" i="5"/>
  <c r="A232" i="5"/>
  <c r="AA231" i="5"/>
  <c r="Z231" i="5"/>
  <c r="Y231" i="5"/>
  <c r="X231" i="5"/>
  <c r="O231" i="5"/>
  <c r="H231" i="5"/>
  <c r="P231" i="5"/>
  <c r="J231" i="5"/>
  <c r="I230" i="5"/>
  <c r="H230" i="5"/>
  <c r="G230" i="5"/>
  <c r="E230" i="5"/>
  <c r="K229" i="5"/>
  <c r="J229" i="5"/>
  <c r="I229" i="5"/>
  <c r="E229" i="5"/>
  <c r="K228" i="5"/>
  <c r="J228" i="5"/>
  <c r="I228" i="5"/>
  <c r="E228" i="5"/>
  <c r="K227" i="5"/>
  <c r="J227" i="5"/>
  <c r="W227" i="5"/>
  <c r="I227" i="5"/>
  <c r="H227" i="5"/>
  <c r="G227" i="5"/>
  <c r="F227" i="5"/>
  <c r="C226" i="5"/>
  <c r="V225" i="5"/>
  <c r="T225" i="5"/>
  <c r="R225" i="5"/>
  <c r="U225" i="5"/>
  <c r="S225" i="5"/>
  <c r="Q225" i="5"/>
  <c r="E225" i="5"/>
  <c r="D225" i="5"/>
  <c r="C225" i="5"/>
  <c r="B225" i="5"/>
  <c r="A225" i="5"/>
  <c r="AA224" i="5"/>
  <c r="Z224" i="5"/>
  <c r="Y224" i="5"/>
  <c r="X224" i="5"/>
  <c r="O224" i="5"/>
  <c r="H224" i="5"/>
  <c r="P224" i="5"/>
  <c r="J224" i="5"/>
  <c r="I223" i="5"/>
  <c r="H223" i="5"/>
  <c r="G223" i="5"/>
  <c r="E223" i="5"/>
  <c r="K222" i="5"/>
  <c r="J222" i="5"/>
  <c r="I222" i="5"/>
  <c r="E222" i="5"/>
  <c r="K221" i="5"/>
  <c r="J221" i="5"/>
  <c r="I221" i="5"/>
  <c r="E221" i="5"/>
  <c r="K220" i="5"/>
  <c r="J220" i="5"/>
  <c r="W220" i="5"/>
  <c r="I220" i="5"/>
  <c r="H220" i="5"/>
  <c r="G220" i="5"/>
  <c r="F220" i="5"/>
  <c r="C219" i="5"/>
  <c r="V218" i="5"/>
  <c r="T218" i="5"/>
  <c r="R218" i="5"/>
  <c r="U218" i="5"/>
  <c r="S218" i="5"/>
  <c r="Q218" i="5"/>
  <c r="E218" i="5"/>
  <c r="D218" i="5"/>
  <c r="C218" i="5"/>
  <c r="B218" i="5"/>
  <c r="A218" i="5"/>
  <c r="A217" i="5"/>
  <c r="H215" i="5"/>
  <c r="J215" i="5"/>
  <c r="H214" i="5"/>
  <c r="J214" i="5"/>
  <c r="A214" i="5"/>
  <c r="AA212" i="5"/>
  <c r="Z212" i="5"/>
  <c r="Y212" i="5"/>
  <c r="X212" i="5"/>
  <c r="O212" i="5"/>
  <c r="H212" i="5"/>
  <c r="P212" i="5"/>
  <c r="J212" i="5"/>
  <c r="I211" i="5"/>
  <c r="H211" i="5"/>
  <c r="G211" i="5"/>
  <c r="E211" i="5"/>
  <c r="K210" i="5"/>
  <c r="J210" i="5"/>
  <c r="I210" i="5"/>
  <c r="E210" i="5"/>
  <c r="K209" i="5"/>
  <c r="J209" i="5"/>
  <c r="I209" i="5"/>
  <c r="E209" i="5"/>
  <c r="K208" i="5"/>
  <c r="J208" i="5"/>
  <c r="W208" i="5"/>
  <c r="I208" i="5"/>
  <c r="H208" i="5"/>
  <c r="G208" i="5"/>
  <c r="F208" i="5"/>
  <c r="C207" i="5"/>
  <c r="V206" i="5"/>
  <c r="T206" i="5"/>
  <c r="R206" i="5"/>
  <c r="U206" i="5"/>
  <c r="S206" i="5"/>
  <c r="Q206" i="5"/>
  <c r="E206" i="5"/>
  <c r="D206" i="5"/>
  <c r="C206" i="5"/>
  <c r="B206" i="5"/>
  <c r="A206" i="5"/>
  <c r="AA205" i="5"/>
  <c r="Z205" i="5"/>
  <c r="Y205" i="5"/>
  <c r="X205" i="5"/>
  <c r="O205" i="5"/>
  <c r="H205" i="5"/>
  <c r="P205" i="5"/>
  <c r="J205" i="5"/>
  <c r="K204" i="5"/>
  <c r="J204" i="5"/>
  <c r="I204" i="5"/>
  <c r="E204" i="5"/>
  <c r="K203" i="5"/>
  <c r="J203" i="5"/>
  <c r="W203" i="5"/>
  <c r="I203" i="5"/>
  <c r="H203" i="5"/>
  <c r="G203" i="5"/>
  <c r="F203" i="5"/>
  <c r="K202" i="5"/>
  <c r="J202" i="5"/>
  <c r="I202" i="5"/>
  <c r="H202" i="5"/>
  <c r="G202" i="5"/>
  <c r="F202" i="5"/>
  <c r="C201" i="5"/>
  <c r="V200" i="5"/>
  <c r="T200" i="5"/>
  <c r="R200" i="5"/>
  <c r="U200" i="5"/>
  <c r="S200" i="5"/>
  <c r="Q200" i="5"/>
  <c r="E200" i="5"/>
  <c r="D200" i="5"/>
  <c r="C200" i="5"/>
  <c r="B200" i="5"/>
  <c r="A200" i="5"/>
  <c r="A199" i="5"/>
  <c r="H197" i="5"/>
  <c r="J197" i="5"/>
  <c r="H196" i="5"/>
  <c r="J196" i="5"/>
  <c r="A196" i="5"/>
  <c r="AA194" i="5"/>
  <c r="Z194" i="5"/>
  <c r="Y194" i="5"/>
  <c r="X194" i="5"/>
  <c r="O194" i="5"/>
  <c r="H194" i="5"/>
  <c r="P194" i="5"/>
  <c r="J194" i="5"/>
  <c r="I193" i="5"/>
  <c r="H193" i="5"/>
  <c r="G193" i="5"/>
  <c r="E193" i="5"/>
  <c r="K192" i="5"/>
  <c r="J192" i="5"/>
  <c r="I192" i="5"/>
  <c r="E192" i="5"/>
  <c r="K191" i="5"/>
  <c r="J191" i="5"/>
  <c r="I191" i="5"/>
  <c r="E191" i="5"/>
  <c r="K190" i="5"/>
  <c r="J190" i="5"/>
  <c r="W190" i="5"/>
  <c r="I190" i="5"/>
  <c r="H190" i="5"/>
  <c r="G190" i="5"/>
  <c r="F190" i="5"/>
  <c r="C189" i="5"/>
  <c r="V188" i="5"/>
  <c r="T188" i="5"/>
  <c r="R188" i="5"/>
  <c r="U188" i="5"/>
  <c r="S188" i="5"/>
  <c r="Q188" i="5"/>
  <c r="E188" i="5"/>
  <c r="D188" i="5"/>
  <c r="C188" i="5"/>
  <c r="B188" i="5"/>
  <c r="A188" i="5"/>
  <c r="AA187" i="5"/>
  <c r="Z187" i="5"/>
  <c r="Y187" i="5"/>
  <c r="X187" i="5"/>
  <c r="O187" i="5"/>
  <c r="H187" i="5"/>
  <c r="P187" i="5"/>
  <c r="J187" i="5"/>
  <c r="I186" i="5"/>
  <c r="H186" i="5"/>
  <c r="G186" i="5"/>
  <c r="E186" i="5"/>
  <c r="K185" i="5"/>
  <c r="J185" i="5"/>
  <c r="I185" i="5"/>
  <c r="E185" i="5"/>
  <c r="K184" i="5"/>
  <c r="J184" i="5"/>
  <c r="I184" i="5"/>
  <c r="E184" i="5"/>
  <c r="K183" i="5"/>
  <c r="J183" i="5"/>
  <c r="I183" i="5"/>
  <c r="E183" i="5"/>
  <c r="K182" i="5"/>
  <c r="J182" i="5"/>
  <c r="W182" i="5"/>
  <c r="I182" i="5"/>
  <c r="H182" i="5"/>
  <c r="G182" i="5"/>
  <c r="F182" i="5"/>
  <c r="K181" i="5"/>
  <c r="J181" i="5"/>
  <c r="I181" i="5"/>
  <c r="H181" i="5"/>
  <c r="G181" i="5"/>
  <c r="F181" i="5"/>
  <c r="K180" i="5"/>
  <c r="J180" i="5"/>
  <c r="W180" i="5"/>
  <c r="I180" i="5"/>
  <c r="H180" i="5"/>
  <c r="G180" i="5"/>
  <c r="F180" i="5"/>
  <c r="V179" i="5"/>
  <c r="T179" i="5"/>
  <c r="R179" i="5"/>
  <c r="U179" i="5"/>
  <c r="S179" i="5"/>
  <c r="Q179" i="5"/>
  <c r="E179" i="5"/>
  <c r="D179" i="5"/>
  <c r="C179" i="5"/>
  <c r="B179" i="5"/>
  <c r="A179" i="5"/>
  <c r="AA178" i="5"/>
  <c r="Z178" i="5"/>
  <c r="Y178" i="5"/>
  <c r="X178" i="5"/>
  <c r="O178" i="5"/>
  <c r="H178" i="5"/>
  <c r="P178" i="5"/>
  <c r="J178" i="5"/>
  <c r="I177" i="5"/>
  <c r="H177" i="5"/>
  <c r="G177" i="5"/>
  <c r="E177" i="5"/>
  <c r="K176" i="5"/>
  <c r="J176" i="5"/>
  <c r="I176" i="5"/>
  <c r="E176" i="5"/>
  <c r="K175" i="5"/>
  <c r="J175" i="5"/>
  <c r="I175" i="5"/>
  <c r="E175" i="5"/>
  <c r="K174" i="5"/>
  <c r="J174" i="5"/>
  <c r="I174" i="5"/>
  <c r="E174" i="5"/>
  <c r="K173" i="5"/>
  <c r="J173" i="5"/>
  <c r="I173" i="5"/>
  <c r="H173" i="5"/>
  <c r="G173" i="5"/>
  <c r="F173" i="5"/>
  <c r="K172" i="5"/>
  <c r="J172" i="5"/>
  <c r="W172" i="5"/>
  <c r="I172" i="5"/>
  <c r="H172" i="5"/>
  <c r="G172" i="5"/>
  <c r="F172" i="5"/>
  <c r="K171" i="5"/>
  <c r="J171" i="5"/>
  <c r="I171" i="5"/>
  <c r="H171" i="5"/>
  <c r="G171" i="5"/>
  <c r="F171" i="5"/>
  <c r="K170" i="5"/>
  <c r="J170" i="5"/>
  <c r="W170" i="5"/>
  <c r="I170" i="5"/>
  <c r="H170" i="5"/>
  <c r="G170" i="5"/>
  <c r="F170" i="5"/>
  <c r="V169" i="5"/>
  <c r="T169" i="5"/>
  <c r="R169" i="5"/>
  <c r="U169" i="5"/>
  <c r="S169" i="5"/>
  <c r="Q169" i="5"/>
  <c r="E169" i="5"/>
  <c r="D169" i="5"/>
  <c r="C169" i="5"/>
  <c r="B169" i="5"/>
  <c r="A169" i="5"/>
  <c r="AA168" i="5"/>
  <c r="Z168" i="5"/>
  <c r="Y168" i="5"/>
  <c r="X168" i="5"/>
  <c r="O168" i="5"/>
  <c r="H168" i="5"/>
  <c r="P168" i="5"/>
  <c r="J168" i="5"/>
  <c r="K167" i="5"/>
  <c r="J167" i="5"/>
  <c r="I167" i="5"/>
  <c r="E167" i="5"/>
  <c r="K166" i="5"/>
  <c r="J166" i="5"/>
  <c r="W166" i="5"/>
  <c r="I166" i="5"/>
  <c r="H166" i="5"/>
  <c r="G166" i="5"/>
  <c r="F166" i="5"/>
  <c r="K165" i="5"/>
  <c r="J165" i="5"/>
  <c r="I165" i="5"/>
  <c r="H165" i="5"/>
  <c r="G165" i="5"/>
  <c r="F165" i="5"/>
  <c r="C164" i="5"/>
  <c r="V163" i="5"/>
  <c r="T163" i="5"/>
  <c r="R163" i="5"/>
  <c r="U163" i="5"/>
  <c r="S163" i="5"/>
  <c r="Q163" i="5"/>
  <c r="E163" i="5"/>
  <c r="D163" i="5"/>
  <c r="C163" i="5"/>
  <c r="B163" i="5"/>
  <c r="A163" i="5"/>
  <c r="AA162" i="5"/>
  <c r="Z162" i="5"/>
  <c r="Y162" i="5"/>
  <c r="X162" i="5"/>
  <c r="O162" i="5"/>
  <c r="H162" i="5"/>
  <c r="P162" i="5"/>
  <c r="J162" i="5"/>
  <c r="K161" i="5"/>
  <c r="J161" i="5"/>
  <c r="I161" i="5"/>
  <c r="E161" i="5"/>
  <c r="K160" i="5"/>
  <c r="J160" i="5"/>
  <c r="H160" i="5"/>
  <c r="AA160" i="5"/>
  <c r="Z160" i="5"/>
  <c r="Y160" i="5"/>
  <c r="X160" i="5"/>
  <c r="I160" i="5"/>
  <c r="F160" i="5"/>
  <c r="V160" i="5"/>
  <c r="T160" i="5"/>
  <c r="R160" i="5"/>
  <c r="U160" i="5"/>
  <c r="S160" i="5"/>
  <c r="Q160" i="5"/>
  <c r="E160" i="5"/>
  <c r="D160" i="5"/>
  <c r="C160" i="5"/>
  <c r="B160" i="5"/>
  <c r="A160" i="5"/>
  <c r="K159" i="5"/>
  <c r="J159" i="5"/>
  <c r="W159" i="5"/>
  <c r="I159" i="5"/>
  <c r="H159" i="5"/>
  <c r="G159" i="5"/>
  <c r="F159" i="5"/>
  <c r="K158" i="5"/>
  <c r="J158" i="5"/>
  <c r="I158" i="5"/>
  <c r="H158" i="5"/>
  <c r="G158" i="5"/>
  <c r="F158" i="5"/>
  <c r="C157" i="5"/>
  <c r="V156" i="5"/>
  <c r="T156" i="5"/>
  <c r="R156" i="5"/>
  <c r="U156" i="5"/>
  <c r="S156" i="5"/>
  <c r="Q156" i="5"/>
  <c r="E156" i="5"/>
  <c r="D156" i="5"/>
  <c r="C156" i="5"/>
  <c r="B156" i="5"/>
  <c r="A156" i="5"/>
  <c r="AA155" i="5"/>
  <c r="Z155" i="5"/>
  <c r="Y155" i="5"/>
  <c r="X155" i="5"/>
  <c r="O155" i="5"/>
  <c r="H155" i="5"/>
  <c r="P155" i="5"/>
  <c r="J155" i="5"/>
  <c r="C154" i="5"/>
  <c r="K153" i="5"/>
  <c r="J153" i="5"/>
  <c r="I153" i="5"/>
  <c r="H153" i="5"/>
  <c r="G153" i="5"/>
  <c r="F153" i="5"/>
  <c r="V153" i="5"/>
  <c r="T153" i="5"/>
  <c r="R153" i="5"/>
  <c r="U153" i="5"/>
  <c r="S153" i="5"/>
  <c r="Q153" i="5"/>
  <c r="E153" i="5"/>
  <c r="D153" i="5"/>
  <c r="C153" i="5"/>
  <c r="B153" i="5"/>
  <c r="A153" i="5"/>
  <c r="AA152" i="5"/>
  <c r="Z152" i="5"/>
  <c r="Y152" i="5"/>
  <c r="X152" i="5"/>
  <c r="O152" i="5"/>
  <c r="H152" i="5"/>
  <c r="P152" i="5"/>
  <c r="J152" i="5"/>
  <c r="I151" i="5"/>
  <c r="H151" i="5"/>
  <c r="G151" i="5"/>
  <c r="E151" i="5"/>
  <c r="K150" i="5"/>
  <c r="J150" i="5"/>
  <c r="I150" i="5"/>
  <c r="E150" i="5"/>
  <c r="K149" i="5"/>
  <c r="J149" i="5"/>
  <c r="I149" i="5"/>
  <c r="E149" i="5"/>
  <c r="K148" i="5"/>
  <c r="J148" i="5"/>
  <c r="I148" i="5"/>
  <c r="E148" i="5"/>
  <c r="K147" i="5"/>
  <c r="J147" i="5"/>
  <c r="I147" i="5"/>
  <c r="H147" i="5"/>
  <c r="G147" i="5"/>
  <c r="F147" i="5"/>
  <c r="K146" i="5"/>
  <c r="J146" i="5"/>
  <c r="W146" i="5"/>
  <c r="I146" i="5"/>
  <c r="H146" i="5"/>
  <c r="G146" i="5"/>
  <c r="F146" i="5"/>
  <c r="K145" i="5"/>
  <c r="J145" i="5"/>
  <c r="I145" i="5"/>
  <c r="H145" i="5"/>
  <c r="G145" i="5"/>
  <c r="F145" i="5"/>
  <c r="K144" i="5"/>
  <c r="J144" i="5"/>
  <c r="W144" i="5"/>
  <c r="I144" i="5"/>
  <c r="H144" i="5"/>
  <c r="G144" i="5"/>
  <c r="F144" i="5"/>
  <c r="C143" i="5"/>
  <c r="V142" i="5"/>
  <c r="T142" i="5"/>
  <c r="R142" i="5"/>
  <c r="U142" i="5"/>
  <c r="S142" i="5"/>
  <c r="Q142" i="5"/>
  <c r="E142" i="5"/>
  <c r="D142" i="5"/>
  <c r="C142" i="5"/>
  <c r="B142" i="5"/>
  <c r="A142" i="5"/>
  <c r="AA141" i="5"/>
  <c r="Z141" i="5"/>
  <c r="Y141" i="5"/>
  <c r="X141" i="5"/>
  <c r="O141" i="5"/>
  <c r="H141" i="5"/>
  <c r="P141" i="5"/>
  <c r="J141" i="5"/>
  <c r="I140" i="5"/>
  <c r="H140" i="5"/>
  <c r="G140" i="5"/>
  <c r="E140" i="5"/>
  <c r="K139" i="5"/>
  <c r="J139" i="5"/>
  <c r="I139" i="5"/>
  <c r="E139" i="5"/>
  <c r="K138" i="5"/>
  <c r="J138" i="5"/>
  <c r="I138" i="5"/>
  <c r="E138" i="5"/>
  <c r="K137" i="5"/>
  <c r="J137" i="5"/>
  <c r="W137" i="5"/>
  <c r="I137" i="5"/>
  <c r="H137" i="5"/>
  <c r="G137" i="5"/>
  <c r="F137" i="5"/>
  <c r="C136" i="5"/>
  <c r="V135" i="5"/>
  <c r="T135" i="5"/>
  <c r="R135" i="5"/>
  <c r="U135" i="5"/>
  <c r="S135" i="5"/>
  <c r="Q135" i="5"/>
  <c r="E135" i="5"/>
  <c r="D135" i="5"/>
  <c r="C135" i="5"/>
  <c r="B135" i="5"/>
  <c r="A135" i="5"/>
  <c r="AA134" i="5"/>
  <c r="Z134" i="5"/>
  <c r="Y134" i="5"/>
  <c r="X134" i="5"/>
  <c r="O134" i="5"/>
  <c r="H134" i="5"/>
  <c r="P134" i="5"/>
  <c r="J134" i="5"/>
  <c r="I133" i="5"/>
  <c r="H133" i="5"/>
  <c r="G133" i="5"/>
  <c r="E133" i="5"/>
  <c r="K132" i="5"/>
  <c r="J132" i="5"/>
  <c r="I132" i="5"/>
  <c r="E132" i="5"/>
  <c r="K131" i="5"/>
  <c r="J131" i="5"/>
  <c r="I131" i="5"/>
  <c r="E131" i="5"/>
  <c r="K130" i="5"/>
  <c r="J130" i="5"/>
  <c r="I130" i="5"/>
  <c r="E130" i="5"/>
  <c r="K129" i="5"/>
  <c r="J129" i="5"/>
  <c r="W129" i="5"/>
  <c r="I129" i="5"/>
  <c r="H129" i="5"/>
  <c r="G129" i="5"/>
  <c r="F129" i="5"/>
  <c r="K128" i="5"/>
  <c r="J128" i="5"/>
  <c r="I128" i="5"/>
  <c r="H128" i="5"/>
  <c r="G128" i="5"/>
  <c r="F128" i="5"/>
  <c r="K127" i="5"/>
  <c r="J127" i="5"/>
  <c r="W127" i="5"/>
  <c r="I127" i="5"/>
  <c r="H127" i="5"/>
  <c r="G127" i="5"/>
  <c r="F127" i="5"/>
  <c r="C126" i="5"/>
  <c r="V125" i="5"/>
  <c r="T125" i="5"/>
  <c r="R125" i="5"/>
  <c r="U125" i="5"/>
  <c r="S125" i="5"/>
  <c r="Q125" i="5"/>
  <c r="E125" i="5"/>
  <c r="D125" i="5"/>
  <c r="C125" i="5"/>
  <c r="B125" i="5"/>
  <c r="A125" i="5"/>
  <c r="AA124" i="5"/>
  <c r="Z124" i="5"/>
  <c r="Y124" i="5"/>
  <c r="X124" i="5"/>
  <c r="O124" i="5"/>
  <c r="H124" i="5"/>
  <c r="P124" i="5"/>
  <c r="J124" i="5"/>
  <c r="I123" i="5"/>
  <c r="H123" i="5"/>
  <c r="G123" i="5"/>
  <c r="E123" i="5"/>
  <c r="K122" i="5"/>
  <c r="J122" i="5"/>
  <c r="I122" i="5"/>
  <c r="E122" i="5"/>
  <c r="K121" i="5"/>
  <c r="J121" i="5"/>
  <c r="I121" i="5"/>
  <c r="E121" i="5"/>
  <c r="K120" i="5"/>
  <c r="J120" i="5"/>
  <c r="I120" i="5"/>
  <c r="E120" i="5"/>
  <c r="K119" i="5"/>
  <c r="J119" i="5"/>
  <c r="W119" i="5"/>
  <c r="I119" i="5"/>
  <c r="H119" i="5"/>
  <c r="G119" i="5"/>
  <c r="F119" i="5"/>
  <c r="K118" i="5"/>
  <c r="J118" i="5"/>
  <c r="I118" i="5"/>
  <c r="H118" i="5"/>
  <c r="G118" i="5"/>
  <c r="F118" i="5"/>
  <c r="K117" i="5"/>
  <c r="J117" i="5"/>
  <c r="W117" i="5"/>
  <c r="I117" i="5"/>
  <c r="H117" i="5"/>
  <c r="G117" i="5"/>
  <c r="F117" i="5"/>
  <c r="C116" i="5"/>
  <c r="V115" i="5"/>
  <c r="T115" i="5"/>
  <c r="R115" i="5"/>
  <c r="U115" i="5"/>
  <c r="S115" i="5"/>
  <c r="Q115" i="5"/>
  <c r="E115" i="5"/>
  <c r="D115" i="5"/>
  <c r="C115" i="5"/>
  <c r="B115" i="5"/>
  <c r="A115" i="5"/>
  <c r="A114" i="5"/>
  <c r="H112" i="5"/>
  <c r="J112" i="5"/>
  <c r="H111" i="5"/>
  <c r="J111" i="5"/>
  <c r="A111" i="5"/>
  <c r="AA109" i="5"/>
  <c r="Z109" i="5"/>
  <c r="Y109" i="5"/>
  <c r="X109" i="5"/>
  <c r="O109" i="5"/>
  <c r="H109" i="5"/>
  <c r="P109" i="5"/>
  <c r="J109" i="5"/>
  <c r="I108" i="5"/>
  <c r="H108" i="5"/>
  <c r="G108" i="5"/>
  <c r="E108" i="5"/>
  <c r="K107" i="5"/>
  <c r="J107" i="5"/>
  <c r="I107" i="5"/>
  <c r="E107" i="5"/>
  <c r="K106" i="5"/>
  <c r="J106" i="5"/>
  <c r="I106" i="5"/>
  <c r="E106" i="5"/>
  <c r="K105" i="5"/>
  <c r="J105" i="5"/>
  <c r="W105" i="5"/>
  <c r="I105" i="5"/>
  <c r="H105" i="5"/>
  <c r="G105" i="5"/>
  <c r="F105" i="5"/>
  <c r="C104" i="5"/>
  <c r="V103" i="5"/>
  <c r="T103" i="5"/>
  <c r="R103" i="5"/>
  <c r="U103" i="5"/>
  <c r="S103" i="5"/>
  <c r="Q103" i="5"/>
  <c r="E103" i="5"/>
  <c r="D103" i="5"/>
  <c r="C103" i="5"/>
  <c r="B103" i="5"/>
  <c r="A103" i="5"/>
  <c r="AA102" i="5"/>
  <c r="Z102" i="5"/>
  <c r="Y102" i="5"/>
  <c r="X102" i="5"/>
  <c r="O102" i="5"/>
  <c r="H102" i="5"/>
  <c r="P102" i="5"/>
  <c r="J102" i="5"/>
  <c r="I101" i="5"/>
  <c r="H101" i="5"/>
  <c r="G101" i="5"/>
  <c r="E101" i="5"/>
  <c r="K100" i="5"/>
  <c r="J100" i="5"/>
  <c r="I100" i="5"/>
  <c r="E100" i="5"/>
  <c r="K99" i="5"/>
  <c r="J99" i="5"/>
  <c r="I99" i="5"/>
  <c r="E99" i="5"/>
  <c r="K98" i="5"/>
  <c r="J98" i="5"/>
  <c r="I98" i="5"/>
  <c r="E98" i="5"/>
  <c r="K97" i="5"/>
  <c r="J97" i="5"/>
  <c r="I97" i="5"/>
  <c r="H97" i="5"/>
  <c r="G97" i="5"/>
  <c r="F97" i="5"/>
  <c r="K96" i="5"/>
  <c r="J96" i="5"/>
  <c r="W96" i="5"/>
  <c r="I96" i="5"/>
  <c r="H96" i="5"/>
  <c r="G96" i="5"/>
  <c r="F96" i="5"/>
  <c r="K95" i="5"/>
  <c r="J95" i="5"/>
  <c r="I95" i="5"/>
  <c r="H95" i="5"/>
  <c r="G95" i="5"/>
  <c r="F95" i="5"/>
  <c r="K94" i="5"/>
  <c r="J94" i="5"/>
  <c r="W94" i="5"/>
  <c r="I94" i="5"/>
  <c r="H94" i="5"/>
  <c r="G94" i="5"/>
  <c r="F94" i="5"/>
  <c r="V93" i="5"/>
  <c r="T93" i="5"/>
  <c r="R93" i="5"/>
  <c r="U93" i="5"/>
  <c r="S93" i="5"/>
  <c r="Q93" i="5"/>
  <c r="E93" i="5"/>
  <c r="D93" i="5"/>
  <c r="C93" i="5"/>
  <c r="B93" i="5"/>
  <c r="A93" i="5"/>
  <c r="AA92" i="5"/>
  <c r="Z92" i="5"/>
  <c r="Y92" i="5"/>
  <c r="X92" i="5"/>
  <c r="O92" i="5"/>
  <c r="H92" i="5"/>
  <c r="P92" i="5"/>
  <c r="J92" i="5"/>
  <c r="I91" i="5"/>
  <c r="H91" i="5"/>
  <c r="G91" i="5"/>
  <c r="E91" i="5"/>
  <c r="K90" i="5"/>
  <c r="J90" i="5"/>
  <c r="I90" i="5"/>
  <c r="E90" i="5"/>
  <c r="K89" i="5"/>
  <c r="J89" i="5"/>
  <c r="I89" i="5"/>
  <c r="E89" i="5"/>
  <c r="K88" i="5"/>
  <c r="J88" i="5"/>
  <c r="I88" i="5"/>
  <c r="E88" i="5"/>
  <c r="K87" i="5"/>
  <c r="J87" i="5"/>
  <c r="W87" i="5"/>
  <c r="I87" i="5"/>
  <c r="H87" i="5"/>
  <c r="G87" i="5"/>
  <c r="F87" i="5"/>
  <c r="K86" i="5"/>
  <c r="J86" i="5"/>
  <c r="I86" i="5"/>
  <c r="H86" i="5"/>
  <c r="G86" i="5"/>
  <c r="F86" i="5"/>
  <c r="K85" i="5"/>
  <c r="J85" i="5"/>
  <c r="W85" i="5"/>
  <c r="I85" i="5"/>
  <c r="H85" i="5"/>
  <c r="G85" i="5"/>
  <c r="F85" i="5"/>
  <c r="C84" i="5"/>
  <c r="V83" i="5"/>
  <c r="T83" i="5"/>
  <c r="R83" i="5"/>
  <c r="U83" i="5"/>
  <c r="S83" i="5"/>
  <c r="Q83" i="5"/>
  <c r="E83" i="5"/>
  <c r="D83" i="5"/>
  <c r="C83" i="5"/>
  <c r="B83" i="5"/>
  <c r="A83" i="5"/>
  <c r="AA82" i="5"/>
  <c r="Z82" i="5"/>
  <c r="Y82" i="5"/>
  <c r="X82" i="5"/>
  <c r="O82" i="5"/>
  <c r="H82" i="5"/>
  <c r="P82" i="5"/>
  <c r="J82" i="5"/>
  <c r="K81" i="5"/>
  <c r="J81" i="5"/>
  <c r="I81" i="5"/>
  <c r="E81" i="5"/>
  <c r="K80" i="5"/>
  <c r="J80" i="5"/>
  <c r="W80" i="5"/>
  <c r="I80" i="5"/>
  <c r="H80" i="5"/>
  <c r="G80" i="5"/>
  <c r="F80" i="5"/>
  <c r="K79" i="5"/>
  <c r="J79" i="5"/>
  <c r="I79" i="5"/>
  <c r="H79" i="5"/>
  <c r="G79" i="5"/>
  <c r="F79" i="5"/>
  <c r="C78" i="5"/>
  <c r="V77" i="5"/>
  <c r="T77" i="5"/>
  <c r="R77" i="5"/>
  <c r="U77" i="5"/>
  <c r="S77" i="5"/>
  <c r="Q77" i="5"/>
  <c r="E77" i="5"/>
  <c r="D77" i="5"/>
  <c r="C77" i="5"/>
  <c r="B77" i="5"/>
  <c r="A77" i="5"/>
  <c r="AA76" i="5"/>
  <c r="Z76" i="5"/>
  <c r="Y76" i="5"/>
  <c r="X76" i="5"/>
  <c r="O76" i="5"/>
  <c r="H76" i="5"/>
  <c r="P76" i="5"/>
  <c r="J76" i="5"/>
  <c r="K75" i="5"/>
  <c r="J75" i="5"/>
  <c r="I75" i="5"/>
  <c r="E75" i="5"/>
  <c r="K74" i="5"/>
  <c r="J74" i="5"/>
  <c r="H74" i="5"/>
  <c r="AA74" i="5"/>
  <c r="Z74" i="5"/>
  <c r="Y74" i="5"/>
  <c r="X74" i="5"/>
  <c r="I74" i="5"/>
  <c r="F74" i="5"/>
  <c r="V74" i="5"/>
  <c r="T74" i="5"/>
  <c r="R74" i="5"/>
  <c r="U74" i="5"/>
  <c r="S74" i="5"/>
  <c r="Q74" i="5"/>
  <c r="E74" i="5"/>
  <c r="D74" i="5"/>
  <c r="C74" i="5"/>
  <c r="B74" i="5"/>
  <c r="A74" i="5"/>
  <c r="K73" i="5"/>
  <c r="J73" i="5"/>
  <c r="W73" i="5"/>
  <c r="I73" i="5"/>
  <c r="H73" i="5"/>
  <c r="G73" i="5"/>
  <c r="F73" i="5"/>
  <c r="K72" i="5"/>
  <c r="J72" i="5"/>
  <c r="I72" i="5"/>
  <c r="H72" i="5"/>
  <c r="G72" i="5"/>
  <c r="F72" i="5"/>
  <c r="C71" i="5"/>
  <c r="V70" i="5"/>
  <c r="T70" i="5"/>
  <c r="R70" i="5"/>
  <c r="U70" i="5"/>
  <c r="S70" i="5"/>
  <c r="Q70" i="5"/>
  <c r="E70" i="5"/>
  <c r="D70" i="5"/>
  <c r="C70" i="5"/>
  <c r="B70" i="5"/>
  <c r="A70" i="5"/>
  <c r="AA69" i="5"/>
  <c r="Z69" i="5"/>
  <c r="Y69" i="5"/>
  <c r="X69" i="5"/>
  <c r="O69" i="5"/>
  <c r="H69" i="5"/>
  <c r="P69" i="5"/>
  <c r="J69" i="5"/>
  <c r="C68" i="5"/>
  <c r="K67" i="5"/>
  <c r="J67" i="5"/>
  <c r="I67" i="5"/>
  <c r="H67" i="5"/>
  <c r="G67" i="5"/>
  <c r="F67" i="5"/>
  <c r="V67" i="5"/>
  <c r="T67" i="5"/>
  <c r="R67" i="5"/>
  <c r="U67" i="5"/>
  <c r="S67" i="5"/>
  <c r="Q67" i="5"/>
  <c r="E67" i="5"/>
  <c r="D67" i="5"/>
  <c r="C67" i="5"/>
  <c r="B67" i="5"/>
  <c r="A67" i="5"/>
  <c r="AA66" i="5"/>
  <c r="Z66" i="5"/>
  <c r="Y66" i="5"/>
  <c r="X66" i="5"/>
  <c r="O66" i="5"/>
  <c r="H66" i="5"/>
  <c r="P66" i="5"/>
  <c r="J66" i="5"/>
  <c r="I65" i="5"/>
  <c r="H65" i="5"/>
  <c r="G65" i="5"/>
  <c r="E65" i="5"/>
  <c r="K64" i="5"/>
  <c r="J64" i="5"/>
  <c r="I64" i="5"/>
  <c r="E64" i="5"/>
  <c r="K63" i="5"/>
  <c r="J63" i="5"/>
  <c r="I63" i="5"/>
  <c r="E63" i="5"/>
  <c r="K62" i="5"/>
  <c r="J62" i="5"/>
  <c r="I62" i="5"/>
  <c r="E62" i="5"/>
  <c r="K61" i="5"/>
  <c r="J61" i="5"/>
  <c r="I61" i="5"/>
  <c r="H61" i="5"/>
  <c r="G61" i="5"/>
  <c r="F61" i="5"/>
  <c r="K60" i="5"/>
  <c r="J60" i="5"/>
  <c r="W60" i="5"/>
  <c r="I60" i="5"/>
  <c r="H60" i="5"/>
  <c r="G60" i="5"/>
  <c r="F60" i="5"/>
  <c r="K59" i="5"/>
  <c r="J59" i="5"/>
  <c r="I59" i="5"/>
  <c r="H59" i="5"/>
  <c r="G59" i="5"/>
  <c r="F59" i="5"/>
  <c r="K58" i="5"/>
  <c r="J58" i="5"/>
  <c r="W58" i="5"/>
  <c r="I58" i="5"/>
  <c r="H58" i="5"/>
  <c r="G58" i="5"/>
  <c r="F58" i="5"/>
  <c r="C57" i="5"/>
  <c r="V56" i="5"/>
  <c r="T56" i="5"/>
  <c r="R56" i="5"/>
  <c r="U56" i="5"/>
  <c r="S56" i="5"/>
  <c r="Q56" i="5"/>
  <c r="E56" i="5"/>
  <c r="D56" i="5"/>
  <c r="C56" i="5"/>
  <c r="B56" i="5"/>
  <c r="A56" i="5"/>
  <c r="AA55" i="5"/>
  <c r="Z55" i="5"/>
  <c r="Y55" i="5"/>
  <c r="X55" i="5"/>
  <c r="O55" i="5"/>
  <c r="H55" i="5"/>
  <c r="P55" i="5"/>
  <c r="J55" i="5"/>
  <c r="I54" i="5"/>
  <c r="H54" i="5"/>
  <c r="G54" i="5"/>
  <c r="E54" i="5"/>
  <c r="K53" i="5"/>
  <c r="J53" i="5"/>
  <c r="I53" i="5"/>
  <c r="E53" i="5"/>
  <c r="K52" i="5"/>
  <c r="J52" i="5"/>
  <c r="I52" i="5"/>
  <c r="E52" i="5"/>
  <c r="K51" i="5"/>
  <c r="J51" i="5"/>
  <c r="W51" i="5"/>
  <c r="I51" i="5"/>
  <c r="H51" i="5"/>
  <c r="G51" i="5"/>
  <c r="F51" i="5"/>
  <c r="C50" i="5"/>
  <c r="V49" i="5"/>
  <c r="T49" i="5"/>
  <c r="R49" i="5"/>
  <c r="U49" i="5"/>
  <c r="S49" i="5"/>
  <c r="Q49" i="5"/>
  <c r="E49" i="5"/>
  <c r="D49" i="5"/>
  <c r="C49" i="5"/>
  <c r="B49" i="5"/>
  <c r="A49" i="5"/>
  <c r="AA48" i="5"/>
  <c r="Z48" i="5"/>
  <c r="Y48" i="5"/>
  <c r="X48" i="5"/>
  <c r="O48" i="5"/>
  <c r="H48" i="5"/>
  <c r="P48" i="5"/>
  <c r="J48" i="5"/>
  <c r="I47" i="5"/>
  <c r="H47" i="5"/>
  <c r="G47" i="5"/>
  <c r="E47" i="5"/>
  <c r="K46" i="5"/>
  <c r="J46" i="5"/>
  <c r="I46" i="5"/>
  <c r="E46" i="5"/>
  <c r="K45" i="5"/>
  <c r="J45" i="5"/>
  <c r="I45" i="5"/>
  <c r="E45" i="5"/>
  <c r="K44" i="5"/>
  <c r="J44" i="5"/>
  <c r="I44" i="5"/>
  <c r="E44" i="5"/>
  <c r="K43" i="5"/>
  <c r="J43" i="5"/>
  <c r="W43" i="5"/>
  <c r="I43" i="5"/>
  <c r="H43" i="5"/>
  <c r="G43" i="5"/>
  <c r="F43" i="5"/>
  <c r="K42" i="5"/>
  <c r="J42" i="5"/>
  <c r="I42" i="5"/>
  <c r="H42" i="5"/>
  <c r="G42" i="5"/>
  <c r="F42" i="5"/>
  <c r="K41" i="5"/>
  <c r="J41" i="5"/>
  <c r="W41" i="5"/>
  <c r="I41" i="5"/>
  <c r="H41" i="5"/>
  <c r="G41" i="5"/>
  <c r="F41" i="5"/>
  <c r="C40" i="5"/>
  <c r="V39" i="5"/>
  <c r="T39" i="5"/>
  <c r="R39" i="5"/>
  <c r="U39" i="5"/>
  <c r="S39" i="5"/>
  <c r="Q39" i="5"/>
  <c r="E39" i="5"/>
  <c r="D39" i="5"/>
  <c r="C39" i="5"/>
  <c r="B39" i="5"/>
  <c r="A39" i="5"/>
  <c r="AA38" i="5"/>
  <c r="Z38" i="5"/>
  <c r="Y38" i="5"/>
  <c r="X38" i="5"/>
  <c r="O38" i="5"/>
  <c r="H38" i="5"/>
  <c r="P38" i="5"/>
  <c r="J38" i="5"/>
  <c r="I37" i="5"/>
  <c r="H37" i="5"/>
  <c r="G37" i="5"/>
  <c r="E37" i="5"/>
  <c r="K36" i="5"/>
  <c r="J36" i="5"/>
  <c r="I36" i="5"/>
  <c r="E36" i="5"/>
  <c r="K35" i="5"/>
  <c r="J35" i="5"/>
  <c r="I35" i="5"/>
  <c r="E35" i="5"/>
  <c r="K34" i="5"/>
  <c r="J34" i="5"/>
  <c r="I34" i="5"/>
  <c r="E34" i="5"/>
  <c r="K33" i="5"/>
  <c r="J33" i="5"/>
  <c r="W33" i="5"/>
  <c r="I33" i="5"/>
  <c r="H33" i="5"/>
  <c r="G33" i="5"/>
  <c r="F33" i="5"/>
  <c r="K32" i="5"/>
  <c r="J32" i="5"/>
  <c r="I32" i="5"/>
  <c r="H32" i="5"/>
  <c r="G32" i="5"/>
  <c r="F32" i="5"/>
  <c r="K31" i="5"/>
  <c r="J31" i="5"/>
  <c r="W31" i="5"/>
  <c r="I31" i="5"/>
  <c r="H31" i="5"/>
  <c r="G31" i="5"/>
  <c r="F31" i="5"/>
  <c r="C30" i="5"/>
  <c r="V29" i="5"/>
  <c r="T29" i="5"/>
  <c r="R29" i="5"/>
  <c r="U29" i="5"/>
  <c r="S29" i="5"/>
  <c r="Q29" i="5"/>
  <c r="E29" i="5"/>
  <c r="D29" i="5"/>
  <c r="C29" i="5"/>
  <c r="B29" i="5"/>
  <c r="A29" i="5"/>
  <c r="A28" i="5"/>
  <c r="A26" i="5"/>
  <c r="A14" i="5"/>
  <c r="A11" i="5"/>
  <c r="A9" i="5"/>
  <c r="A6" i="5"/>
  <c r="A1" i="5"/>
  <c r="A1" i="4" l="1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1" i="3"/>
  <c r="CY1" i="3"/>
  <c r="CZ1" i="3"/>
  <c r="DA1" i="3"/>
  <c r="A2" i="3"/>
  <c r="CY2" i="3"/>
  <c r="CZ2" i="3"/>
  <c r="DA2" i="3"/>
  <c r="A3" i="3"/>
  <c r="CY3" i="3"/>
  <c r="CZ3" i="3"/>
  <c r="DA3" i="3"/>
  <c r="A4" i="3"/>
  <c r="CX4" i="3"/>
  <c r="CY4" i="3"/>
  <c r="CZ4" i="3"/>
  <c r="DA4" i="3"/>
  <c r="A5" i="3"/>
  <c r="CY5" i="3"/>
  <c r="CZ5" i="3"/>
  <c r="DA5" i="3"/>
  <c r="A6" i="3"/>
  <c r="CY6" i="3"/>
  <c r="CZ6" i="3"/>
  <c r="DA6" i="3"/>
  <c r="A7" i="3"/>
  <c r="CY7" i="3"/>
  <c r="CZ7" i="3"/>
  <c r="DA7" i="3"/>
  <c r="A8" i="3"/>
  <c r="CY8" i="3"/>
  <c r="CZ8" i="3"/>
  <c r="DA8" i="3"/>
  <c r="A9" i="3"/>
  <c r="CY9" i="3"/>
  <c r="CZ9" i="3"/>
  <c r="DA9" i="3"/>
  <c r="A10" i="3"/>
  <c r="CY10" i="3"/>
  <c r="CZ10" i="3"/>
  <c r="DA10" i="3"/>
  <c r="A11" i="3"/>
  <c r="CY11" i="3"/>
  <c r="CZ11" i="3"/>
  <c r="DA11" i="3"/>
  <c r="A12" i="3"/>
  <c r="CX12" i="3"/>
  <c r="CY12" i="3"/>
  <c r="CZ12" i="3"/>
  <c r="DA12" i="3"/>
  <c r="A13" i="3"/>
  <c r="CY13" i="3"/>
  <c r="CZ13" i="3"/>
  <c r="DA13" i="3"/>
  <c r="A14" i="3"/>
  <c r="CY14" i="3"/>
  <c r="CZ14" i="3"/>
  <c r="DA14" i="3"/>
  <c r="A15" i="3"/>
  <c r="CY15" i="3"/>
  <c r="CZ15" i="3"/>
  <c r="DA15" i="3"/>
  <c r="A16" i="3"/>
  <c r="CY16" i="3"/>
  <c r="CZ16" i="3"/>
  <c r="DA16" i="3"/>
  <c r="A17" i="3"/>
  <c r="CY17" i="3"/>
  <c r="CZ17" i="3"/>
  <c r="DA17" i="3"/>
  <c r="A18" i="3"/>
  <c r="CY18" i="3"/>
  <c r="CZ18" i="3"/>
  <c r="DA18" i="3"/>
  <c r="A19" i="3"/>
  <c r="CY19" i="3"/>
  <c r="CZ19" i="3"/>
  <c r="DA19" i="3"/>
  <c r="A20" i="3"/>
  <c r="CY20" i="3"/>
  <c r="CZ20" i="3"/>
  <c r="DA20" i="3"/>
  <c r="A21" i="3"/>
  <c r="CY21" i="3"/>
  <c r="CZ21" i="3"/>
  <c r="DA21" i="3"/>
  <c r="A22" i="3"/>
  <c r="CY22" i="3"/>
  <c r="CZ22" i="3"/>
  <c r="DA22" i="3"/>
  <c r="A23" i="3"/>
  <c r="CY23" i="3"/>
  <c r="CZ23" i="3"/>
  <c r="DA23" i="3"/>
  <c r="A24" i="3"/>
  <c r="CY24" i="3"/>
  <c r="CZ24" i="3"/>
  <c r="DA24" i="3"/>
  <c r="A25" i="3"/>
  <c r="CY25" i="3"/>
  <c r="CZ25" i="3"/>
  <c r="DA25" i="3"/>
  <c r="A26" i="3"/>
  <c r="CY26" i="3"/>
  <c r="CZ26" i="3"/>
  <c r="DA26" i="3"/>
  <c r="A27" i="3"/>
  <c r="CY27" i="3"/>
  <c r="CZ27" i="3"/>
  <c r="DA27" i="3"/>
  <c r="A28" i="3"/>
  <c r="CY28" i="3"/>
  <c r="CZ28" i="3"/>
  <c r="DA28" i="3"/>
  <c r="A29" i="3"/>
  <c r="CY29" i="3"/>
  <c r="CZ29" i="3"/>
  <c r="DA29" i="3"/>
  <c r="A30" i="3"/>
  <c r="CY30" i="3"/>
  <c r="CZ30" i="3"/>
  <c r="DA30" i="3"/>
  <c r="A31" i="3"/>
  <c r="CY31" i="3"/>
  <c r="CZ31" i="3"/>
  <c r="DA31" i="3"/>
  <c r="A32" i="3"/>
  <c r="CY32" i="3"/>
  <c r="CZ32" i="3"/>
  <c r="DA32" i="3"/>
  <c r="A33" i="3"/>
  <c r="CY33" i="3"/>
  <c r="CZ33" i="3"/>
  <c r="DA33" i="3"/>
  <c r="A34" i="3"/>
  <c r="CY34" i="3"/>
  <c r="CZ34" i="3"/>
  <c r="DA34" i="3"/>
  <c r="A35" i="3"/>
  <c r="CY35" i="3"/>
  <c r="CZ35" i="3"/>
  <c r="DA35" i="3"/>
  <c r="A36" i="3"/>
  <c r="CY36" i="3"/>
  <c r="CZ36" i="3"/>
  <c r="DA36" i="3"/>
  <c r="A37" i="3"/>
  <c r="CY37" i="3"/>
  <c r="CZ37" i="3"/>
  <c r="DA37" i="3"/>
  <c r="A38" i="3"/>
  <c r="CY38" i="3"/>
  <c r="CZ38" i="3"/>
  <c r="DA38" i="3"/>
  <c r="A39" i="3"/>
  <c r="CY39" i="3"/>
  <c r="CZ39" i="3"/>
  <c r="DA39" i="3"/>
  <c r="A40" i="3"/>
  <c r="CY40" i="3"/>
  <c r="CZ40" i="3"/>
  <c r="DA40" i="3"/>
  <c r="A41" i="3"/>
  <c r="CY41" i="3"/>
  <c r="CZ41" i="3"/>
  <c r="DA41" i="3"/>
  <c r="A42" i="3"/>
  <c r="CY42" i="3"/>
  <c r="CZ42" i="3"/>
  <c r="DA42" i="3"/>
  <c r="A43" i="3"/>
  <c r="CY43" i="3"/>
  <c r="CZ43" i="3"/>
  <c r="DA43" i="3"/>
  <c r="A44" i="3"/>
  <c r="CY44" i="3"/>
  <c r="CZ44" i="3"/>
  <c r="DA44" i="3"/>
  <c r="A45" i="3"/>
  <c r="CY45" i="3"/>
  <c r="CZ45" i="3"/>
  <c r="DA45" i="3"/>
  <c r="A46" i="3"/>
  <c r="CY46" i="3"/>
  <c r="CZ46" i="3"/>
  <c r="DA46" i="3"/>
  <c r="A47" i="3"/>
  <c r="CY47" i="3"/>
  <c r="CZ47" i="3"/>
  <c r="DA47" i="3"/>
  <c r="A48" i="3"/>
  <c r="CX48" i="3"/>
  <c r="CY48" i="3"/>
  <c r="CZ48" i="3"/>
  <c r="DA48" i="3"/>
  <c r="A49" i="3"/>
  <c r="CX49" i="3"/>
  <c r="CY49" i="3"/>
  <c r="CZ49" i="3"/>
  <c r="DA49" i="3"/>
  <c r="A50" i="3"/>
  <c r="CY50" i="3"/>
  <c r="CZ50" i="3"/>
  <c r="DA50" i="3"/>
  <c r="A51" i="3"/>
  <c r="CY51" i="3"/>
  <c r="CZ51" i="3"/>
  <c r="DA51" i="3"/>
  <c r="A52" i="3"/>
  <c r="CX52" i="3"/>
  <c r="CY52" i="3"/>
  <c r="CZ52" i="3"/>
  <c r="DA52" i="3"/>
  <c r="A53" i="3"/>
  <c r="CX53" i="3"/>
  <c r="CY53" i="3"/>
  <c r="CZ53" i="3"/>
  <c r="DA53" i="3"/>
  <c r="A54" i="3"/>
  <c r="CX54" i="3"/>
  <c r="CY54" i="3"/>
  <c r="CZ54" i="3"/>
  <c r="DA54" i="3"/>
  <c r="A55" i="3"/>
  <c r="CX55" i="3"/>
  <c r="CY55" i="3"/>
  <c r="CZ55" i="3"/>
  <c r="DA55" i="3"/>
  <c r="A56" i="3"/>
  <c r="CX56" i="3"/>
  <c r="CY56" i="3"/>
  <c r="CZ56" i="3"/>
  <c r="DA56" i="3"/>
  <c r="A57" i="3"/>
  <c r="CY57" i="3"/>
  <c r="CZ57" i="3"/>
  <c r="DA57" i="3"/>
  <c r="A58" i="3"/>
  <c r="CY58" i="3"/>
  <c r="CZ58" i="3"/>
  <c r="DA58" i="3"/>
  <c r="A59" i="3"/>
  <c r="CY59" i="3"/>
  <c r="CZ59" i="3"/>
  <c r="DA59" i="3"/>
  <c r="A60" i="3"/>
  <c r="CY60" i="3"/>
  <c r="CZ60" i="3"/>
  <c r="DA60" i="3"/>
  <c r="A61" i="3"/>
  <c r="CY61" i="3"/>
  <c r="CZ61" i="3"/>
  <c r="DA61" i="3"/>
  <c r="A62" i="3"/>
  <c r="CY62" i="3"/>
  <c r="CZ62" i="3"/>
  <c r="DA62" i="3"/>
  <c r="A63" i="3"/>
  <c r="CY63" i="3"/>
  <c r="CZ63" i="3"/>
  <c r="DA63" i="3"/>
  <c r="A64" i="3"/>
  <c r="CY64" i="3"/>
  <c r="CZ64" i="3"/>
  <c r="DA64" i="3"/>
  <c r="A65" i="3"/>
  <c r="CY65" i="3"/>
  <c r="CZ65" i="3"/>
  <c r="DA65" i="3"/>
  <c r="A66" i="3"/>
  <c r="CY66" i="3"/>
  <c r="CZ66" i="3"/>
  <c r="DA66" i="3"/>
  <c r="A67" i="3"/>
  <c r="CY67" i="3"/>
  <c r="CZ67" i="3"/>
  <c r="DA67" i="3"/>
  <c r="A68" i="3"/>
  <c r="CY68" i="3"/>
  <c r="CZ68" i="3"/>
  <c r="DA68" i="3"/>
  <c r="A69" i="3"/>
  <c r="CX69" i="3"/>
  <c r="CY69" i="3"/>
  <c r="CZ69" i="3"/>
  <c r="DA69" i="3"/>
  <c r="A70" i="3"/>
  <c r="CX70" i="3"/>
  <c r="CY70" i="3"/>
  <c r="CZ70" i="3"/>
  <c r="DA70" i="3"/>
  <c r="A71" i="3"/>
  <c r="CX71" i="3"/>
  <c r="CY71" i="3"/>
  <c r="CZ71" i="3"/>
  <c r="DA71" i="3"/>
  <c r="A72" i="3"/>
  <c r="CX72" i="3"/>
  <c r="CY72" i="3"/>
  <c r="CZ72" i="3"/>
  <c r="DA72" i="3"/>
  <c r="A73" i="3"/>
  <c r="CX73" i="3"/>
  <c r="CY73" i="3"/>
  <c r="CZ73" i="3"/>
  <c r="DA73" i="3"/>
  <c r="A74" i="3"/>
  <c r="CX74" i="3"/>
  <c r="CY74" i="3"/>
  <c r="CZ74" i="3"/>
  <c r="DA74" i="3"/>
  <c r="A75" i="3"/>
  <c r="CX75" i="3"/>
  <c r="CY75" i="3"/>
  <c r="CZ75" i="3"/>
  <c r="DA75" i="3"/>
  <c r="A76" i="3"/>
  <c r="CX76" i="3"/>
  <c r="CY76" i="3"/>
  <c r="CZ76" i="3"/>
  <c r="DA76" i="3"/>
  <c r="A77" i="3"/>
  <c r="CX77" i="3"/>
  <c r="CY77" i="3"/>
  <c r="CZ77" i="3"/>
  <c r="DA77" i="3"/>
  <c r="D12" i="1"/>
  <c r="E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DI18" i="1"/>
  <c r="DJ18" i="1"/>
  <c r="DK18" i="1"/>
  <c r="DL18" i="1"/>
  <c r="DM18" i="1"/>
  <c r="DN18" i="1"/>
  <c r="DO18" i="1"/>
  <c r="DP18" i="1"/>
  <c r="DQ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G18" i="1"/>
  <c r="EH18" i="1"/>
  <c r="EI18" i="1"/>
  <c r="EJ18" i="1"/>
  <c r="EK18" i="1"/>
  <c r="EL18" i="1"/>
  <c r="EM18" i="1"/>
  <c r="EN18" i="1"/>
  <c r="EO18" i="1"/>
  <c r="EP18" i="1"/>
  <c r="EQ18" i="1"/>
  <c r="ER18" i="1"/>
  <c r="ES18" i="1"/>
  <c r="ET18" i="1"/>
  <c r="EU18" i="1"/>
  <c r="EV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D20" i="1"/>
  <c r="E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G22" i="1"/>
  <c r="EH22" i="1"/>
  <c r="EI22" i="1"/>
  <c r="EJ22" i="1"/>
  <c r="EK22" i="1"/>
  <c r="EL22" i="1"/>
  <c r="EM22" i="1"/>
  <c r="EN22" i="1"/>
  <c r="EO22" i="1"/>
  <c r="EP22" i="1"/>
  <c r="EQ22" i="1"/>
  <c r="ER22" i="1"/>
  <c r="ES22" i="1"/>
  <c r="ET22" i="1"/>
  <c r="EU22" i="1"/>
  <c r="EV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FP22" i="1"/>
  <c r="FQ22" i="1"/>
  <c r="FR22" i="1"/>
  <c r="FS22" i="1"/>
  <c r="FT22" i="1"/>
  <c r="FU22" i="1"/>
  <c r="FV22" i="1"/>
  <c r="FW22" i="1"/>
  <c r="FX22" i="1"/>
  <c r="FY22" i="1"/>
  <c r="FZ22" i="1"/>
  <c r="GA22" i="1"/>
  <c r="GB22" i="1"/>
  <c r="GC22" i="1"/>
  <c r="GD22" i="1"/>
  <c r="GE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D24" i="1"/>
  <c r="E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EF26" i="1"/>
  <c r="EG26" i="1"/>
  <c r="EH26" i="1"/>
  <c r="EI26" i="1"/>
  <c r="EJ26" i="1"/>
  <c r="EK26" i="1"/>
  <c r="EL26" i="1"/>
  <c r="EM26" i="1"/>
  <c r="EN26" i="1"/>
  <c r="EO26" i="1"/>
  <c r="EP26" i="1"/>
  <c r="EQ26" i="1"/>
  <c r="ER26" i="1"/>
  <c r="ES26" i="1"/>
  <c r="ET26" i="1"/>
  <c r="EU26" i="1"/>
  <c r="EV26" i="1"/>
  <c r="EW26" i="1"/>
  <c r="EX26" i="1"/>
  <c r="EY26" i="1"/>
  <c r="EZ26" i="1"/>
  <c r="FA26" i="1"/>
  <c r="FB26" i="1"/>
  <c r="FC26" i="1"/>
  <c r="FD26" i="1"/>
  <c r="FE26" i="1"/>
  <c r="FF26" i="1"/>
  <c r="FG26" i="1"/>
  <c r="FH26" i="1"/>
  <c r="FI26" i="1"/>
  <c r="FJ26" i="1"/>
  <c r="FK26" i="1"/>
  <c r="FL26" i="1"/>
  <c r="FM26" i="1"/>
  <c r="FN26" i="1"/>
  <c r="FO26" i="1"/>
  <c r="FP26" i="1"/>
  <c r="FQ26" i="1"/>
  <c r="FR26" i="1"/>
  <c r="FS26" i="1"/>
  <c r="FT26" i="1"/>
  <c r="FU26" i="1"/>
  <c r="FV26" i="1"/>
  <c r="FW26" i="1"/>
  <c r="FX26" i="1"/>
  <c r="FY26" i="1"/>
  <c r="FZ26" i="1"/>
  <c r="GA26" i="1"/>
  <c r="GB26" i="1"/>
  <c r="GC26" i="1"/>
  <c r="GD26" i="1"/>
  <c r="GE26" i="1"/>
  <c r="GF26" i="1"/>
  <c r="GG26" i="1"/>
  <c r="GH26" i="1"/>
  <c r="GI26" i="1"/>
  <c r="GJ26" i="1"/>
  <c r="GK26" i="1"/>
  <c r="GL26" i="1"/>
  <c r="GM26" i="1"/>
  <c r="GN26" i="1"/>
  <c r="GO26" i="1"/>
  <c r="GP26" i="1"/>
  <c r="GQ26" i="1"/>
  <c r="GR26" i="1"/>
  <c r="GS26" i="1"/>
  <c r="GT26" i="1"/>
  <c r="GU26" i="1"/>
  <c r="GV26" i="1"/>
  <c r="GW26" i="1"/>
  <c r="GX26" i="1"/>
  <c r="D28" i="1"/>
  <c r="E30" i="1"/>
  <c r="Z30" i="1"/>
  <c r="AA30" i="1"/>
  <c r="AM30" i="1"/>
  <c r="AN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DB30" i="1"/>
  <c r="DC30" i="1"/>
  <c r="DD30" i="1"/>
  <c r="DE30" i="1"/>
  <c r="DF30" i="1"/>
  <c r="DG30" i="1"/>
  <c r="DH30" i="1"/>
  <c r="DI30" i="1"/>
  <c r="DJ30" i="1"/>
  <c r="DK30" i="1"/>
  <c r="DL30" i="1"/>
  <c r="DM30" i="1"/>
  <c r="DN30" i="1"/>
  <c r="DO30" i="1"/>
  <c r="DP30" i="1"/>
  <c r="DQ30" i="1"/>
  <c r="DR30" i="1"/>
  <c r="DS30" i="1"/>
  <c r="DT30" i="1"/>
  <c r="DU30" i="1"/>
  <c r="DV30" i="1"/>
  <c r="DW30" i="1"/>
  <c r="DX30" i="1"/>
  <c r="DY30" i="1"/>
  <c r="DZ30" i="1"/>
  <c r="EA30" i="1"/>
  <c r="EB30" i="1"/>
  <c r="EC30" i="1"/>
  <c r="ED30" i="1"/>
  <c r="EE30" i="1"/>
  <c r="EF30" i="1"/>
  <c r="EG30" i="1"/>
  <c r="EH30" i="1"/>
  <c r="EI30" i="1"/>
  <c r="EJ30" i="1"/>
  <c r="EK30" i="1"/>
  <c r="EL30" i="1"/>
  <c r="EM30" i="1"/>
  <c r="EN30" i="1"/>
  <c r="EO30" i="1"/>
  <c r="EP30" i="1"/>
  <c r="EQ30" i="1"/>
  <c r="ER30" i="1"/>
  <c r="ES30" i="1"/>
  <c r="ET30" i="1"/>
  <c r="EU30" i="1"/>
  <c r="EV30" i="1"/>
  <c r="EW30" i="1"/>
  <c r="EX30" i="1"/>
  <c r="EY30" i="1"/>
  <c r="EZ30" i="1"/>
  <c r="FA30" i="1"/>
  <c r="FB30" i="1"/>
  <c r="FC30" i="1"/>
  <c r="FD30" i="1"/>
  <c r="FE30" i="1"/>
  <c r="FF30" i="1"/>
  <c r="FG30" i="1"/>
  <c r="FH30" i="1"/>
  <c r="FI30" i="1"/>
  <c r="FJ30" i="1"/>
  <c r="FK30" i="1"/>
  <c r="FL30" i="1"/>
  <c r="FM30" i="1"/>
  <c r="FN30" i="1"/>
  <c r="FO30" i="1"/>
  <c r="FP30" i="1"/>
  <c r="FQ30" i="1"/>
  <c r="FR30" i="1"/>
  <c r="FS30" i="1"/>
  <c r="FT30" i="1"/>
  <c r="FU30" i="1"/>
  <c r="FV30" i="1"/>
  <c r="FW30" i="1"/>
  <c r="FX30" i="1"/>
  <c r="FY30" i="1"/>
  <c r="FZ30" i="1"/>
  <c r="GA30" i="1"/>
  <c r="GB30" i="1"/>
  <c r="GC30" i="1"/>
  <c r="GD30" i="1"/>
  <c r="GE30" i="1"/>
  <c r="GF30" i="1"/>
  <c r="GG30" i="1"/>
  <c r="GH30" i="1"/>
  <c r="GI30" i="1"/>
  <c r="GJ30" i="1"/>
  <c r="GK30" i="1"/>
  <c r="GL30" i="1"/>
  <c r="GM30" i="1"/>
  <c r="GN30" i="1"/>
  <c r="GO30" i="1"/>
  <c r="GP30" i="1"/>
  <c r="GQ30" i="1"/>
  <c r="GR30" i="1"/>
  <c r="GS30" i="1"/>
  <c r="GT30" i="1"/>
  <c r="GU30" i="1"/>
  <c r="GV30" i="1"/>
  <c r="GW30" i="1"/>
  <c r="GX30" i="1"/>
  <c r="C32" i="1"/>
  <c r="D32" i="1"/>
  <c r="I32" i="1"/>
  <c r="CX2" i="3" s="1"/>
  <c r="P32" i="1"/>
  <c r="AC32" i="1"/>
  <c r="AD32" i="1"/>
  <c r="AB32" i="1" s="1"/>
  <c r="AE32" i="1"/>
  <c r="AF32" i="1"/>
  <c r="AG32" i="1"/>
  <c r="CU32" i="1" s="1"/>
  <c r="T32" i="1" s="1"/>
  <c r="AH32" i="1"/>
  <c r="CV32" i="1" s="1"/>
  <c r="U32" i="1" s="1"/>
  <c r="AI32" i="1"/>
  <c r="AJ32" i="1"/>
  <c r="CX32" i="1" s="1"/>
  <c r="W32" i="1" s="1"/>
  <c r="CQ32" i="1"/>
  <c r="CR32" i="1"/>
  <c r="Q32" i="1" s="1"/>
  <c r="CS32" i="1"/>
  <c r="R32" i="1" s="1"/>
  <c r="GK32" i="1" s="1"/>
  <c r="CT32" i="1"/>
  <c r="S32" i="1" s="1"/>
  <c r="CW32" i="1"/>
  <c r="V32" i="1" s="1"/>
  <c r="FR32" i="1"/>
  <c r="GL32" i="1"/>
  <c r="GO32" i="1"/>
  <c r="GP32" i="1"/>
  <c r="GV32" i="1"/>
  <c r="GX32" i="1"/>
  <c r="C33" i="1"/>
  <c r="D33" i="1"/>
  <c r="I33" i="1"/>
  <c r="CX3" i="3" s="1"/>
  <c r="AC33" i="1"/>
  <c r="AD33" i="1"/>
  <c r="AE33" i="1"/>
  <c r="CS33" i="1" s="1"/>
  <c r="R33" i="1" s="1"/>
  <c r="GK33" i="1" s="1"/>
  <c r="AF33" i="1"/>
  <c r="AG33" i="1"/>
  <c r="CU33" i="1" s="1"/>
  <c r="T33" i="1" s="1"/>
  <c r="AH33" i="1"/>
  <c r="CV33" i="1" s="1"/>
  <c r="U33" i="1" s="1"/>
  <c r="AI33" i="1"/>
  <c r="CW33" i="1" s="1"/>
  <c r="V33" i="1" s="1"/>
  <c r="AJ33" i="1"/>
  <c r="CQ33" i="1"/>
  <c r="P33" i="1" s="1"/>
  <c r="CR33" i="1"/>
  <c r="Q33" i="1" s="1"/>
  <c r="CT33" i="1"/>
  <c r="S33" i="1" s="1"/>
  <c r="CZ33" i="1" s="1"/>
  <c r="Y33" i="1" s="1"/>
  <c r="CX33" i="1"/>
  <c r="W33" i="1" s="1"/>
  <c r="FR33" i="1"/>
  <c r="GL33" i="1"/>
  <c r="GO33" i="1"/>
  <c r="GP33" i="1"/>
  <c r="GV33" i="1"/>
  <c r="GX33" i="1" s="1"/>
  <c r="I34" i="1"/>
  <c r="V34" i="1"/>
  <c r="AC34" i="1"/>
  <c r="AD34" i="1"/>
  <c r="AE34" i="1"/>
  <c r="AF34" i="1"/>
  <c r="CT34" i="1" s="1"/>
  <c r="S34" i="1" s="1"/>
  <c r="AG34" i="1"/>
  <c r="CU34" i="1" s="1"/>
  <c r="T34" i="1" s="1"/>
  <c r="AH34" i="1"/>
  <c r="AI34" i="1"/>
  <c r="AJ34" i="1"/>
  <c r="CR34" i="1"/>
  <c r="Q34" i="1" s="1"/>
  <c r="CS34" i="1"/>
  <c r="R34" i="1" s="1"/>
  <c r="GK34" i="1" s="1"/>
  <c r="CV34" i="1"/>
  <c r="U34" i="1" s="1"/>
  <c r="CW34" i="1"/>
  <c r="CX34" i="1"/>
  <c r="W34" i="1" s="1"/>
  <c r="FR34" i="1"/>
  <c r="GL34" i="1"/>
  <c r="GO34" i="1"/>
  <c r="GP34" i="1"/>
  <c r="GV34" i="1"/>
  <c r="GX34" i="1"/>
  <c r="C35" i="1"/>
  <c r="D35" i="1"/>
  <c r="I35" i="1"/>
  <c r="CX6" i="3" s="1"/>
  <c r="Q35" i="1"/>
  <c r="S35" i="1"/>
  <c r="CY35" i="1" s="1"/>
  <c r="X35" i="1"/>
  <c r="AC35" i="1"/>
  <c r="AB35" i="1" s="1"/>
  <c r="AD35" i="1"/>
  <c r="AE35" i="1"/>
  <c r="AF35" i="1"/>
  <c r="AG35" i="1"/>
  <c r="AH35" i="1"/>
  <c r="CV35" i="1" s="1"/>
  <c r="U35" i="1" s="1"/>
  <c r="AI35" i="1"/>
  <c r="CW35" i="1" s="1"/>
  <c r="V35" i="1" s="1"/>
  <c r="AJ35" i="1"/>
  <c r="CR35" i="1"/>
  <c r="CS35" i="1"/>
  <c r="R35" i="1" s="1"/>
  <c r="GK35" i="1" s="1"/>
  <c r="CT35" i="1"/>
  <c r="CU35" i="1"/>
  <c r="T35" i="1" s="1"/>
  <c r="CX35" i="1"/>
  <c r="W35" i="1" s="1"/>
  <c r="FR35" i="1"/>
  <c r="GL35" i="1"/>
  <c r="GN35" i="1"/>
  <c r="GP35" i="1"/>
  <c r="GV35" i="1"/>
  <c r="GX35" i="1"/>
  <c r="I36" i="1"/>
  <c r="R36" i="1"/>
  <c r="AC36" i="1"/>
  <c r="CQ36" i="1" s="1"/>
  <c r="P36" i="1" s="1"/>
  <c r="AE36" i="1"/>
  <c r="AD36" i="1" s="1"/>
  <c r="AB36" i="1" s="1"/>
  <c r="AF36" i="1"/>
  <c r="AG36" i="1"/>
  <c r="CU36" i="1" s="1"/>
  <c r="T36" i="1" s="1"/>
  <c r="AH36" i="1"/>
  <c r="CV36" i="1" s="1"/>
  <c r="U36" i="1" s="1"/>
  <c r="AI36" i="1"/>
  <c r="AJ36" i="1"/>
  <c r="CX36" i="1" s="1"/>
  <c r="W36" i="1" s="1"/>
  <c r="CR36" i="1"/>
  <c r="Q36" i="1" s="1"/>
  <c r="CS36" i="1"/>
  <c r="CT36" i="1"/>
  <c r="S36" i="1" s="1"/>
  <c r="CW36" i="1"/>
  <c r="V36" i="1" s="1"/>
  <c r="FR36" i="1"/>
  <c r="GK36" i="1"/>
  <c r="GL36" i="1"/>
  <c r="GO36" i="1"/>
  <c r="GP36" i="1"/>
  <c r="GV36" i="1"/>
  <c r="GX36" i="1"/>
  <c r="C37" i="1"/>
  <c r="D37" i="1"/>
  <c r="I37" i="1"/>
  <c r="CX7" i="3" s="1"/>
  <c r="T37" i="1"/>
  <c r="W37" i="1"/>
  <c r="AC37" i="1"/>
  <c r="AD37" i="1"/>
  <c r="AE37" i="1"/>
  <c r="CS37" i="1" s="1"/>
  <c r="R37" i="1" s="1"/>
  <c r="GK37" i="1" s="1"/>
  <c r="AF37" i="1"/>
  <c r="AG37" i="1"/>
  <c r="AH37" i="1"/>
  <c r="CV37" i="1" s="1"/>
  <c r="U37" i="1" s="1"/>
  <c r="AI37" i="1"/>
  <c r="AJ37" i="1"/>
  <c r="CQ37" i="1"/>
  <c r="P37" i="1" s="1"/>
  <c r="CR37" i="1"/>
  <c r="Q37" i="1" s="1"/>
  <c r="CT37" i="1"/>
  <c r="S37" i="1" s="1"/>
  <c r="CU37" i="1"/>
  <c r="CW37" i="1"/>
  <c r="V37" i="1" s="1"/>
  <c r="CX37" i="1"/>
  <c r="FR37" i="1"/>
  <c r="GL37" i="1"/>
  <c r="GO37" i="1"/>
  <c r="GP37" i="1"/>
  <c r="GV37" i="1"/>
  <c r="GX37" i="1" s="1"/>
  <c r="I38" i="1"/>
  <c r="S38" i="1"/>
  <c r="V38" i="1"/>
  <c r="AC38" i="1"/>
  <c r="AD38" i="1"/>
  <c r="AE38" i="1"/>
  <c r="AF38" i="1"/>
  <c r="AG38" i="1"/>
  <c r="CU38" i="1" s="1"/>
  <c r="T38" i="1" s="1"/>
  <c r="AH38" i="1"/>
  <c r="AI38" i="1"/>
  <c r="AJ38" i="1"/>
  <c r="CR38" i="1"/>
  <c r="Q38" i="1" s="1"/>
  <c r="CS38" i="1"/>
  <c r="R38" i="1" s="1"/>
  <c r="GK38" i="1" s="1"/>
  <c r="CT38" i="1"/>
  <c r="CV38" i="1"/>
  <c r="U38" i="1" s="1"/>
  <c r="CW38" i="1"/>
  <c r="CX38" i="1"/>
  <c r="W38" i="1" s="1"/>
  <c r="FR38" i="1"/>
  <c r="GL38" i="1"/>
  <c r="GO38" i="1"/>
  <c r="GP38" i="1"/>
  <c r="GV38" i="1"/>
  <c r="GX38" i="1"/>
  <c r="C39" i="1"/>
  <c r="D39" i="1"/>
  <c r="I39" i="1"/>
  <c r="CX8" i="3" s="1"/>
  <c r="P39" i="1"/>
  <c r="CP39" i="1" s="1"/>
  <c r="O39" i="1" s="1"/>
  <c r="Q39" i="1"/>
  <c r="S39" i="1"/>
  <c r="CZ39" i="1" s="1"/>
  <c r="Y39" i="1" s="1"/>
  <c r="X39" i="1"/>
  <c r="AC39" i="1"/>
  <c r="AB39" i="1" s="1"/>
  <c r="AD39" i="1"/>
  <c r="AE39" i="1"/>
  <c r="AF39" i="1"/>
  <c r="AG39" i="1"/>
  <c r="AH39" i="1"/>
  <c r="CV39" i="1" s="1"/>
  <c r="U39" i="1" s="1"/>
  <c r="AI39" i="1"/>
  <c r="CW39" i="1" s="1"/>
  <c r="V39" i="1" s="1"/>
  <c r="AJ39" i="1"/>
  <c r="CQ39" i="1"/>
  <c r="CR39" i="1"/>
  <c r="CS39" i="1"/>
  <c r="R39" i="1" s="1"/>
  <c r="GK39" i="1" s="1"/>
  <c r="CT39" i="1"/>
  <c r="CU39" i="1"/>
  <c r="T39" i="1" s="1"/>
  <c r="CX39" i="1"/>
  <c r="W39" i="1" s="1"/>
  <c r="CY39" i="1"/>
  <c r="FR39" i="1"/>
  <c r="GL39" i="1"/>
  <c r="GO39" i="1"/>
  <c r="GP39" i="1"/>
  <c r="GV39" i="1"/>
  <c r="GX39" i="1"/>
  <c r="C40" i="1"/>
  <c r="D40" i="1"/>
  <c r="I40" i="1"/>
  <c r="CX11" i="3" s="1"/>
  <c r="P40" i="1"/>
  <c r="U40" i="1"/>
  <c r="AC40" i="1"/>
  <c r="AE40" i="1"/>
  <c r="AF40" i="1"/>
  <c r="CT40" i="1" s="1"/>
  <c r="S40" i="1" s="1"/>
  <c r="CY40" i="1" s="1"/>
  <c r="X40" i="1" s="1"/>
  <c r="AG40" i="1"/>
  <c r="AH40" i="1"/>
  <c r="AI40" i="1"/>
  <c r="CW40" i="1" s="1"/>
  <c r="V40" i="1" s="1"/>
  <c r="AJ40" i="1"/>
  <c r="CQ40" i="1"/>
  <c r="CU40" i="1"/>
  <c r="T40" i="1" s="1"/>
  <c r="CV40" i="1"/>
  <c r="CX40" i="1"/>
  <c r="W40" i="1" s="1"/>
  <c r="FR40" i="1"/>
  <c r="GL40" i="1"/>
  <c r="GO40" i="1"/>
  <c r="GP40" i="1"/>
  <c r="GV40" i="1"/>
  <c r="GX40" i="1" s="1"/>
  <c r="C41" i="1"/>
  <c r="D41" i="1"/>
  <c r="I41" i="1"/>
  <c r="CX14" i="3" s="1"/>
  <c r="R41" i="1"/>
  <c r="GK41" i="1" s="1"/>
  <c r="AB41" i="1"/>
  <c r="AC41" i="1"/>
  <c r="CQ41" i="1" s="1"/>
  <c r="P41" i="1" s="1"/>
  <c r="AE41" i="1"/>
  <c r="AD41" i="1" s="1"/>
  <c r="AF41" i="1"/>
  <c r="CT41" i="1" s="1"/>
  <c r="S41" i="1" s="1"/>
  <c r="AG41" i="1"/>
  <c r="AH41" i="1"/>
  <c r="AI41" i="1"/>
  <c r="AJ41" i="1"/>
  <c r="CX41" i="1" s="1"/>
  <c r="W41" i="1" s="1"/>
  <c r="CR41" i="1"/>
  <c r="Q41" i="1" s="1"/>
  <c r="CS41" i="1"/>
  <c r="CU41" i="1"/>
  <c r="T41" i="1" s="1"/>
  <c r="CV41" i="1"/>
  <c r="CW41" i="1"/>
  <c r="V41" i="1" s="1"/>
  <c r="FR41" i="1"/>
  <c r="GL41" i="1"/>
  <c r="GO41" i="1"/>
  <c r="GP41" i="1"/>
  <c r="GV41" i="1"/>
  <c r="GX41" i="1"/>
  <c r="D42" i="1"/>
  <c r="I42" i="1"/>
  <c r="P42" i="1"/>
  <c r="Q42" i="1"/>
  <c r="AC42" i="1"/>
  <c r="AB42" i="1" s="1"/>
  <c r="AD42" i="1"/>
  <c r="AE42" i="1"/>
  <c r="AF42" i="1"/>
  <c r="CT42" i="1" s="1"/>
  <c r="S42" i="1" s="1"/>
  <c r="AG42" i="1"/>
  <c r="AH42" i="1"/>
  <c r="CV42" i="1" s="1"/>
  <c r="U42" i="1" s="1"/>
  <c r="AI42" i="1"/>
  <c r="CW42" i="1" s="1"/>
  <c r="V42" i="1" s="1"/>
  <c r="AJ42" i="1"/>
  <c r="CQ42" i="1"/>
  <c r="CR42" i="1"/>
  <c r="CS42" i="1"/>
  <c r="R42" i="1" s="1"/>
  <c r="GK42" i="1" s="1"/>
  <c r="CU42" i="1"/>
  <c r="T42" i="1" s="1"/>
  <c r="CX42" i="1"/>
  <c r="W42" i="1" s="1"/>
  <c r="FR42" i="1"/>
  <c r="GL42" i="1"/>
  <c r="GO42" i="1"/>
  <c r="GP42" i="1"/>
  <c r="GV42" i="1"/>
  <c r="GX42" i="1"/>
  <c r="B44" i="1"/>
  <c r="B30" i="1" s="1"/>
  <c r="C44" i="1"/>
  <c r="C30" i="1" s="1"/>
  <c r="D44" i="1"/>
  <c r="D30" i="1" s="1"/>
  <c r="F44" i="1"/>
  <c r="F30" i="1" s="1"/>
  <c r="G44" i="1"/>
  <c r="G30" i="1" s="1"/>
  <c r="BC44" i="1"/>
  <c r="BX44" i="1"/>
  <c r="BX30" i="1" s="1"/>
  <c r="BY44" i="1"/>
  <c r="BY30" i="1" s="1"/>
  <c r="CK44" i="1"/>
  <c r="CK30" i="1" s="1"/>
  <c r="CL44" i="1"/>
  <c r="D73" i="1"/>
  <c r="E75" i="1"/>
  <c r="Z75" i="1"/>
  <c r="AA75" i="1"/>
  <c r="AM75" i="1"/>
  <c r="AN75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BR75" i="1"/>
  <c r="BS75" i="1"/>
  <c r="BT75" i="1"/>
  <c r="BU75" i="1"/>
  <c r="BV75" i="1"/>
  <c r="BW75" i="1"/>
  <c r="CM75" i="1"/>
  <c r="CN75" i="1"/>
  <c r="CO75" i="1"/>
  <c r="CP75" i="1"/>
  <c r="CQ75" i="1"/>
  <c r="CR75" i="1"/>
  <c r="CS75" i="1"/>
  <c r="CT75" i="1"/>
  <c r="CU75" i="1"/>
  <c r="CV75" i="1"/>
  <c r="CW75" i="1"/>
  <c r="CX75" i="1"/>
  <c r="CY75" i="1"/>
  <c r="CZ75" i="1"/>
  <c r="DA75" i="1"/>
  <c r="DB75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EF75" i="1"/>
  <c r="EG75" i="1"/>
  <c r="EH75" i="1"/>
  <c r="EI75" i="1"/>
  <c r="EJ75" i="1"/>
  <c r="EK75" i="1"/>
  <c r="EL75" i="1"/>
  <c r="EM75" i="1"/>
  <c r="EN75" i="1"/>
  <c r="EO75" i="1"/>
  <c r="EP75" i="1"/>
  <c r="EQ75" i="1"/>
  <c r="ER75" i="1"/>
  <c r="ES75" i="1"/>
  <c r="ET75" i="1"/>
  <c r="EU75" i="1"/>
  <c r="EV75" i="1"/>
  <c r="EW75" i="1"/>
  <c r="EX75" i="1"/>
  <c r="EY75" i="1"/>
  <c r="EZ75" i="1"/>
  <c r="FA75" i="1"/>
  <c r="FB75" i="1"/>
  <c r="FC75" i="1"/>
  <c r="FD75" i="1"/>
  <c r="FE75" i="1"/>
  <c r="FF75" i="1"/>
  <c r="FG75" i="1"/>
  <c r="FH75" i="1"/>
  <c r="FI75" i="1"/>
  <c r="FJ75" i="1"/>
  <c r="FK75" i="1"/>
  <c r="FL75" i="1"/>
  <c r="FM75" i="1"/>
  <c r="FN75" i="1"/>
  <c r="FO75" i="1"/>
  <c r="FP75" i="1"/>
  <c r="FQ75" i="1"/>
  <c r="FR75" i="1"/>
  <c r="FS75" i="1"/>
  <c r="FT75" i="1"/>
  <c r="FU75" i="1"/>
  <c r="FV75" i="1"/>
  <c r="FW75" i="1"/>
  <c r="FX75" i="1"/>
  <c r="FY75" i="1"/>
  <c r="FZ75" i="1"/>
  <c r="GA75" i="1"/>
  <c r="GB75" i="1"/>
  <c r="GC75" i="1"/>
  <c r="GD75" i="1"/>
  <c r="GE75" i="1"/>
  <c r="GF75" i="1"/>
  <c r="GG75" i="1"/>
  <c r="GH75" i="1"/>
  <c r="GI75" i="1"/>
  <c r="GJ75" i="1"/>
  <c r="GK75" i="1"/>
  <c r="GL75" i="1"/>
  <c r="GM75" i="1"/>
  <c r="GN75" i="1"/>
  <c r="GO75" i="1"/>
  <c r="GP75" i="1"/>
  <c r="GQ75" i="1"/>
  <c r="GR75" i="1"/>
  <c r="GS75" i="1"/>
  <c r="GT75" i="1"/>
  <c r="GU75" i="1"/>
  <c r="GV75" i="1"/>
  <c r="GW75" i="1"/>
  <c r="GX75" i="1"/>
  <c r="C77" i="1"/>
  <c r="D77" i="1"/>
  <c r="I77" i="1"/>
  <c r="CX16" i="3" s="1"/>
  <c r="S77" i="1"/>
  <c r="T77" i="1"/>
  <c r="U77" i="1"/>
  <c r="AC77" i="1"/>
  <c r="AE77" i="1"/>
  <c r="CS77" i="1" s="1"/>
  <c r="R77" i="1" s="1"/>
  <c r="GK77" i="1" s="1"/>
  <c r="AF77" i="1"/>
  <c r="CT77" i="1" s="1"/>
  <c r="AG77" i="1"/>
  <c r="AH77" i="1"/>
  <c r="AI77" i="1"/>
  <c r="AJ77" i="1"/>
  <c r="CR77" i="1"/>
  <c r="Q77" i="1" s="1"/>
  <c r="CU77" i="1"/>
  <c r="CV77" i="1"/>
  <c r="CW77" i="1"/>
  <c r="V77" i="1" s="1"/>
  <c r="CX77" i="1"/>
  <c r="W77" i="1" s="1"/>
  <c r="FR77" i="1"/>
  <c r="GL77" i="1"/>
  <c r="GO77" i="1"/>
  <c r="GP77" i="1"/>
  <c r="GV77" i="1"/>
  <c r="GX77" i="1" s="1"/>
  <c r="C78" i="1"/>
  <c r="D78" i="1"/>
  <c r="I78" i="1"/>
  <c r="CX19" i="3" s="1"/>
  <c r="P78" i="1"/>
  <c r="CP78" i="1" s="1"/>
  <c r="O78" i="1" s="1"/>
  <c r="AC78" i="1"/>
  <c r="CQ78" i="1" s="1"/>
  <c r="AE78" i="1"/>
  <c r="AD78" i="1" s="1"/>
  <c r="AB78" i="1" s="1"/>
  <c r="AF78" i="1"/>
  <c r="AG78" i="1"/>
  <c r="AH78" i="1"/>
  <c r="CV78" i="1" s="1"/>
  <c r="U78" i="1" s="1"/>
  <c r="AI78" i="1"/>
  <c r="AJ78" i="1"/>
  <c r="CX78" i="1" s="1"/>
  <c r="W78" i="1" s="1"/>
  <c r="CR78" i="1"/>
  <c r="Q78" i="1" s="1"/>
  <c r="CT78" i="1"/>
  <c r="S78" i="1" s="1"/>
  <c r="CU78" i="1"/>
  <c r="T78" i="1" s="1"/>
  <c r="CW78" i="1"/>
  <c r="V78" i="1" s="1"/>
  <c r="FR78" i="1"/>
  <c r="GL78" i="1"/>
  <c r="GO78" i="1"/>
  <c r="GP78" i="1"/>
  <c r="GV78" i="1"/>
  <c r="GX78" i="1" s="1"/>
  <c r="I79" i="1"/>
  <c r="AC79" i="1"/>
  <c r="AD79" i="1"/>
  <c r="AB79" i="1" s="1"/>
  <c r="AE79" i="1"/>
  <c r="AF79" i="1"/>
  <c r="AG79" i="1"/>
  <c r="CU79" i="1" s="1"/>
  <c r="T79" i="1" s="1"/>
  <c r="AH79" i="1"/>
  <c r="AI79" i="1"/>
  <c r="CW79" i="1" s="1"/>
  <c r="V79" i="1" s="1"/>
  <c r="AJ79" i="1"/>
  <c r="CX79" i="1" s="1"/>
  <c r="W79" i="1" s="1"/>
  <c r="CQ79" i="1"/>
  <c r="P79" i="1" s="1"/>
  <c r="CR79" i="1"/>
  <c r="Q79" i="1" s="1"/>
  <c r="CS79" i="1"/>
  <c r="R79" i="1" s="1"/>
  <c r="GK79" i="1" s="1"/>
  <c r="CT79" i="1"/>
  <c r="S79" i="1" s="1"/>
  <c r="CV79" i="1"/>
  <c r="U79" i="1" s="1"/>
  <c r="FR79" i="1"/>
  <c r="GL79" i="1"/>
  <c r="GO79" i="1"/>
  <c r="GP79" i="1"/>
  <c r="GV79" i="1"/>
  <c r="GX79" i="1"/>
  <c r="C80" i="1"/>
  <c r="D80" i="1"/>
  <c r="I80" i="1"/>
  <c r="CX20" i="3" s="1"/>
  <c r="V80" i="1"/>
  <c r="AC80" i="1"/>
  <c r="AB80" i="1" s="1"/>
  <c r="AD80" i="1"/>
  <c r="AE80" i="1"/>
  <c r="AF80" i="1"/>
  <c r="AG80" i="1"/>
  <c r="CU80" i="1" s="1"/>
  <c r="T80" i="1" s="1"/>
  <c r="AH80" i="1"/>
  <c r="AI80" i="1"/>
  <c r="AJ80" i="1"/>
  <c r="CQ80" i="1"/>
  <c r="P80" i="1" s="1"/>
  <c r="CR80" i="1"/>
  <c r="Q80" i="1" s="1"/>
  <c r="CS80" i="1"/>
  <c r="CT80" i="1"/>
  <c r="S80" i="1" s="1"/>
  <c r="CV80" i="1"/>
  <c r="U80" i="1" s="1"/>
  <c r="CW80" i="1"/>
  <c r="CX80" i="1"/>
  <c r="FR80" i="1"/>
  <c r="GL80" i="1"/>
  <c r="GN80" i="1"/>
  <c r="GP80" i="1"/>
  <c r="GV80" i="1"/>
  <c r="GX80" i="1" s="1"/>
  <c r="I81" i="1"/>
  <c r="P81" i="1"/>
  <c r="CP81" i="1" s="1"/>
  <c r="O81" i="1" s="1"/>
  <c r="V81" i="1"/>
  <c r="W81" i="1"/>
  <c r="AC81" i="1"/>
  <c r="AB81" i="1" s="1"/>
  <c r="AD81" i="1"/>
  <c r="AE81" i="1"/>
  <c r="AF81" i="1"/>
  <c r="AG81" i="1"/>
  <c r="AH81" i="1"/>
  <c r="CV81" i="1" s="1"/>
  <c r="U81" i="1" s="1"/>
  <c r="AI81" i="1"/>
  <c r="AJ81" i="1"/>
  <c r="CQ81" i="1"/>
  <c r="CR81" i="1"/>
  <c r="Q81" i="1" s="1"/>
  <c r="CS81" i="1"/>
  <c r="R81" i="1" s="1"/>
  <c r="CT81" i="1"/>
  <c r="S81" i="1" s="1"/>
  <c r="CU81" i="1"/>
  <c r="T81" i="1" s="1"/>
  <c r="CW81" i="1"/>
  <c r="CX81" i="1"/>
  <c r="FR81" i="1"/>
  <c r="GK81" i="1"/>
  <c r="GL81" i="1"/>
  <c r="GO81" i="1"/>
  <c r="GP81" i="1"/>
  <c r="GV81" i="1"/>
  <c r="GX81" i="1"/>
  <c r="C82" i="1"/>
  <c r="D82" i="1"/>
  <c r="I82" i="1"/>
  <c r="CX21" i="3" s="1"/>
  <c r="S82" i="1"/>
  <c r="T82" i="1"/>
  <c r="U82" i="1"/>
  <c r="AC82" i="1"/>
  <c r="AB82" i="1" s="1"/>
  <c r="AD82" i="1"/>
  <c r="AE82" i="1"/>
  <c r="CS82" i="1" s="1"/>
  <c r="R82" i="1" s="1"/>
  <c r="GK82" i="1" s="1"/>
  <c r="AF82" i="1"/>
  <c r="AG82" i="1"/>
  <c r="AH82" i="1"/>
  <c r="AI82" i="1"/>
  <c r="CW82" i="1" s="1"/>
  <c r="V82" i="1" s="1"/>
  <c r="AJ82" i="1"/>
  <c r="CQ82" i="1"/>
  <c r="P82" i="1" s="1"/>
  <c r="CP82" i="1" s="1"/>
  <c r="O82" i="1" s="1"/>
  <c r="CR82" i="1"/>
  <c r="Q82" i="1" s="1"/>
  <c r="CT82" i="1"/>
  <c r="CU82" i="1"/>
  <c r="CV82" i="1"/>
  <c r="CX82" i="1"/>
  <c r="W82" i="1" s="1"/>
  <c r="CY82" i="1"/>
  <c r="X82" i="1" s="1"/>
  <c r="CZ82" i="1"/>
  <c r="Y82" i="1" s="1"/>
  <c r="FR82" i="1"/>
  <c r="GL82" i="1"/>
  <c r="GO82" i="1"/>
  <c r="GP82" i="1"/>
  <c r="GV82" i="1"/>
  <c r="GX82" i="1" s="1"/>
  <c r="I83" i="1"/>
  <c r="R83" i="1"/>
  <c r="GK83" i="1" s="1"/>
  <c r="S83" i="1"/>
  <c r="CZ83" i="1" s="1"/>
  <c r="Y83" i="1" s="1"/>
  <c r="T83" i="1"/>
  <c r="AC83" i="1"/>
  <c r="AB83" i="1" s="1"/>
  <c r="AD83" i="1"/>
  <c r="AE83" i="1"/>
  <c r="AF83" i="1"/>
  <c r="AG83" i="1"/>
  <c r="AH83" i="1"/>
  <c r="CV83" i="1" s="1"/>
  <c r="U83" i="1" s="1"/>
  <c r="AI83" i="1"/>
  <c r="AJ83" i="1"/>
  <c r="CR83" i="1"/>
  <c r="Q83" i="1" s="1"/>
  <c r="CS83" i="1"/>
  <c r="CT83" i="1"/>
  <c r="CU83" i="1"/>
  <c r="CW83" i="1"/>
  <c r="V83" i="1" s="1"/>
  <c r="CX83" i="1"/>
  <c r="W83" i="1" s="1"/>
  <c r="CY83" i="1"/>
  <c r="X83" i="1" s="1"/>
  <c r="FR83" i="1"/>
  <c r="GL83" i="1"/>
  <c r="GO83" i="1"/>
  <c r="GP83" i="1"/>
  <c r="GV83" i="1"/>
  <c r="GX83" i="1"/>
  <c r="C84" i="1"/>
  <c r="D84" i="1"/>
  <c r="I84" i="1"/>
  <c r="CX22" i="3" s="1"/>
  <c r="Q84" i="1"/>
  <c r="W84" i="1"/>
  <c r="AC84" i="1"/>
  <c r="AB84" i="1" s="1"/>
  <c r="AE84" i="1"/>
  <c r="AD84" i="1" s="1"/>
  <c r="AF84" i="1"/>
  <c r="AG84" i="1"/>
  <c r="AH84" i="1"/>
  <c r="CV84" i="1" s="1"/>
  <c r="U84" i="1" s="1"/>
  <c r="AI84" i="1"/>
  <c r="CW84" i="1" s="1"/>
  <c r="V84" i="1" s="1"/>
  <c r="AJ84" i="1"/>
  <c r="CR84" i="1"/>
  <c r="CT84" i="1"/>
  <c r="S84" i="1" s="1"/>
  <c r="CU84" i="1"/>
  <c r="T84" i="1" s="1"/>
  <c r="CX84" i="1"/>
  <c r="FR84" i="1"/>
  <c r="GL84" i="1"/>
  <c r="GO84" i="1"/>
  <c r="GP84" i="1"/>
  <c r="GV84" i="1"/>
  <c r="GX84" i="1" s="1"/>
  <c r="C85" i="1"/>
  <c r="D85" i="1"/>
  <c r="I85" i="1"/>
  <c r="AC85" i="1"/>
  <c r="AE85" i="1"/>
  <c r="AD85" i="1" s="1"/>
  <c r="AB85" i="1" s="1"/>
  <c r="AF85" i="1"/>
  <c r="CT85" i="1" s="1"/>
  <c r="AG85" i="1"/>
  <c r="AH85" i="1"/>
  <c r="CV85" i="1" s="1"/>
  <c r="AI85" i="1"/>
  <c r="AJ85" i="1"/>
  <c r="CX85" i="1" s="1"/>
  <c r="CQ85" i="1"/>
  <c r="CS85" i="1"/>
  <c r="CU85" i="1"/>
  <c r="CW85" i="1"/>
  <c r="FR85" i="1"/>
  <c r="BY89" i="1" s="1"/>
  <c r="GL85" i="1"/>
  <c r="GO85" i="1"/>
  <c r="GP85" i="1"/>
  <c r="GV85" i="1"/>
  <c r="GX85" i="1" s="1"/>
  <c r="C86" i="1"/>
  <c r="D86" i="1"/>
  <c r="I86" i="1"/>
  <c r="Q86" i="1"/>
  <c r="S86" i="1"/>
  <c r="AB86" i="1"/>
  <c r="AC86" i="1"/>
  <c r="CQ86" i="1" s="1"/>
  <c r="P86" i="1" s="1"/>
  <c r="AE86" i="1"/>
  <c r="AD86" i="1" s="1"/>
  <c r="AF86" i="1"/>
  <c r="AG86" i="1"/>
  <c r="CU86" i="1" s="1"/>
  <c r="T86" i="1" s="1"/>
  <c r="AH86" i="1"/>
  <c r="AI86" i="1"/>
  <c r="AJ86" i="1"/>
  <c r="CP86" i="1"/>
  <c r="O86" i="1" s="1"/>
  <c r="CR86" i="1"/>
  <c r="CT86" i="1"/>
  <c r="CV86" i="1"/>
  <c r="U86" i="1" s="1"/>
  <c r="CW86" i="1"/>
  <c r="V86" i="1" s="1"/>
  <c r="CX86" i="1"/>
  <c r="W86" i="1" s="1"/>
  <c r="FR86" i="1"/>
  <c r="GL86" i="1"/>
  <c r="GO86" i="1"/>
  <c r="GP86" i="1"/>
  <c r="GV86" i="1"/>
  <c r="GX86" i="1" s="1"/>
  <c r="D87" i="1"/>
  <c r="I87" i="1"/>
  <c r="Q87" i="1"/>
  <c r="W87" i="1"/>
  <c r="AC87" i="1"/>
  <c r="AE87" i="1"/>
  <c r="AD87" i="1" s="1"/>
  <c r="AF87" i="1"/>
  <c r="AG87" i="1"/>
  <c r="AH87" i="1"/>
  <c r="AI87" i="1"/>
  <c r="CW87" i="1" s="1"/>
  <c r="V87" i="1" s="1"/>
  <c r="AJ87" i="1"/>
  <c r="CR87" i="1"/>
  <c r="CT87" i="1"/>
  <c r="S87" i="1" s="1"/>
  <c r="CU87" i="1"/>
  <c r="T87" i="1" s="1"/>
  <c r="CV87" i="1"/>
  <c r="U87" i="1" s="1"/>
  <c r="CX87" i="1"/>
  <c r="FR87" i="1"/>
  <c r="GL87" i="1"/>
  <c r="GO87" i="1"/>
  <c r="GP87" i="1"/>
  <c r="GV87" i="1"/>
  <c r="GX87" i="1" s="1"/>
  <c r="B89" i="1"/>
  <c r="B75" i="1" s="1"/>
  <c r="C89" i="1"/>
  <c r="C75" i="1" s="1"/>
  <c r="D89" i="1"/>
  <c r="D75" i="1" s="1"/>
  <c r="F89" i="1"/>
  <c r="F75" i="1" s="1"/>
  <c r="G89" i="1"/>
  <c r="G75" i="1" s="1"/>
  <c r="BC89" i="1"/>
  <c r="BX89" i="1"/>
  <c r="CK89" i="1"/>
  <c r="CK75" i="1" s="1"/>
  <c r="CL89" i="1"/>
  <c r="CL75" i="1" s="1"/>
  <c r="D118" i="1"/>
  <c r="E120" i="1"/>
  <c r="G120" i="1"/>
  <c r="Z120" i="1"/>
  <c r="AA120" i="1"/>
  <c r="AM120" i="1"/>
  <c r="AN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BU120" i="1"/>
  <c r="BV120" i="1"/>
  <c r="BW120" i="1"/>
  <c r="CM120" i="1"/>
  <c r="CN120" i="1"/>
  <c r="CO120" i="1"/>
  <c r="CP120" i="1"/>
  <c r="CQ120" i="1"/>
  <c r="CR120" i="1"/>
  <c r="CS120" i="1"/>
  <c r="CT120" i="1"/>
  <c r="CU120" i="1"/>
  <c r="CV120" i="1"/>
  <c r="CW120" i="1"/>
  <c r="CX120" i="1"/>
  <c r="CY120" i="1"/>
  <c r="CZ120" i="1"/>
  <c r="DA120" i="1"/>
  <c r="DB120" i="1"/>
  <c r="DC120" i="1"/>
  <c r="DD120" i="1"/>
  <c r="DE120" i="1"/>
  <c r="DF120" i="1"/>
  <c r="DG120" i="1"/>
  <c r="DH120" i="1"/>
  <c r="DI120" i="1"/>
  <c r="DJ120" i="1"/>
  <c r="DK120" i="1"/>
  <c r="DL120" i="1"/>
  <c r="DM120" i="1"/>
  <c r="DN120" i="1"/>
  <c r="DO120" i="1"/>
  <c r="DP120" i="1"/>
  <c r="DQ120" i="1"/>
  <c r="DR120" i="1"/>
  <c r="DS120" i="1"/>
  <c r="DT120" i="1"/>
  <c r="DU120" i="1"/>
  <c r="DV120" i="1"/>
  <c r="DW120" i="1"/>
  <c r="DX120" i="1"/>
  <c r="DY120" i="1"/>
  <c r="DZ120" i="1"/>
  <c r="EA120" i="1"/>
  <c r="EB120" i="1"/>
  <c r="EC120" i="1"/>
  <c r="ED120" i="1"/>
  <c r="EE120" i="1"/>
  <c r="EF120" i="1"/>
  <c r="EG120" i="1"/>
  <c r="EH120" i="1"/>
  <c r="EI120" i="1"/>
  <c r="EJ120" i="1"/>
  <c r="EK120" i="1"/>
  <c r="EL120" i="1"/>
  <c r="EM120" i="1"/>
  <c r="EN120" i="1"/>
  <c r="EO120" i="1"/>
  <c r="EP120" i="1"/>
  <c r="EQ120" i="1"/>
  <c r="ER120" i="1"/>
  <c r="ES120" i="1"/>
  <c r="ET120" i="1"/>
  <c r="EU120" i="1"/>
  <c r="EV120" i="1"/>
  <c r="EW120" i="1"/>
  <c r="EX120" i="1"/>
  <c r="EY120" i="1"/>
  <c r="EZ120" i="1"/>
  <c r="FA120" i="1"/>
  <c r="FB120" i="1"/>
  <c r="FC120" i="1"/>
  <c r="FD120" i="1"/>
  <c r="FE120" i="1"/>
  <c r="FF120" i="1"/>
  <c r="FG120" i="1"/>
  <c r="FH120" i="1"/>
  <c r="FI120" i="1"/>
  <c r="FJ120" i="1"/>
  <c r="FK120" i="1"/>
  <c r="FL120" i="1"/>
  <c r="FM120" i="1"/>
  <c r="FN120" i="1"/>
  <c r="FO120" i="1"/>
  <c r="FP120" i="1"/>
  <c r="FQ120" i="1"/>
  <c r="FR120" i="1"/>
  <c r="FS120" i="1"/>
  <c r="FT120" i="1"/>
  <c r="FU120" i="1"/>
  <c r="FV120" i="1"/>
  <c r="FW120" i="1"/>
  <c r="FX120" i="1"/>
  <c r="FY120" i="1"/>
  <c r="FZ120" i="1"/>
  <c r="GA120" i="1"/>
  <c r="GB120" i="1"/>
  <c r="GC120" i="1"/>
  <c r="GD120" i="1"/>
  <c r="GE120" i="1"/>
  <c r="GF120" i="1"/>
  <c r="GG120" i="1"/>
  <c r="GH120" i="1"/>
  <c r="GI120" i="1"/>
  <c r="GJ120" i="1"/>
  <c r="GK120" i="1"/>
  <c r="GL120" i="1"/>
  <c r="GM120" i="1"/>
  <c r="GN120" i="1"/>
  <c r="GO120" i="1"/>
  <c r="GP120" i="1"/>
  <c r="GQ120" i="1"/>
  <c r="GR120" i="1"/>
  <c r="GS120" i="1"/>
  <c r="GT120" i="1"/>
  <c r="GU120" i="1"/>
  <c r="GV120" i="1"/>
  <c r="GW120" i="1"/>
  <c r="GX120" i="1"/>
  <c r="C122" i="1"/>
  <c r="D122" i="1"/>
  <c r="I122" i="1"/>
  <c r="S122" i="1"/>
  <c r="T122" i="1"/>
  <c r="AG125" i="1" s="1"/>
  <c r="AG120" i="1" s="1"/>
  <c r="AC122" i="1"/>
  <c r="AD122" i="1"/>
  <c r="AE122" i="1"/>
  <c r="CS122" i="1" s="1"/>
  <c r="R122" i="1" s="1"/>
  <c r="AF122" i="1"/>
  <c r="CT122" i="1" s="1"/>
  <c r="AG122" i="1"/>
  <c r="AH122" i="1"/>
  <c r="CV122" i="1" s="1"/>
  <c r="U122" i="1" s="1"/>
  <c r="AI122" i="1"/>
  <c r="CW122" i="1" s="1"/>
  <c r="V122" i="1" s="1"/>
  <c r="AJ122" i="1"/>
  <c r="CQ122" i="1"/>
  <c r="P122" i="1" s="1"/>
  <c r="CR122" i="1"/>
  <c r="Q122" i="1" s="1"/>
  <c r="CU122" i="1"/>
  <c r="CX122" i="1"/>
  <c r="W122" i="1" s="1"/>
  <c r="FR122" i="1"/>
  <c r="GL122" i="1"/>
  <c r="GO122" i="1"/>
  <c r="CC125" i="1" s="1"/>
  <c r="GP122" i="1"/>
  <c r="CD125" i="1" s="1"/>
  <c r="CD120" i="1" s="1"/>
  <c r="GV122" i="1"/>
  <c r="GX122" i="1" s="1"/>
  <c r="CJ125" i="1" s="1"/>
  <c r="C123" i="1"/>
  <c r="D123" i="1"/>
  <c r="I123" i="1"/>
  <c r="CX31" i="3" s="1"/>
  <c r="P123" i="1"/>
  <c r="X123" i="1"/>
  <c r="AC123" i="1"/>
  <c r="CQ123" i="1" s="1"/>
  <c r="AE123" i="1"/>
  <c r="AF123" i="1"/>
  <c r="CT123" i="1" s="1"/>
  <c r="S123" i="1" s="1"/>
  <c r="CY123" i="1" s="1"/>
  <c r="AG123" i="1"/>
  <c r="AH123" i="1"/>
  <c r="AI123" i="1"/>
  <c r="CW123" i="1" s="1"/>
  <c r="V123" i="1" s="1"/>
  <c r="AJ123" i="1"/>
  <c r="CX123" i="1" s="1"/>
  <c r="W123" i="1" s="1"/>
  <c r="CU123" i="1"/>
  <c r="T123" i="1" s="1"/>
  <c r="CV123" i="1"/>
  <c r="U123" i="1" s="1"/>
  <c r="AH125" i="1" s="1"/>
  <c r="FR123" i="1"/>
  <c r="GL123" i="1"/>
  <c r="GO123" i="1"/>
  <c r="GP123" i="1"/>
  <c r="GV123" i="1"/>
  <c r="GX123" i="1" s="1"/>
  <c r="B125" i="1"/>
  <c r="B120" i="1" s="1"/>
  <c r="C125" i="1"/>
  <c r="C120" i="1" s="1"/>
  <c r="D125" i="1"/>
  <c r="D120" i="1" s="1"/>
  <c r="F125" i="1"/>
  <c r="F120" i="1" s="1"/>
  <c r="G125" i="1"/>
  <c r="T125" i="1"/>
  <c r="AC125" i="1"/>
  <c r="AU125" i="1"/>
  <c r="BC125" i="1"/>
  <c r="BC120" i="1" s="1"/>
  <c r="BX125" i="1"/>
  <c r="BX120" i="1" s="1"/>
  <c r="BY125" i="1"/>
  <c r="CK125" i="1"/>
  <c r="CK120" i="1" s="1"/>
  <c r="CL125" i="1"/>
  <c r="CL120" i="1" s="1"/>
  <c r="D154" i="1"/>
  <c r="D156" i="1"/>
  <c r="E156" i="1"/>
  <c r="Z156" i="1"/>
  <c r="AA156" i="1"/>
  <c r="AM156" i="1"/>
  <c r="AN156" i="1"/>
  <c r="BD156" i="1"/>
  <c r="BE156" i="1"/>
  <c r="BF156" i="1"/>
  <c r="BG156" i="1"/>
  <c r="BH156" i="1"/>
  <c r="BI156" i="1"/>
  <c r="BJ156" i="1"/>
  <c r="BK156" i="1"/>
  <c r="BL156" i="1"/>
  <c r="BM156" i="1"/>
  <c r="BN156" i="1"/>
  <c r="BO156" i="1"/>
  <c r="BP156" i="1"/>
  <c r="BQ156" i="1"/>
  <c r="BR156" i="1"/>
  <c r="BS156" i="1"/>
  <c r="BT156" i="1"/>
  <c r="BU156" i="1"/>
  <c r="BV156" i="1"/>
  <c r="BW156" i="1"/>
  <c r="CM156" i="1"/>
  <c r="CN156" i="1"/>
  <c r="CO156" i="1"/>
  <c r="CP156" i="1"/>
  <c r="CQ156" i="1"/>
  <c r="CR156" i="1"/>
  <c r="CS156" i="1"/>
  <c r="CT156" i="1"/>
  <c r="CU156" i="1"/>
  <c r="CV156" i="1"/>
  <c r="CW156" i="1"/>
  <c r="CX156" i="1"/>
  <c r="CY156" i="1"/>
  <c r="CZ156" i="1"/>
  <c r="DA156" i="1"/>
  <c r="DB156" i="1"/>
  <c r="DC156" i="1"/>
  <c r="DD156" i="1"/>
  <c r="DE156" i="1"/>
  <c r="DF156" i="1"/>
  <c r="DG156" i="1"/>
  <c r="DH156" i="1"/>
  <c r="DI156" i="1"/>
  <c r="DJ156" i="1"/>
  <c r="DK156" i="1"/>
  <c r="DL156" i="1"/>
  <c r="DM156" i="1"/>
  <c r="DN156" i="1"/>
  <c r="DO156" i="1"/>
  <c r="DP156" i="1"/>
  <c r="DQ156" i="1"/>
  <c r="DR156" i="1"/>
  <c r="DS156" i="1"/>
  <c r="DT156" i="1"/>
  <c r="DU156" i="1"/>
  <c r="DV156" i="1"/>
  <c r="DW156" i="1"/>
  <c r="DX156" i="1"/>
  <c r="DY156" i="1"/>
  <c r="DZ156" i="1"/>
  <c r="EA156" i="1"/>
  <c r="EB156" i="1"/>
  <c r="EC156" i="1"/>
  <c r="ED156" i="1"/>
  <c r="EE156" i="1"/>
  <c r="EF156" i="1"/>
  <c r="EG156" i="1"/>
  <c r="EH156" i="1"/>
  <c r="EI156" i="1"/>
  <c r="EJ156" i="1"/>
  <c r="EK156" i="1"/>
  <c r="EL156" i="1"/>
  <c r="EM156" i="1"/>
  <c r="EN156" i="1"/>
  <c r="EO156" i="1"/>
  <c r="EP156" i="1"/>
  <c r="EQ156" i="1"/>
  <c r="ER156" i="1"/>
  <c r="ES156" i="1"/>
  <c r="ET156" i="1"/>
  <c r="EU156" i="1"/>
  <c r="EV156" i="1"/>
  <c r="EW156" i="1"/>
  <c r="EX156" i="1"/>
  <c r="EY156" i="1"/>
  <c r="EZ156" i="1"/>
  <c r="FA156" i="1"/>
  <c r="FB156" i="1"/>
  <c r="FC156" i="1"/>
  <c r="FD156" i="1"/>
  <c r="FE156" i="1"/>
  <c r="FF156" i="1"/>
  <c r="FG156" i="1"/>
  <c r="FH156" i="1"/>
  <c r="FI156" i="1"/>
  <c r="FJ156" i="1"/>
  <c r="FK156" i="1"/>
  <c r="FL156" i="1"/>
  <c r="FM156" i="1"/>
  <c r="FN156" i="1"/>
  <c r="FO156" i="1"/>
  <c r="FP156" i="1"/>
  <c r="FQ156" i="1"/>
  <c r="FR156" i="1"/>
  <c r="FS156" i="1"/>
  <c r="FT156" i="1"/>
  <c r="FU156" i="1"/>
  <c r="FV156" i="1"/>
  <c r="FW156" i="1"/>
  <c r="FX156" i="1"/>
  <c r="FY156" i="1"/>
  <c r="FZ156" i="1"/>
  <c r="GA156" i="1"/>
  <c r="GB156" i="1"/>
  <c r="GC156" i="1"/>
  <c r="GD156" i="1"/>
  <c r="GE156" i="1"/>
  <c r="GF156" i="1"/>
  <c r="GG156" i="1"/>
  <c r="GH156" i="1"/>
  <c r="GI156" i="1"/>
  <c r="GJ156" i="1"/>
  <c r="GK156" i="1"/>
  <c r="GL156" i="1"/>
  <c r="GM156" i="1"/>
  <c r="GN156" i="1"/>
  <c r="GO156" i="1"/>
  <c r="GP156" i="1"/>
  <c r="GQ156" i="1"/>
  <c r="GR156" i="1"/>
  <c r="GS156" i="1"/>
  <c r="GT156" i="1"/>
  <c r="GU156" i="1"/>
  <c r="GV156" i="1"/>
  <c r="GW156" i="1"/>
  <c r="GX156" i="1"/>
  <c r="I158" i="1"/>
  <c r="T158" i="1"/>
  <c r="U158" i="1"/>
  <c r="AC158" i="1"/>
  <c r="CQ158" i="1" s="1"/>
  <c r="P158" i="1" s="1"/>
  <c r="AE158" i="1"/>
  <c r="AD158" i="1" s="1"/>
  <c r="AB158" i="1" s="1"/>
  <c r="AF158" i="1"/>
  <c r="CT158" i="1" s="1"/>
  <c r="S158" i="1" s="1"/>
  <c r="AG158" i="1"/>
  <c r="AH158" i="1"/>
  <c r="CV158" i="1" s="1"/>
  <c r="AI158" i="1"/>
  <c r="AJ158" i="1"/>
  <c r="CR158" i="1"/>
  <c r="Q158" i="1" s="1"/>
  <c r="CU158" i="1"/>
  <c r="CW158" i="1"/>
  <c r="V158" i="1" s="1"/>
  <c r="CX158" i="1"/>
  <c r="W158" i="1" s="1"/>
  <c r="FR158" i="1"/>
  <c r="GL158" i="1"/>
  <c r="GO158" i="1"/>
  <c r="GP158" i="1"/>
  <c r="GV158" i="1"/>
  <c r="GX158" i="1" s="1"/>
  <c r="D159" i="1"/>
  <c r="I159" i="1"/>
  <c r="Q159" i="1"/>
  <c r="AC159" i="1"/>
  <c r="CQ159" i="1" s="1"/>
  <c r="P159" i="1" s="1"/>
  <c r="CP159" i="1" s="1"/>
  <c r="O159" i="1" s="1"/>
  <c r="AE159" i="1"/>
  <c r="AD159" i="1" s="1"/>
  <c r="AB159" i="1" s="1"/>
  <c r="AF159" i="1"/>
  <c r="CT159" i="1" s="1"/>
  <c r="S159" i="1" s="1"/>
  <c r="AG159" i="1"/>
  <c r="AH159" i="1"/>
  <c r="AI159" i="1"/>
  <c r="CW159" i="1" s="1"/>
  <c r="V159" i="1" s="1"/>
  <c r="AJ159" i="1"/>
  <c r="CX159" i="1" s="1"/>
  <c r="W159" i="1" s="1"/>
  <c r="CR159" i="1"/>
  <c r="CU159" i="1"/>
  <c r="T159" i="1" s="1"/>
  <c r="CV159" i="1"/>
  <c r="U159" i="1" s="1"/>
  <c r="FR159" i="1"/>
  <c r="GL159" i="1"/>
  <c r="GO159" i="1"/>
  <c r="GP159" i="1"/>
  <c r="GV159" i="1"/>
  <c r="GX159" i="1" s="1"/>
  <c r="C160" i="1"/>
  <c r="D160" i="1"/>
  <c r="I160" i="1"/>
  <c r="V160" i="1"/>
  <c r="AC160" i="1"/>
  <c r="CQ160" i="1" s="1"/>
  <c r="P160" i="1" s="1"/>
  <c r="CP160" i="1" s="1"/>
  <c r="O160" i="1" s="1"/>
  <c r="AE160" i="1"/>
  <c r="AD160" i="1" s="1"/>
  <c r="AB160" i="1" s="1"/>
  <c r="AF160" i="1"/>
  <c r="CT160" i="1" s="1"/>
  <c r="S160" i="1" s="1"/>
  <c r="AG160" i="1"/>
  <c r="CU160" i="1" s="1"/>
  <c r="AH160" i="1"/>
  <c r="CV160" i="1" s="1"/>
  <c r="U160" i="1" s="1"/>
  <c r="AI160" i="1"/>
  <c r="AJ160" i="1"/>
  <c r="CX160" i="1" s="1"/>
  <c r="W160" i="1" s="1"/>
  <c r="CR160" i="1"/>
  <c r="Q160" i="1" s="1"/>
  <c r="CS160" i="1"/>
  <c r="R160" i="1" s="1"/>
  <c r="GK160" i="1" s="1"/>
  <c r="CW160" i="1"/>
  <c r="FR160" i="1"/>
  <c r="GL160" i="1"/>
  <c r="GO160" i="1"/>
  <c r="GP160" i="1"/>
  <c r="GV160" i="1"/>
  <c r="GX160" i="1"/>
  <c r="C161" i="1"/>
  <c r="D161" i="1"/>
  <c r="I161" i="1"/>
  <c r="CX35" i="3" s="1"/>
  <c r="R161" i="1"/>
  <c r="S161" i="1"/>
  <c r="AC161" i="1"/>
  <c r="AD161" i="1"/>
  <c r="AE161" i="1"/>
  <c r="AF161" i="1"/>
  <c r="AG161" i="1"/>
  <c r="CU161" i="1" s="1"/>
  <c r="T161" i="1" s="1"/>
  <c r="AH161" i="1"/>
  <c r="CV161" i="1" s="1"/>
  <c r="U161" i="1" s="1"/>
  <c r="AI161" i="1"/>
  <c r="AJ161" i="1"/>
  <c r="CR161" i="1"/>
  <c r="Q161" i="1" s="1"/>
  <c r="CS161" i="1"/>
  <c r="CT161" i="1"/>
  <c r="CW161" i="1"/>
  <c r="V161" i="1" s="1"/>
  <c r="CX161" i="1"/>
  <c r="W161" i="1" s="1"/>
  <c r="FR161" i="1"/>
  <c r="GK161" i="1"/>
  <c r="GL161" i="1"/>
  <c r="GO161" i="1"/>
  <c r="GP161" i="1"/>
  <c r="GV161" i="1"/>
  <c r="GX161" i="1"/>
  <c r="B163" i="1"/>
  <c r="B156" i="1" s="1"/>
  <c r="C163" i="1"/>
  <c r="C156" i="1" s="1"/>
  <c r="D163" i="1"/>
  <c r="F163" i="1"/>
  <c r="F156" i="1" s="1"/>
  <c r="G163" i="1"/>
  <c r="G156" i="1" s="1"/>
  <c r="AF163" i="1"/>
  <c r="AO163" i="1"/>
  <c r="AO156" i="1" s="1"/>
  <c r="BB163" i="1"/>
  <c r="BB156" i="1" s="1"/>
  <c r="BX163" i="1"/>
  <c r="BX156" i="1" s="1"/>
  <c r="BZ163" i="1"/>
  <c r="CD163" i="1"/>
  <c r="CD156" i="1" s="1"/>
  <c r="CK163" i="1"/>
  <c r="CK156" i="1" s="1"/>
  <c r="CL163" i="1"/>
  <c r="CL156" i="1" s="1"/>
  <c r="F167" i="1"/>
  <c r="F176" i="1"/>
  <c r="D192" i="1"/>
  <c r="B194" i="1"/>
  <c r="E194" i="1"/>
  <c r="Z194" i="1"/>
  <c r="AA194" i="1"/>
  <c r="AM194" i="1"/>
  <c r="AN194" i="1"/>
  <c r="BD194" i="1"/>
  <c r="BE194" i="1"/>
  <c r="BF194" i="1"/>
  <c r="BG194" i="1"/>
  <c r="BH194" i="1"/>
  <c r="BI194" i="1"/>
  <c r="BJ194" i="1"/>
  <c r="BK194" i="1"/>
  <c r="BL194" i="1"/>
  <c r="BM194" i="1"/>
  <c r="BN194" i="1"/>
  <c r="BO194" i="1"/>
  <c r="BP194" i="1"/>
  <c r="BQ194" i="1"/>
  <c r="BR194" i="1"/>
  <c r="BS194" i="1"/>
  <c r="BT194" i="1"/>
  <c r="BU194" i="1"/>
  <c r="BV194" i="1"/>
  <c r="BW194" i="1"/>
  <c r="CM194" i="1"/>
  <c r="CN194" i="1"/>
  <c r="CO194" i="1"/>
  <c r="CP194" i="1"/>
  <c r="CQ194" i="1"/>
  <c r="CR194" i="1"/>
  <c r="CS194" i="1"/>
  <c r="CT194" i="1"/>
  <c r="CU194" i="1"/>
  <c r="CV194" i="1"/>
  <c r="CW194" i="1"/>
  <c r="CX194" i="1"/>
  <c r="CY194" i="1"/>
  <c r="CZ194" i="1"/>
  <c r="DA194" i="1"/>
  <c r="DB194" i="1"/>
  <c r="DC194" i="1"/>
  <c r="DD194" i="1"/>
  <c r="DE194" i="1"/>
  <c r="DF194" i="1"/>
  <c r="DG194" i="1"/>
  <c r="DH194" i="1"/>
  <c r="DI194" i="1"/>
  <c r="DJ194" i="1"/>
  <c r="DK194" i="1"/>
  <c r="DL194" i="1"/>
  <c r="DM194" i="1"/>
  <c r="DN194" i="1"/>
  <c r="DO194" i="1"/>
  <c r="DP194" i="1"/>
  <c r="DQ194" i="1"/>
  <c r="DR194" i="1"/>
  <c r="DS194" i="1"/>
  <c r="DT194" i="1"/>
  <c r="DU194" i="1"/>
  <c r="DV194" i="1"/>
  <c r="DW194" i="1"/>
  <c r="DX194" i="1"/>
  <c r="DY194" i="1"/>
  <c r="DZ194" i="1"/>
  <c r="EA194" i="1"/>
  <c r="EB194" i="1"/>
  <c r="EC194" i="1"/>
  <c r="ED194" i="1"/>
  <c r="EE194" i="1"/>
  <c r="EF194" i="1"/>
  <c r="EG194" i="1"/>
  <c r="EH194" i="1"/>
  <c r="EI194" i="1"/>
  <c r="EJ194" i="1"/>
  <c r="EK194" i="1"/>
  <c r="EL194" i="1"/>
  <c r="EM194" i="1"/>
  <c r="EN194" i="1"/>
  <c r="EO194" i="1"/>
  <c r="EP194" i="1"/>
  <c r="EQ194" i="1"/>
  <c r="ER194" i="1"/>
  <c r="ES194" i="1"/>
  <c r="ET194" i="1"/>
  <c r="EU194" i="1"/>
  <c r="EV194" i="1"/>
  <c r="EW194" i="1"/>
  <c r="EX194" i="1"/>
  <c r="EY194" i="1"/>
  <c r="EZ194" i="1"/>
  <c r="FA194" i="1"/>
  <c r="FB194" i="1"/>
  <c r="FC194" i="1"/>
  <c r="FD194" i="1"/>
  <c r="FE194" i="1"/>
  <c r="FF194" i="1"/>
  <c r="FG194" i="1"/>
  <c r="FH194" i="1"/>
  <c r="FI194" i="1"/>
  <c r="FJ194" i="1"/>
  <c r="FK194" i="1"/>
  <c r="FL194" i="1"/>
  <c r="FM194" i="1"/>
  <c r="FN194" i="1"/>
  <c r="FO194" i="1"/>
  <c r="FP194" i="1"/>
  <c r="FQ194" i="1"/>
  <c r="FR194" i="1"/>
  <c r="FS194" i="1"/>
  <c r="FT194" i="1"/>
  <c r="FU194" i="1"/>
  <c r="FV194" i="1"/>
  <c r="FW194" i="1"/>
  <c r="FX194" i="1"/>
  <c r="FY194" i="1"/>
  <c r="FZ194" i="1"/>
  <c r="GA194" i="1"/>
  <c r="GB194" i="1"/>
  <c r="GC194" i="1"/>
  <c r="GD194" i="1"/>
  <c r="GE194" i="1"/>
  <c r="GF194" i="1"/>
  <c r="GG194" i="1"/>
  <c r="GH194" i="1"/>
  <c r="GI194" i="1"/>
  <c r="GJ194" i="1"/>
  <c r="GK194" i="1"/>
  <c r="GL194" i="1"/>
  <c r="GM194" i="1"/>
  <c r="GN194" i="1"/>
  <c r="GO194" i="1"/>
  <c r="GP194" i="1"/>
  <c r="GQ194" i="1"/>
  <c r="GR194" i="1"/>
  <c r="GS194" i="1"/>
  <c r="GT194" i="1"/>
  <c r="GU194" i="1"/>
  <c r="GV194" i="1"/>
  <c r="GW194" i="1"/>
  <c r="GX194" i="1"/>
  <c r="C196" i="1"/>
  <c r="D196" i="1"/>
  <c r="I196" i="1"/>
  <c r="V196" i="1" s="1"/>
  <c r="R196" i="1"/>
  <c r="GK196" i="1" s="1"/>
  <c r="AB196" i="1"/>
  <c r="AC196" i="1"/>
  <c r="CQ196" i="1" s="1"/>
  <c r="AE196" i="1"/>
  <c r="AD196" i="1" s="1"/>
  <c r="AF196" i="1"/>
  <c r="CT196" i="1" s="1"/>
  <c r="AG196" i="1"/>
  <c r="CU196" i="1" s="1"/>
  <c r="T196" i="1" s="1"/>
  <c r="AH196" i="1"/>
  <c r="AI196" i="1"/>
  <c r="AJ196" i="1"/>
  <c r="CX196" i="1" s="1"/>
  <c r="CR196" i="1"/>
  <c r="Q196" i="1" s="1"/>
  <c r="CS196" i="1"/>
  <c r="CV196" i="1"/>
  <c r="CW196" i="1"/>
  <c r="FR196" i="1"/>
  <c r="GL196" i="1"/>
  <c r="GN196" i="1"/>
  <c r="GP196" i="1"/>
  <c r="GV196" i="1"/>
  <c r="GX196" i="1"/>
  <c r="C197" i="1"/>
  <c r="D197" i="1"/>
  <c r="I197" i="1"/>
  <c r="CX37" i="3" s="1"/>
  <c r="R197" i="1"/>
  <c r="W197" i="1"/>
  <c r="AC197" i="1"/>
  <c r="AD197" i="1"/>
  <c r="AE197" i="1"/>
  <c r="AF197" i="1"/>
  <c r="AG197" i="1"/>
  <c r="CU197" i="1" s="1"/>
  <c r="T197" i="1" s="1"/>
  <c r="AH197" i="1"/>
  <c r="CV197" i="1" s="1"/>
  <c r="U197" i="1" s="1"/>
  <c r="AI197" i="1"/>
  <c r="AJ197" i="1"/>
  <c r="CR197" i="1"/>
  <c r="Q197" i="1" s="1"/>
  <c r="CS197" i="1"/>
  <c r="CT197" i="1"/>
  <c r="S197" i="1" s="1"/>
  <c r="CW197" i="1"/>
  <c r="V197" i="1" s="1"/>
  <c r="CX197" i="1"/>
  <c r="FR197" i="1"/>
  <c r="GK197" i="1"/>
  <c r="GL197" i="1"/>
  <c r="GN197" i="1"/>
  <c r="GP197" i="1"/>
  <c r="GV197" i="1"/>
  <c r="GX197" i="1"/>
  <c r="C198" i="1"/>
  <c r="D198" i="1"/>
  <c r="I198" i="1"/>
  <c r="CX38" i="3" s="1"/>
  <c r="W198" i="1"/>
  <c r="AC198" i="1"/>
  <c r="AB198" i="1" s="1"/>
  <c r="AD198" i="1"/>
  <c r="AE198" i="1"/>
  <c r="CS198" i="1" s="1"/>
  <c r="R198" i="1" s="1"/>
  <c r="GK198" i="1" s="1"/>
  <c r="AF198" i="1"/>
  <c r="AG198" i="1"/>
  <c r="AH198" i="1"/>
  <c r="CV198" i="1" s="1"/>
  <c r="U198" i="1" s="1"/>
  <c r="AI198" i="1"/>
  <c r="CW198" i="1" s="1"/>
  <c r="V198" i="1" s="1"/>
  <c r="AJ198" i="1"/>
  <c r="CQ198" i="1"/>
  <c r="P198" i="1" s="1"/>
  <c r="CR198" i="1"/>
  <c r="Q198" i="1" s="1"/>
  <c r="CT198" i="1"/>
  <c r="S198" i="1" s="1"/>
  <c r="CU198" i="1"/>
  <c r="T198" i="1" s="1"/>
  <c r="CX198" i="1"/>
  <c r="FR198" i="1"/>
  <c r="GL198" i="1"/>
  <c r="GN198" i="1"/>
  <c r="GP198" i="1"/>
  <c r="GV198" i="1"/>
  <c r="GX198" i="1" s="1"/>
  <c r="I199" i="1"/>
  <c r="V199" i="1"/>
  <c r="W199" i="1"/>
  <c r="AC199" i="1"/>
  <c r="AD199" i="1"/>
  <c r="AE199" i="1"/>
  <c r="AF199" i="1"/>
  <c r="AG199" i="1"/>
  <c r="CU199" i="1" s="1"/>
  <c r="T199" i="1" s="1"/>
  <c r="AH199" i="1"/>
  <c r="CV199" i="1" s="1"/>
  <c r="U199" i="1" s="1"/>
  <c r="AI199" i="1"/>
  <c r="AJ199" i="1"/>
  <c r="CR199" i="1"/>
  <c r="Q199" i="1" s="1"/>
  <c r="CS199" i="1"/>
  <c r="R199" i="1" s="1"/>
  <c r="GK199" i="1" s="1"/>
  <c r="CT199" i="1"/>
  <c r="S199" i="1" s="1"/>
  <c r="CW199" i="1"/>
  <c r="CX199" i="1"/>
  <c r="FR199" i="1"/>
  <c r="GL199" i="1"/>
  <c r="GN199" i="1"/>
  <c r="GP199" i="1"/>
  <c r="GV199" i="1"/>
  <c r="GX199" i="1"/>
  <c r="C200" i="1"/>
  <c r="D200" i="1"/>
  <c r="I200" i="1"/>
  <c r="CX39" i="3" s="1"/>
  <c r="Q200" i="1"/>
  <c r="S200" i="1"/>
  <c r="CZ200" i="1" s="1"/>
  <c r="Y200" i="1" s="1"/>
  <c r="AC200" i="1"/>
  <c r="AB200" i="1" s="1"/>
  <c r="AD200" i="1"/>
  <c r="AE200" i="1"/>
  <c r="CS200" i="1" s="1"/>
  <c r="R200" i="1" s="1"/>
  <c r="GK200" i="1" s="1"/>
  <c r="AF200" i="1"/>
  <c r="AG200" i="1"/>
  <c r="AH200" i="1"/>
  <c r="CV200" i="1" s="1"/>
  <c r="U200" i="1" s="1"/>
  <c r="AI200" i="1"/>
  <c r="CW200" i="1" s="1"/>
  <c r="V200" i="1" s="1"/>
  <c r="AJ200" i="1"/>
  <c r="CR200" i="1"/>
  <c r="CT200" i="1"/>
  <c r="CU200" i="1"/>
  <c r="T200" i="1" s="1"/>
  <c r="CX200" i="1"/>
  <c r="W200" i="1" s="1"/>
  <c r="FR200" i="1"/>
  <c r="GL200" i="1"/>
  <c r="GN200" i="1"/>
  <c r="GP200" i="1"/>
  <c r="GV200" i="1"/>
  <c r="GX200" i="1" s="1"/>
  <c r="C201" i="1"/>
  <c r="D201" i="1"/>
  <c r="I201" i="1"/>
  <c r="CX40" i="3" s="1"/>
  <c r="P201" i="1"/>
  <c r="Q201" i="1"/>
  <c r="X201" i="1"/>
  <c r="AC201" i="1"/>
  <c r="AE201" i="1"/>
  <c r="AD201" i="1" s="1"/>
  <c r="AF201" i="1"/>
  <c r="CT201" i="1" s="1"/>
  <c r="S201" i="1" s="1"/>
  <c r="CY201" i="1" s="1"/>
  <c r="AG201" i="1"/>
  <c r="AH201" i="1"/>
  <c r="CV201" i="1" s="1"/>
  <c r="U201" i="1" s="1"/>
  <c r="AI201" i="1"/>
  <c r="CW201" i="1" s="1"/>
  <c r="V201" i="1" s="1"/>
  <c r="AJ201" i="1"/>
  <c r="CX201" i="1" s="1"/>
  <c r="W201" i="1" s="1"/>
  <c r="CQ201" i="1"/>
  <c r="CR201" i="1"/>
  <c r="CS201" i="1"/>
  <c r="R201" i="1" s="1"/>
  <c r="GK201" i="1" s="1"/>
  <c r="CU201" i="1"/>
  <c r="T201" i="1" s="1"/>
  <c r="FR201" i="1"/>
  <c r="GL201" i="1"/>
  <c r="BZ214" i="1" s="1"/>
  <c r="GN201" i="1"/>
  <c r="GP201" i="1"/>
  <c r="GV201" i="1"/>
  <c r="GX201" i="1" s="1"/>
  <c r="C202" i="1"/>
  <c r="D202" i="1"/>
  <c r="I202" i="1"/>
  <c r="AC202" i="1"/>
  <c r="CQ202" i="1" s="1"/>
  <c r="AE202" i="1"/>
  <c r="AD202" i="1" s="1"/>
  <c r="AF202" i="1"/>
  <c r="CT202" i="1" s="1"/>
  <c r="S202" i="1" s="1"/>
  <c r="AG202" i="1"/>
  <c r="CU202" i="1" s="1"/>
  <c r="AH202" i="1"/>
  <c r="AI202" i="1"/>
  <c r="AJ202" i="1"/>
  <c r="CX202" i="1" s="1"/>
  <c r="W202" i="1" s="1"/>
  <c r="CR202" i="1"/>
  <c r="CS202" i="1"/>
  <c r="CV202" i="1"/>
  <c r="CW202" i="1"/>
  <c r="FR202" i="1"/>
  <c r="GL202" i="1"/>
  <c r="GN202" i="1"/>
  <c r="GP202" i="1"/>
  <c r="GV202" i="1"/>
  <c r="GX202" i="1" s="1"/>
  <c r="I203" i="1"/>
  <c r="T203" i="1"/>
  <c r="Y203" i="1"/>
  <c r="AC203" i="1"/>
  <c r="AE203" i="1"/>
  <c r="CS203" i="1" s="1"/>
  <c r="R203" i="1" s="1"/>
  <c r="GK203" i="1" s="1"/>
  <c r="AF203" i="1"/>
  <c r="CT203" i="1" s="1"/>
  <c r="S203" i="1" s="1"/>
  <c r="CY203" i="1" s="1"/>
  <c r="X203" i="1" s="1"/>
  <c r="AG203" i="1"/>
  <c r="AH203" i="1"/>
  <c r="AI203" i="1"/>
  <c r="CW203" i="1" s="1"/>
  <c r="V203" i="1" s="1"/>
  <c r="AJ203" i="1"/>
  <c r="CX203" i="1" s="1"/>
  <c r="W203" i="1" s="1"/>
  <c r="CQ203" i="1"/>
  <c r="P203" i="1" s="1"/>
  <c r="CU203" i="1"/>
  <c r="CV203" i="1"/>
  <c r="U203" i="1" s="1"/>
  <c r="CZ203" i="1"/>
  <c r="FR203" i="1"/>
  <c r="GL203" i="1"/>
  <c r="GN203" i="1"/>
  <c r="GP203" i="1"/>
  <c r="GV203" i="1"/>
  <c r="GX203" i="1" s="1"/>
  <c r="C204" i="1"/>
  <c r="D204" i="1"/>
  <c r="I204" i="1"/>
  <c r="CX42" i="3" s="1"/>
  <c r="Q204" i="1"/>
  <c r="S204" i="1"/>
  <c r="CY204" i="1" s="1"/>
  <c r="X204" i="1" s="1"/>
  <c r="AC204" i="1"/>
  <c r="CQ204" i="1" s="1"/>
  <c r="AE204" i="1"/>
  <c r="AD204" i="1" s="1"/>
  <c r="AB204" i="1" s="1"/>
  <c r="AF204" i="1"/>
  <c r="AG204" i="1"/>
  <c r="CU204" i="1" s="1"/>
  <c r="T204" i="1" s="1"/>
  <c r="AH204" i="1"/>
  <c r="AI204" i="1"/>
  <c r="CW204" i="1" s="1"/>
  <c r="V204" i="1" s="1"/>
  <c r="AJ204" i="1"/>
  <c r="CR204" i="1"/>
  <c r="CS204" i="1"/>
  <c r="R204" i="1" s="1"/>
  <c r="GK204" i="1" s="1"/>
  <c r="CT204" i="1"/>
  <c r="CV204" i="1"/>
  <c r="U204" i="1" s="1"/>
  <c r="CX204" i="1"/>
  <c r="W204" i="1" s="1"/>
  <c r="FR204" i="1"/>
  <c r="GL204" i="1"/>
  <c r="GN204" i="1"/>
  <c r="GP204" i="1"/>
  <c r="GV204" i="1"/>
  <c r="GX204" i="1"/>
  <c r="C205" i="1"/>
  <c r="D205" i="1"/>
  <c r="I205" i="1"/>
  <c r="CX43" i="3" s="1"/>
  <c r="AC205" i="1"/>
  <c r="AE205" i="1"/>
  <c r="AD205" i="1" s="1"/>
  <c r="AF205" i="1"/>
  <c r="AG205" i="1"/>
  <c r="CU205" i="1" s="1"/>
  <c r="T205" i="1" s="1"/>
  <c r="AH205" i="1"/>
  <c r="AI205" i="1"/>
  <c r="CW205" i="1" s="1"/>
  <c r="V205" i="1" s="1"/>
  <c r="AJ205" i="1"/>
  <c r="CR205" i="1"/>
  <c r="Q205" i="1" s="1"/>
  <c r="CT205" i="1"/>
  <c r="S205" i="1" s="1"/>
  <c r="CV205" i="1"/>
  <c r="U205" i="1" s="1"/>
  <c r="CX205" i="1"/>
  <c r="W205" i="1" s="1"/>
  <c r="FR205" i="1"/>
  <c r="GL205" i="1"/>
  <c r="GN205" i="1"/>
  <c r="GP205" i="1"/>
  <c r="GV205" i="1"/>
  <c r="GX205" i="1" s="1"/>
  <c r="C206" i="1"/>
  <c r="D206" i="1"/>
  <c r="I206" i="1"/>
  <c r="CX44" i="3" s="1"/>
  <c r="P206" i="1"/>
  <c r="V206" i="1"/>
  <c r="AC206" i="1"/>
  <c r="AD206" i="1"/>
  <c r="AB206" i="1" s="1"/>
  <c r="AE206" i="1"/>
  <c r="AF206" i="1"/>
  <c r="CT206" i="1" s="1"/>
  <c r="S206" i="1" s="1"/>
  <c r="AG206" i="1"/>
  <c r="AH206" i="1"/>
  <c r="CV206" i="1" s="1"/>
  <c r="U206" i="1" s="1"/>
  <c r="AI206" i="1"/>
  <c r="AJ206" i="1"/>
  <c r="CX206" i="1" s="1"/>
  <c r="W206" i="1" s="1"/>
  <c r="CQ206" i="1"/>
  <c r="CR206" i="1"/>
  <c r="Q206" i="1" s="1"/>
  <c r="CS206" i="1"/>
  <c r="R206" i="1" s="1"/>
  <c r="GK206" i="1" s="1"/>
  <c r="CU206" i="1"/>
  <c r="T206" i="1" s="1"/>
  <c r="CW206" i="1"/>
  <c r="FR206" i="1"/>
  <c r="GL206" i="1"/>
  <c r="GN206" i="1"/>
  <c r="GP206" i="1"/>
  <c r="GV206" i="1"/>
  <c r="GX206" i="1"/>
  <c r="I207" i="1"/>
  <c r="U207" i="1"/>
  <c r="W207" i="1"/>
  <c r="AC207" i="1"/>
  <c r="AB207" i="1" s="1"/>
  <c r="AD207" i="1"/>
  <c r="AE207" i="1"/>
  <c r="CS207" i="1" s="1"/>
  <c r="R207" i="1" s="1"/>
  <c r="GK207" i="1" s="1"/>
  <c r="AF207" i="1"/>
  <c r="AG207" i="1"/>
  <c r="CU207" i="1" s="1"/>
  <c r="T207" i="1" s="1"/>
  <c r="AH207" i="1"/>
  <c r="AI207" i="1"/>
  <c r="CW207" i="1" s="1"/>
  <c r="V207" i="1" s="1"/>
  <c r="AJ207" i="1"/>
  <c r="CR207" i="1"/>
  <c r="Q207" i="1" s="1"/>
  <c r="CT207" i="1"/>
  <c r="S207" i="1" s="1"/>
  <c r="CV207" i="1"/>
  <c r="CX207" i="1"/>
  <c r="FR207" i="1"/>
  <c r="GL207" i="1"/>
  <c r="GN207" i="1"/>
  <c r="GP207" i="1"/>
  <c r="GV207" i="1"/>
  <c r="GX207" i="1" s="1"/>
  <c r="C208" i="1"/>
  <c r="D208" i="1"/>
  <c r="I208" i="1"/>
  <c r="CX45" i="3" s="1"/>
  <c r="R208" i="1"/>
  <c r="GK208" i="1" s="1"/>
  <c r="T208" i="1"/>
  <c r="AC208" i="1"/>
  <c r="AD208" i="1"/>
  <c r="AB208" i="1" s="1"/>
  <c r="AE208" i="1"/>
  <c r="AF208" i="1"/>
  <c r="CT208" i="1" s="1"/>
  <c r="S208" i="1" s="1"/>
  <c r="CZ208" i="1" s="1"/>
  <c r="Y208" i="1" s="1"/>
  <c r="AG208" i="1"/>
  <c r="AH208" i="1"/>
  <c r="CV208" i="1" s="1"/>
  <c r="U208" i="1" s="1"/>
  <c r="AI208" i="1"/>
  <c r="AJ208" i="1"/>
  <c r="CX208" i="1" s="1"/>
  <c r="W208" i="1" s="1"/>
  <c r="CQ208" i="1"/>
  <c r="P208" i="1" s="1"/>
  <c r="CR208" i="1"/>
  <c r="CS208" i="1"/>
  <c r="CU208" i="1"/>
  <c r="CW208" i="1"/>
  <c r="V208" i="1" s="1"/>
  <c r="CY208" i="1"/>
  <c r="X208" i="1" s="1"/>
  <c r="FR208" i="1"/>
  <c r="GL208" i="1"/>
  <c r="GN208" i="1"/>
  <c r="GP208" i="1"/>
  <c r="CD214" i="1" s="1"/>
  <c r="GV208" i="1"/>
  <c r="GX208" i="1"/>
  <c r="C209" i="1"/>
  <c r="D209" i="1"/>
  <c r="I209" i="1"/>
  <c r="CX46" i="3" s="1"/>
  <c r="Q209" i="1"/>
  <c r="W209" i="1"/>
  <c r="AC209" i="1"/>
  <c r="AE209" i="1"/>
  <c r="AD209" i="1" s="1"/>
  <c r="AF209" i="1"/>
  <c r="AG209" i="1"/>
  <c r="CU209" i="1" s="1"/>
  <c r="T209" i="1" s="1"/>
  <c r="AH209" i="1"/>
  <c r="AI209" i="1"/>
  <c r="CW209" i="1" s="1"/>
  <c r="V209" i="1" s="1"/>
  <c r="AJ209" i="1"/>
  <c r="CR209" i="1"/>
  <c r="CT209" i="1"/>
  <c r="S209" i="1" s="1"/>
  <c r="CV209" i="1"/>
  <c r="U209" i="1" s="1"/>
  <c r="CX209" i="1"/>
  <c r="FR209" i="1"/>
  <c r="GL209" i="1"/>
  <c r="GN209" i="1"/>
  <c r="GP209" i="1"/>
  <c r="GV209" i="1"/>
  <c r="GX209" i="1" s="1"/>
  <c r="C210" i="1"/>
  <c r="D210" i="1"/>
  <c r="I210" i="1"/>
  <c r="AC210" i="1"/>
  <c r="AD210" i="1"/>
  <c r="AE210" i="1"/>
  <c r="AF210" i="1"/>
  <c r="AG210" i="1"/>
  <c r="AH210" i="1"/>
  <c r="CV210" i="1" s="1"/>
  <c r="AI210" i="1"/>
  <c r="AJ210" i="1"/>
  <c r="CX210" i="1" s="1"/>
  <c r="CQ210" i="1"/>
  <c r="CR210" i="1"/>
  <c r="CS210" i="1"/>
  <c r="CU210" i="1"/>
  <c r="CW210" i="1"/>
  <c r="FR210" i="1"/>
  <c r="BY214" i="1" s="1"/>
  <c r="CI214" i="1" s="1"/>
  <c r="GL210" i="1"/>
  <c r="GN210" i="1"/>
  <c r="CB214" i="1" s="1"/>
  <c r="GP210" i="1"/>
  <c r="GV210" i="1"/>
  <c r="I211" i="1"/>
  <c r="S211" i="1"/>
  <c r="CY211" i="1" s="1"/>
  <c r="X211" i="1" s="1"/>
  <c r="U211" i="1"/>
  <c r="AC211" i="1"/>
  <c r="AE211" i="1"/>
  <c r="AF211" i="1"/>
  <c r="AG211" i="1"/>
  <c r="CU211" i="1" s="1"/>
  <c r="T211" i="1" s="1"/>
  <c r="AH211" i="1"/>
  <c r="AI211" i="1"/>
  <c r="CW211" i="1" s="1"/>
  <c r="V211" i="1" s="1"/>
  <c r="AJ211" i="1"/>
  <c r="CR211" i="1"/>
  <c r="Q211" i="1" s="1"/>
  <c r="CT211" i="1"/>
  <c r="CV211" i="1"/>
  <c r="CX211" i="1"/>
  <c r="W211" i="1" s="1"/>
  <c r="CZ211" i="1"/>
  <c r="Y211" i="1" s="1"/>
  <c r="FR211" i="1"/>
  <c r="GL211" i="1"/>
  <c r="GN211" i="1"/>
  <c r="GP211" i="1"/>
  <c r="GV211" i="1"/>
  <c r="GX211" i="1" s="1"/>
  <c r="I212" i="1"/>
  <c r="R212" i="1"/>
  <c r="GK212" i="1" s="1"/>
  <c r="T212" i="1"/>
  <c r="AC212" i="1"/>
  <c r="AD212" i="1"/>
  <c r="AE212" i="1"/>
  <c r="AF212" i="1"/>
  <c r="CT212" i="1" s="1"/>
  <c r="S212" i="1" s="1"/>
  <c r="CZ212" i="1" s="1"/>
  <c r="Y212" i="1" s="1"/>
  <c r="AG212" i="1"/>
  <c r="AH212" i="1"/>
  <c r="CV212" i="1" s="1"/>
  <c r="U212" i="1" s="1"/>
  <c r="AI212" i="1"/>
  <c r="AJ212" i="1"/>
  <c r="CX212" i="1" s="1"/>
  <c r="W212" i="1" s="1"/>
  <c r="CQ212" i="1"/>
  <c r="P212" i="1" s="1"/>
  <c r="CS212" i="1"/>
  <c r="CU212" i="1"/>
  <c r="CW212" i="1"/>
  <c r="V212" i="1" s="1"/>
  <c r="CY212" i="1"/>
  <c r="X212" i="1" s="1"/>
  <c r="FR212" i="1"/>
  <c r="GL212" i="1"/>
  <c r="GN212" i="1"/>
  <c r="GP212" i="1"/>
  <c r="GV212" i="1"/>
  <c r="GX212" i="1"/>
  <c r="B214" i="1"/>
  <c r="C214" i="1"/>
  <c r="C194" i="1" s="1"/>
  <c r="D214" i="1"/>
  <c r="D194" i="1" s="1"/>
  <c r="F214" i="1"/>
  <c r="F194" i="1" s="1"/>
  <c r="G214" i="1"/>
  <c r="G194" i="1" s="1"/>
  <c r="AO214" i="1"/>
  <c r="AO194" i="1" s="1"/>
  <c r="AQ214" i="1"/>
  <c r="BC214" i="1"/>
  <c r="BC194" i="1" s="1"/>
  <c r="BX214" i="1"/>
  <c r="BX194" i="1" s="1"/>
  <c r="CK214" i="1"/>
  <c r="BB214" i="1" s="1"/>
  <c r="CL214" i="1"/>
  <c r="CL194" i="1" s="1"/>
  <c r="F218" i="1"/>
  <c r="D243" i="1"/>
  <c r="E245" i="1"/>
  <c r="Z245" i="1"/>
  <c r="AA245" i="1"/>
  <c r="AM245" i="1"/>
  <c r="AN245" i="1"/>
  <c r="BD245" i="1"/>
  <c r="BE245" i="1"/>
  <c r="BF245" i="1"/>
  <c r="BG245" i="1"/>
  <c r="BH245" i="1"/>
  <c r="BI245" i="1"/>
  <c r="BJ245" i="1"/>
  <c r="BK245" i="1"/>
  <c r="BL245" i="1"/>
  <c r="BM245" i="1"/>
  <c r="BN245" i="1"/>
  <c r="BO245" i="1"/>
  <c r="BP245" i="1"/>
  <c r="BQ245" i="1"/>
  <c r="BR245" i="1"/>
  <c r="BS245" i="1"/>
  <c r="BT245" i="1"/>
  <c r="BU245" i="1"/>
  <c r="BV245" i="1"/>
  <c r="BW245" i="1"/>
  <c r="CL245" i="1"/>
  <c r="CM245" i="1"/>
  <c r="CN245" i="1"/>
  <c r="CO245" i="1"/>
  <c r="CP245" i="1"/>
  <c r="CQ245" i="1"/>
  <c r="CR245" i="1"/>
  <c r="CS245" i="1"/>
  <c r="CT245" i="1"/>
  <c r="CU245" i="1"/>
  <c r="CV245" i="1"/>
  <c r="CW245" i="1"/>
  <c r="CX245" i="1"/>
  <c r="CY245" i="1"/>
  <c r="CZ245" i="1"/>
  <c r="DA245" i="1"/>
  <c r="DB245" i="1"/>
  <c r="DC245" i="1"/>
  <c r="DD245" i="1"/>
  <c r="DE245" i="1"/>
  <c r="DF245" i="1"/>
  <c r="DG245" i="1"/>
  <c r="DH245" i="1"/>
  <c r="DI245" i="1"/>
  <c r="DJ245" i="1"/>
  <c r="DK245" i="1"/>
  <c r="DL245" i="1"/>
  <c r="DM245" i="1"/>
  <c r="DN245" i="1"/>
  <c r="DO245" i="1"/>
  <c r="DP245" i="1"/>
  <c r="DQ245" i="1"/>
  <c r="DR245" i="1"/>
  <c r="DS245" i="1"/>
  <c r="DT245" i="1"/>
  <c r="DU245" i="1"/>
  <c r="DV245" i="1"/>
  <c r="DW245" i="1"/>
  <c r="DX245" i="1"/>
  <c r="DY245" i="1"/>
  <c r="DZ245" i="1"/>
  <c r="EA245" i="1"/>
  <c r="EB245" i="1"/>
  <c r="EC245" i="1"/>
  <c r="ED245" i="1"/>
  <c r="EE245" i="1"/>
  <c r="EF245" i="1"/>
  <c r="EG245" i="1"/>
  <c r="EH245" i="1"/>
  <c r="EI245" i="1"/>
  <c r="EJ245" i="1"/>
  <c r="EK245" i="1"/>
  <c r="EL245" i="1"/>
  <c r="EM245" i="1"/>
  <c r="EN245" i="1"/>
  <c r="EO245" i="1"/>
  <c r="EP245" i="1"/>
  <c r="EQ245" i="1"/>
  <c r="ER245" i="1"/>
  <c r="ES245" i="1"/>
  <c r="ET245" i="1"/>
  <c r="EU245" i="1"/>
  <c r="EV245" i="1"/>
  <c r="EW245" i="1"/>
  <c r="EX245" i="1"/>
  <c r="EY245" i="1"/>
  <c r="EZ245" i="1"/>
  <c r="FA245" i="1"/>
  <c r="FB245" i="1"/>
  <c r="FC245" i="1"/>
  <c r="FD245" i="1"/>
  <c r="FE245" i="1"/>
  <c r="FF245" i="1"/>
  <c r="FG245" i="1"/>
  <c r="FH245" i="1"/>
  <c r="FI245" i="1"/>
  <c r="FJ245" i="1"/>
  <c r="FK245" i="1"/>
  <c r="FL245" i="1"/>
  <c r="FM245" i="1"/>
  <c r="FN245" i="1"/>
  <c r="FO245" i="1"/>
  <c r="FP245" i="1"/>
  <c r="FQ245" i="1"/>
  <c r="FR245" i="1"/>
  <c r="FS245" i="1"/>
  <c r="FT245" i="1"/>
  <c r="FU245" i="1"/>
  <c r="FV245" i="1"/>
  <c r="FW245" i="1"/>
  <c r="FX245" i="1"/>
  <c r="FY245" i="1"/>
  <c r="FZ245" i="1"/>
  <c r="GA245" i="1"/>
  <c r="GB245" i="1"/>
  <c r="GC245" i="1"/>
  <c r="GD245" i="1"/>
  <c r="GE245" i="1"/>
  <c r="GF245" i="1"/>
  <c r="GG245" i="1"/>
  <c r="GH245" i="1"/>
  <c r="GI245" i="1"/>
  <c r="GJ245" i="1"/>
  <c r="GK245" i="1"/>
  <c r="GL245" i="1"/>
  <c r="GM245" i="1"/>
  <c r="GN245" i="1"/>
  <c r="GO245" i="1"/>
  <c r="GP245" i="1"/>
  <c r="GQ245" i="1"/>
  <c r="GR245" i="1"/>
  <c r="GS245" i="1"/>
  <c r="GT245" i="1"/>
  <c r="GU245" i="1"/>
  <c r="GV245" i="1"/>
  <c r="GW245" i="1"/>
  <c r="GX245" i="1"/>
  <c r="C247" i="1"/>
  <c r="D247" i="1"/>
  <c r="T247" i="1"/>
  <c r="AG252" i="1" s="1"/>
  <c r="V247" i="1"/>
  <c r="AC247" i="1"/>
  <c r="AD247" i="1"/>
  <c r="AB247" i="1" s="1"/>
  <c r="AE247" i="1"/>
  <c r="AF247" i="1"/>
  <c r="CT247" i="1" s="1"/>
  <c r="S247" i="1" s="1"/>
  <c r="CZ247" i="1" s="1"/>
  <c r="Y247" i="1" s="1"/>
  <c r="AG247" i="1"/>
  <c r="AH247" i="1"/>
  <c r="CV247" i="1" s="1"/>
  <c r="U247" i="1" s="1"/>
  <c r="AI247" i="1"/>
  <c r="AJ247" i="1"/>
  <c r="CX247" i="1" s="1"/>
  <c r="W247" i="1" s="1"/>
  <c r="CQ247" i="1"/>
  <c r="P247" i="1" s="1"/>
  <c r="CR247" i="1"/>
  <c r="Q247" i="1" s="1"/>
  <c r="AD252" i="1" s="1"/>
  <c r="CS247" i="1"/>
  <c r="R247" i="1" s="1"/>
  <c r="GK247" i="1" s="1"/>
  <c r="CU247" i="1"/>
  <c r="CW247" i="1"/>
  <c r="CY247" i="1"/>
  <c r="X247" i="1" s="1"/>
  <c r="FR247" i="1"/>
  <c r="GL247" i="1"/>
  <c r="GN247" i="1"/>
  <c r="GP247" i="1"/>
  <c r="CD252" i="1" s="1"/>
  <c r="GV247" i="1"/>
  <c r="GX247" i="1"/>
  <c r="T248" i="1"/>
  <c r="V248" i="1"/>
  <c r="AC248" i="1"/>
  <c r="AD248" i="1"/>
  <c r="AB248" i="1" s="1"/>
  <c r="AE248" i="1"/>
  <c r="AF248" i="1"/>
  <c r="CT248" i="1" s="1"/>
  <c r="S248" i="1" s="1"/>
  <c r="CZ248" i="1" s="1"/>
  <c r="Y248" i="1" s="1"/>
  <c r="AG248" i="1"/>
  <c r="AH248" i="1"/>
  <c r="CV248" i="1" s="1"/>
  <c r="U248" i="1" s="1"/>
  <c r="AI248" i="1"/>
  <c r="AJ248" i="1"/>
  <c r="CX248" i="1" s="1"/>
  <c r="W248" i="1" s="1"/>
  <c r="CQ248" i="1"/>
  <c r="P248" i="1" s="1"/>
  <c r="CP248" i="1" s="1"/>
  <c r="O248" i="1" s="1"/>
  <c r="CR248" i="1"/>
  <c r="Q248" i="1" s="1"/>
  <c r="CS248" i="1"/>
  <c r="R248" i="1" s="1"/>
  <c r="GK248" i="1" s="1"/>
  <c r="CU248" i="1"/>
  <c r="CW248" i="1"/>
  <c r="CY248" i="1"/>
  <c r="X248" i="1" s="1"/>
  <c r="FR248" i="1"/>
  <c r="GL248" i="1"/>
  <c r="GN248" i="1"/>
  <c r="GP248" i="1"/>
  <c r="GV248" i="1"/>
  <c r="GX248" i="1"/>
  <c r="C249" i="1"/>
  <c r="D249" i="1"/>
  <c r="P249" i="1"/>
  <c r="R249" i="1"/>
  <c r="GK249" i="1" s="1"/>
  <c r="V249" i="1"/>
  <c r="AI252" i="1" s="1"/>
  <c r="AC249" i="1"/>
  <c r="AD249" i="1"/>
  <c r="AB249" i="1" s="1"/>
  <c r="AE249" i="1"/>
  <c r="AF249" i="1"/>
  <c r="CT249" i="1" s="1"/>
  <c r="S249" i="1" s="1"/>
  <c r="CZ249" i="1" s="1"/>
  <c r="Y249" i="1" s="1"/>
  <c r="AG249" i="1"/>
  <c r="AH249" i="1"/>
  <c r="CV249" i="1" s="1"/>
  <c r="U249" i="1" s="1"/>
  <c r="AI249" i="1"/>
  <c r="AJ249" i="1"/>
  <c r="CX249" i="1" s="1"/>
  <c r="W249" i="1" s="1"/>
  <c r="CQ249" i="1"/>
  <c r="CR249" i="1"/>
  <c r="Q249" i="1" s="1"/>
  <c r="CS249" i="1"/>
  <c r="CU249" i="1"/>
  <c r="T249" i="1" s="1"/>
  <c r="CW249" i="1"/>
  <c r="CY249" i="1"/>
  <c r="X249" i="1" s="1"/>
  <c r="FR249" i="1"/>
  <c r="GL249" i="1"/>
  <c r="GN249" i="1"/>
  <c r="GP249" i="1"/>
  <c r="GV249" i="1"/>
  <c r="GX249" i="1"/>
  <c r="R250" i="1"/>
  <c r="GK250" i="1" s="1"/>
  <c r="AC250" i="1"/>
  <c r="AD250" i="1"/>
  <c r="AE250" i="1"/>
  <c r="AF250" i="1"/>
  <c r="AG250" i="1"/>
  <c r="AH250" i="1"/>
  <c r="CV250" i="1" s="1"/>
  <c r="U250" i="1" s="1"/>
  <c r="AI250" i="1"/>
  <c r="AJ250" i="1"/>
  <c r="CX250" i="1" s="1"/>
  <c r="W250" i="1" s="1"/>
  <c r="CQ250" i="1"/>
  <c r="P250" i="1" s="1"/>
  <c r="CR250" i="1"/>
  <c r="Q250" i="1" s="1"/>
  <c r="CS250" i="1"/>
  <c r="CU250" i="1"/>
  <c r="T250" i="1" s="1"/>
  <c r="CW250" i="1"/>
  <c r="V250" i="1" s="1"/>
  <c r="FR250" i="1"/>
  <c r="GL250" i="1"/>
  <c r="BZ252" i="1" s="1"/>
  <c r="GN250" i="1"/>
  <c r="GP250" i="1"/>
  <c r="GV250" i="1"/>
  <c r="GX250" i="1"/>
  <c r="B252" i="1"/>
  <c r="B245" i="1" s="1"/>
  <c r="C252" i="1"/>
  <c r="C245" i="1" s="1"/>
  <c r="D252" i="1"/>
  <c r="D245" i="1" s="1"/>
  <c r="F252" i="1"/>
  <c r="F245" i="1" s="1"/>
  <c r="G252" i="1"/>
  <c r="G245" i="1" s="1"/>
  <c r="AC252" i="1"/>
  <c r="AO252" i="1"/>
  <c r="AO245" i="1" s="1"/>
  <c r="AP252" i="1"/>
  <c r="AP245" i="1" s="1"/>
  <c r="BC252" i="1"/>
  <c r="BC245" i="1" s="1"/>
  <c r="BX252" i="1"/>
  <c r="BX245" i="1" s="1"/>
  <c r="BY252" i="1"/>
  <c r="BY245" i="1" s="1"/>
  <c r="CI252" i="1"/>
  <c r="CK252" i="1"/>
  <c r="CL252" i="1"/>
  <c r="F256" i="1"/>
  <c r="F261" i="1"/>
  <c r="F268" i="1"/>
  <c r="D281" i="1"/>
  <c r="E283" i="1"/>
  <c r="Z283" i="1"/>
  <c r="AA283" i="1"/>
  <c r="AM283" i="1"/>
  <c r="AN283" i="1"/>
  <c r="AO283" i="1"/>
  <c r="BD283" i="1"/>
  <c r="BE283" i="1"/>
  <c r="BF283" i="1"/>
  <c r="BG283" i="1"/>
  <c r="BH283" i="1"/>
  <c r="BI283" i="1"/>
  <c r="BJ283" i="1"/>
  <c r="BK283" i="1"/>
  <c r="BL283" i="1"/>
  <c r="BM283" i="1"/>
  <c r="BN283" i="1"/>
  <c r="BO283" i="1"/>
  <c r="BP283" i="1"/>
  <c r="BQ283" i="1"/>
  <c r="BR283" i="1"/>
  <c r="BS283" i="1"/>
  <c r="BT283" i="1"/>
  <c r="BU283" i="1"/>
  <c r="BV283" i="1"/>
  <c r="BW283" i="1"/>
  <c r="CK283" i="1"/>
  <c r="CM283" i="1"/>
  <c r="CN283" i="1"/>
  <c r="CO283" i="1"/>
  <c r="CP283" i="1"/>
  <c r="CQ283" i="1"/>
  <c r="CR283" i="1"/>
  <c r="CS283" i="1"/>
  <c r="CT283" i="1"/>
  <c r="CU283" i="1"/>
  <c r="CV283" i="1"/>
  <c r="CW283" i="1"/>
  <c r="CX283" i="1"/>
  <c r="CY283" i="1"/>
  <c r="CZ283" i="1"/>
  <c r="DA283" i="1"/>
  <c r="DB283" i="1"/>
  <c r="DC283" i="1"/>
  <c r="DD283" i="1"/>
  <c r="DE283" i="1"/>
  <c r="DF283" i="1"/>
  <c r="DG283" i="1"/>
  <c r="DH283" i="1"/>
  <c r="DI283" i="1"/>
  <c r="DJ283" i="1"/>
  <c r="DK283" i="1"/>
  <c r="DL283" i="1"/>
  <c r="DM283" i="1"/>
  <c r="DN283" i="1"/>
  <c r="DO283" i="1"/>
  <c r="DP283" i="1"/>
  <c r="DQ283" i="1"/>
  <c r="DR283" i="1"/>
  <c r="DS283" i="1"/>
  <c r="DT283" i="1"/>
  <c r="DU283" i="1"/>
  <c r="DV283" i="1"/>
  <c r="DW283" i="1"/>
  <c r="DX283" i="1"/>
  <c r="DY283" i="1"/>
  <c r="DZ283" i="1"/>
  <c r="EA283" i="1"/>
  <c r="EB283" i="1"/>
  <c r="EC283" i="1"/>
  <c r="ED283" i="1"/>
  <c r="EE283" i="1"/>
  <c r="EF283" i="1"/>
  <c r="EG283" i="1"/>
  <c r="EH283" i="1"/>
  <c r="EI283" i="1"/>
  <c r="EJ283" i="1"/>
  <c r="EK283" i="1"/>
  <c r="EL283" i="1"/>
  <c r="EM283" i="1"/>
  <c r="EN283" i="1"/>
  <c r="EO283" i="1"/>
  <c r="EP283" i="1"/>
  <c r="EQ283" i="1"/>
  <c r="ER283" i="1"/>
  <c r="ES283" i="1"/>
  <c r="ET283" i="1"/>
  <c r="EU283" i="1"/>
  <c r="EV283" i="1"/>
  <c r="EW283" i="1"/>
  <c r="EX283" i="1"/>
  <c r="EY283" i="1"/>
  <c r="EZ283" i="1"/>
  <c r="FA283" i="1"/>
  <c r="FB283" i="1"/>
  <c r="FC283" i="1"/>
  <c r="FD283" i="1"/>
  <c r="FE283" i="1"/>
  <c r="FF283" i="1"/>
  <c r="FG283" i="1"/>
  <c r="FH283" i="1"/>
  <c r="FI283" i="1"/>
  <c r="FJ283" i="1"/>
  <c r="FK283" i="1"/>
  <c r="FL283" i="1"/>
  <c r="FM283" i="1"/>
  <c r="FN283" i="1"/>
  <c r="FO283" i="1"/>
  <c r="FP283" i="1"/>
  <c r="FQ283" i="1"/>
  <c r="FR283" i="1"/>
  <c r="FS283" i="1"/>
  <c r="FT283" i="1"/>
  <c r="FU283" i="1"/>
  <c r="FV283" i="1"/>
  <c r="FW283" i="1"/>
  <c r="FX283" i="1"/>
  <c r="FY283" i="1"/>
  <c r="FZ283" i="1"/>
  <c r="GA283" i="1"/>
  <c r="GB283" i="1"/>
  <c r="GC283" i="1"/>
  <c r="GD283" i="1"/>
  <c r="GE283" i="1"/>
  <c r="GF283" i="1"/>
  <c r="GG283" i="1"/>
  <c r="GH283" i="1"/>
  <c r="GI283" i="1"/>
  <c r="GJ283" i="1"/>
  <c r="GK283" i="1"/>
  <c r="GL283" i="1"/>
  <c r="GM283" i="1"/>
  <c r="GN283" i="1"/>
  <c r="GO283" i="1"/>
  <c r="GP283" i="1"/>
  <c r="GQ283" i="1"/>
  <c r="GR283" i="1"/>
  <c r="GS283" i="1"/>
  <c r="GT283" i="1"/>
  <c r="GU283" i="1"/>
  <c r="GV283" i="1"/>
  <c r="GW283" i="1"/>
  <c r="GX283" i="1"/>
  <c r="C285" i="1"/>
  <c r="D285" i="1"/>
  <c r="I285" i="1"/>
  <c r="V285" i="1"/>
  <c r="AI289" i="1" s="1"/>
  <c r="AC285" i="1"/>
  <c r="AE285" i="1"/>
  <c r="AD285" i="1" s="1"/>
  <c r="AF285" i="1"/>
  <c r="CT285" i="1" s="1"/>
  <c r="S285" i="1" s="1"/>
  <c r="AG285" i="1"/>
  <c r="AH285" i="1"/>
  <c r="CV285" i="1" s="1"/>
  <c r="AI285" i="1"/>
  <c r="AJ285" i="1"/>
  <c r="CX285" i="1" s="1"/>
  <c r="W285" i="1" s="1"/>
  <c r="CQ285" i="1"/>
  <c r="P285" i="1" s="1"/>
  <c r="CR285" i="1"/>
  <c r="CS285" i="1"/>
  <c r="R285" i="1" s="1"/>
  <c r="CU285" i="1"/>
  <c r="CW285" i="1"/>
  <c r="FR285" i="1"/>
  <c r="GL285" i="1"/>
  <c r="BZ289" i="1" s="1"/>
  <c r="GO285" i="1"/>
  <c r="GP285" i="1"/>
  <c r="CD289" i="1" s="1"/>
  <c r="GV285" i="1"/>
  <c r="GX285" i="1"/>
  <c r="T286" i="1"/>
  <c r="V286" i="1"/>
  <c r="AC286" i="1"/>
  <c r="AE286" i="1"/>
  <c r="AD286" i="1" s="1"/>
  <c r="AB286" i="1" s="1"/>
  <c r="AF286" i="1"/>
  <c r="CT286" i="1" s="1"/>
  <c r="S286" i="1" s="1"/>
  <c r="AG286" i="1"/>
  <c r="AH286" i="1"/>
  <c r="CV286" i="1" s="1"/>
  <c r="U286" i="1" s="1"/>
  <c r="AI286" i="1"/>
  <c r="AJ286" i="1"/>
  <c r="CX286" i="1" s="1"/>
  <c r="W286" i="1" s="1"/>
  <c r="CQ286" i="1"/>
  <c r="P286" i="1" s="1"/>
  <c r="CR286" i="1"/>
  <c r="Q286" i="1" s="1"/>
  <c r="CS286" i="1"/>
  <c r="R286" i="1" s="1"/>
  <c r="GK286" i="1" s="1"/>
  <c r="CU286" i="1"/>
  <c r="CW286" i="1"/>
  <c r="FR286" i="1"/>
  <c r="GL286" i="1"/>
  <c r="GO286" i="1"/>
  <c r="GP286" i="1"/>
  <c r="GV286" i="1"/>
  <c r="GX286" i="1"/>
  <c r="T287" i="1"/>
  <c r="V287" i="1"/>
  <c r="AC287" i="1"/>
  <c r="AE287" i="1"/>
  <c r="AD287" i="1" s="1"/>
  <c r="AB287" i="1" s="1"/>
  <c r="AF287" i="1"/>
  <c r="CT287" i="1" s="1"/>
  <c r="S287" i="1" s="1"/>
  <c r="AG287" i="1"/>
  <c r="AH287" i="1"/>
  <c r="CV287" i="1" s="1"/>
  <c r="U287" i="1" s="1"/>
  <c r="AI287" i="1"/>
  <c r="AJ287" i="1"/>
  <c r="CX287" i="1" s="1"/>
  <c r="W287" i="1" s="1"/>
  <c r="CQ287" i="1"/>
  <c r="P287" i="1" s="1"/>
  <c r="CP287" i="1" s="1"/>
  <c r="O287" i="1" s="1"/>
  <c r="CR287" i="1"/>
  <c r="Q287" i="1" s="1"/>
  <c r="CS287" i="1"/>
  <c r="R287" i="1" s="1"/>
  <c r="GK287" i="1" s="1"/>
  <c r="CU287" i="1"/>
  <c r="CW287" i="1"/>
  <c r="FR287" i="1"/>
  <c r="GL287" i="1"/>
  <c r="GO287" i="1"/>
  <c r="GP287" i="1"/>
  <c r="GV287" i="1"/>
  <c r="GX287" i="1"/>
  <c r="B289" i="1"/>
  <c r="B283" i="1" s="1"/>
  <c r="C289" i="1"/>
  <c r="C283" i="1" s="1"/>
  <c r="D289" i="1"/>
  <c r="D283" i="1" s="1"/>
  <c r="F289" i="1"/>
  <c r="F283" i="1" s="1"/>
  <c r="G289" i="1"/>
  <c r="G283" i="1" s="1"/>
  <c r="AO289" i="1"/>
  <c r="BC289" i="1"/>
  <c r="BC283" i="1" s="1"/>
  <c r="BX289" i="1"/>
  <c r="BX283" i="1" s="1"/>
  <c r="CC289" i="1"/>
  <c r="CK289" i="1"/>
  <c r="BB289" i="1" s="1"/>
  <c r="CL289" i="1"/>
  <c r="CL283" i="1" s="1"/>
  <c r="F293" i="1"/>
  <c r="F305" i="1"/>
  <c r="D318" i="1"/>
  <c r="E320" i="1"/>
  <c r="Z320" i="1"/>
  <c r="AA320" i="1"/>
  <c r="AM320" i="1"/>
  <c r="AN320" i="1"/>
  <c r="BD320" i="1"/>
  <c r="BE320" i="1"/>
  <c r="BF320" i="1"/>
  <c r="BG320" i="1"/>
  <c r="BH320" i="1"/>
  <c r="BI320" i="1"/>
  <c r="BJ320" i="1"/>
  <c r="BK320" i="1"/>
  <c r="BL320" i="1"/>
  <c r="BM320" i="1"/>
  <c r="BN320" i="1"/>
  <c r="BO320" i="1"/>
  <c r="BP320" i="1"/>
  <c r="BQ320" i="1"/>
  <c r="BR320" i="1"/>
  <c r="BS320" i="1"/>
  <c r="BT320" i="1"/>
  <c r="BU320" i="1"/>
  <c r="BV320" i="1"/>
  <c r="BW320" i="1"/>
  <c r="CM320" i="1"/>
  <c r="CN320" i="1"/>
  <c r="CO320" i="1"/>
  <c r="CP320" i="1"/>
  <c r="CQ320" i="1"/>
  <c r="CR320" i="1"/>
  <c r="CS320" i="1"/>
  <c r="CT320" i="1"/>
  <c r="CU320" i="1"/>
  <c r="CV320" i="1"/>
  <c r="CW320" i="1"/>
  <c r="CX320" i="1"/>
  <c r="CY320" i="1"/>
  <c r="CZ320" i="1"/>
  <c r="DA320" i="1"/>
  <c r="DB320" i="1"/>
  <c r="DC320" i="1"/>
  <c r="DD320" i="1"/>
  <c r="DE320" i="1"/>
  <c r="DF320" i="1"/>
  <c r="DG320" i="1"/>
  <c r="DH320" i="1"/>
  <c r="DI320" i="1"/>
  <c r="DJ320" i="1"/>
  <c r="DK320" i="1"/>
  <c r="DL320" i="1"/>
  <c r="DM320" i="1"/>
  <c r="DN320" i="1"/>
  <c r="DO320" i="1"/>
  <c r="DP320" i="1"/>
  <c r="DQ320" i="1"/>
  <c r="DR320" i="1"/>
  <c r="DS320" i="1"/>
  <c r="DT320" i="1"/>
  <c r="DU320" i="1"/>
  <c r="DV320" i="1"/>
  <c r="DW320" i="1"/>
  <c r="DX320" i="1"/>
  <c r="DY320" i="1"/>
  <c r="DZ320" i="1"/>
  <c r="EA320" i="1"/>
  <c r="EB320" i="1"/>
  <c r="EC320" i="1"/>
  <c r="ED320" i="1"/>
  <c r="EE320" i="1"/>
  <c r="EF320" i="1"/>
  <c r="EG320" i="1"/>
  <c r="EH320" i="1"/>
  <c r="EI320" i="1"/>
  <c r="EJ320" i="1"/>
  <c r="EK320" i="1"/>
  <c r="EL320" i="1"/>
  <c r="EM320" i="1"/>
  <c r="EN320" i="1"/>
  <c r="EO320" i="1"/>
  <c r="EP320" i="1"/>
  <c r="EQ320" i="1"/>
  <c r="ER320" i="1"/>
  <c r="ES320" i="1"/>
  <c r="ET320" i="1"/>
  <c r="EU320" i="1"/>
  <c r="EV320" i="1"/>
  <c r="EW320" i="1"/>
  <c r="EX320" i="1"/>
  <c r="EY320" i="1"/>
  <c r="EZ320" i="1"/>
  <c r="FA320" i="1"/>
  <c r="FB320" i="1"/>
  <c r="FC320" i="1"/>
  <c r="FD320" i="1"/>
  <c r="FE320" i="1"/>
  <c r="FF320" i="1"/>
  <c r="FG320" i="1"/>
  <c r="FH320" i="1"/>
  <c r="FI320" i="1"/>
  <c r="FJ320" i="1"/>
  <c r="FK320" i="1"/>
  <c r="FL320" i="1"/>
  <c r="FM320" i="1"/>
  <c r="FN320" i="1"/>
  <c r="FO320" i="1"/>
  <c r="FP320" i="1"/>
  <c r="FQ320" i="1"/>
  <c r="FR320" i="1"/>
  <c r="FS320" i="1"/>
  <c r="FT320" i="1"/>
  <c r="FU320" i="1"/>
  <c r="FV320" i="1"/>
  <c r="FW320" i="1"/>
  <c r="FX320" i="1"/>
  <c r="FY320" i="1"/>
  <c r="FZ320" i="1"/>
  <c r="GA320" i="1"/>
  <c r="GB320" i="1"/>
  <c r="GC320" i="1"/>
  <c r="GD320" i="1"/>
  <c r="GE320" i="1"/>
  <c r="GF320" i="1"/>
  <c r="GG320" i="1"/>
  <c r="GH320" i="1"/>
  <c r="GI320" i="1"/>
  <c r="GJ320" i="1"/>
  <c r="GK320" i="1"/>
  <c r="GL320" i="1"/>
  <c r="GM320" i="1"/>
  <c r="GN320" i="1"/>
  <c r="GO320" i="1"/>
  <c r="GP320" i="1"/>
  <c r="GQ320" i="1"/>
  <c r="GR320" i="1"/>
  <c r="GS320" i="1"/>
  <c r="GT320" i="1"/>
  <c r="GU320" i="1"/>
  <c r="GV320" i="1"/>
  <c r="GW320" i="1"/>
  <c r="GX320" i="1"/>
  <c r="C322" i="1"/>
  <c r="D322" i="1"/>
  <c r="P322" i="1"/>
  <c r="Q322" i="1"/>
  <c r="R322" i="1"/>
  <c r="GK322" i="1" s="1"/>
  <c r="V322" i="1"/>
  <c r="AB322" i="1"/>
  <c r="AC322" i="1"/>
  <c r="AD322" i="1"/>
  <c r="AE322" i="1"/>
  <c r="AF322" i="1"/>
  <c r="CT322" i="1" s="1"/>
  <c r="S322" i="1" s="1"/>
  <c r="AG322" i="1"/>
  <c r="AH322" i="1"/>
  <c r="AI322" i="1"/>
  <c r="AJ322" i="1"/>
  <c r="CX322" i="1" s="1"/>
  <c r="W322" i="1" s="1"/>
  <c r="CQ322" i="1"/>
  <c r="CR322" i="1"/>
  <c r="CS322" i="1"/>
  <c r="CU322" i="1"/>
  <c r="T322" i="1" s="1"/>
  <c r="CV322" i="1"/>
  <c r="U322" i="1" s="1"/>
  <c r="CW322" i="1"/>
  <c r="FR322" i="1"/>
  <c r="GL322" i="1"/>
  <c r="GO322" i="1"/>
  <c r="GP322" i="1"/>
  <c r="GV322" i="1"/>
  <c r="GX322" i="1"/>
  <c r="I323" i="1"/>
  <c r="Q323" i="1"/>
  <c r="W323" i="1"/>
  <c r="AC323" i="1"/>
  <c r="AE323" i="1"/>
  <c r="AF323" i="1"/>
  <c r="AG323" i="1"/>
  <c r="AH323" i="1"/>
  <c r="AI323" i="1"/>
  <c r="CW323" i="1" s="1"/>
  <c r="V323" i="1" s="1"/>
  <c r="AJ323" i="1"/>
  <c r="CR323" i="1"/>
  <c r="CT323" i="1"/>
  <c r="S323" i="1" s="1"/>
  <c r="CY323" i="1" s="1"/>
  <c r="X323" i="1" s="1"/>
  <c r="CU323" i="1"/>
  <c r="T323" i="1" s="1"/>
  <c r="CV323" i="1"/>
  <c r="U323" i="1" s="1"/>
  <c r="CX323" i="1"/>
  <c r="CZ323" i="1"/>
  <c r="Y323" i="1" s="1"/>
  <c r="FR323" i="1"/>
  <c r="GL323" i="1"/>
  <c r="GO323" i="1"/>
  <c r="GP323" i="1"/>
  <c r="GV323" i="1"/>
  <c r="GX323" i="1" s="1"/>
  <c r="C324" i="1"/>
  <c r="D324" i="1"/>
  <c r="U324" i="1"/>
  <c r="AC324" i="1"/>
  <c r="AE324" i="1"/>
  <c r="AD324" i="1" s="1"/>
  <c r="AF324" i="1"/>
  <c r="CT324" i="1" s="1"/>
  <c r="S324" i="1" s="1"/>
  <c r="AG324" i="1"/>
  <c r="CU324" i="1" s="1"/>
  <c r="T324" i="1" s="1"/>
  <c r="AH324" i="1"/>
  <c r="AI324" i="1"/>
  <c r="CW324" i="1" s="1"/>
  <c r="V324" i="1" s="1"/>
  <c r="AJ324" i="1"/>
  <c r="CR324" i="1"/>
  <c r="Q324" i="1" s="1"/>
  <c r="CS324" i="1"/>
  <c r="R324" i="1" s="1"/>
  <c r="GK324" i="1" s="1"/>
  <c r="CV324" i="1"/>
  <c r="CX324" i="1"/>
  <c r="W324" i="1" s="1"/>
  <c r="FR324" i="1"/>
  <c r="GL324" i="1"/>
  <c r="GN324" i="1"/>
  <c r="GP324" i="1"/>
  <c r="GV324" i="1"/>
  <c r="GX324" i="1"/>
  <c r="U325" i="1"/>
  <c r="V325" i="1"/>
  <c r="W325" i="1"/>
  <c r="AC325" i="1"/>
  <c r="AE325" i="1"/>
  <c r="AD325" i="1" s="1"/>
  <c r="AF325" i="1"/>
  <c r="AG325" i="1"/>
  <c r="CU325" i="1" s="1"/>
  <c r="T325" i="1" s="1"/>
  <c r="AH325" i="1"/>
  <c r="AI325" i="1"/>
  <c r="CW325" i="1" s="1"/>
  <c r="AJ325" i="1"/>
  <c r="CR325" i="1"/>
  <c r="Q325" i="1" s="1"/>
  <c r="CS325" i="1"/>
  <c r="R325" i="1" s="1"/>
  <c r="CT325" i="1"/>
  <c r="S325" i="1" s="1"/>
  <c r="CV325" i="1"/>
  <c r="CX325" i="1"/>
  <c r="GK325" i="1"/>
  <c r="GL325" i="1"/>
  <c r="GN325" i="1"/>
  <c r="GO325" i="1"/>
  <c r="GP325" i="1"/>
  <c r="GV325" i="1"/>
  <c r="GX325" i="1"/>
  <c r="C326" i="1"/>
  <c r="D326" i="1"/>
  <c r="Q326" i="1"/>
  <c r="S326" i="1"/>
  <c r="CZ326" i="1" s="1"/>
  <c r="Y326" i="1" s="1"/>
  <c r="T326" i="1"/>
  <c r="U326" i="1"/>
  <c r="AC326" i="1"/>
  <c r="AD326" i="1"/>
  <c r="AE326" i="1"/>
  <c r="CS326" i="1" s="1"/>
  <c r="R326" i="1" s="1"/>
  <c r="GK326" i="1" s="1"/>
  <c r="AF326" i="1"/>
  <c r="AG326" i="1"/>
  <c r="CU326" i="1" s="1"/>
  <c r="AH326" i="1"/>
  <c r="AI326" i="1"/>
  <c r="CW326" i="1" s="1"/>
  <c r="V326" i="1" s="1"/>
  <c r="AJ326" i="1"/>
  <c r="CQ326" i="1"/>
  <c r="P326" i="1" s="1"/>
  <c r="CR326" i="1"/>
  <c r="CT326" i="1"/>
  <c r="CV326" i="1"/>
  <c r="CX326" i="1"/>
  <c r="W326" i="1" s="1"/>
  <c r="CY326" i="1"/>
  <c r="X326" i="1" s="1"/>
  <c r="FR326" i="1"/>
  <c r="GL326" i="1"/>
  <c r="GN326" i="1"/>
  <c r="GP326" i="1"/>
  <c r="GV326" i="1"/>
  <c r="GX326" i="1" s="1"/>
  <c r="S327" i="1"/>
  <c r="T327" i="1"/>
  <c r="U327" i="1"/>
  <c r="AC327" i="1"/>
  <c r="AE327" i="1"/>
  <c r="CS327" i="1" s="1"/>
  <c r="R327" i="1" s="1"/>
  <c r="GK327" i="1" s="1"/>
  <c r="AF327" i="1"/>
  <c r="AG327" i="1"/>
  <c r="CU327" i="1" s="1"/>
  <c r="AH327" i="1"/>
  <c r="AI327" i="1"/>
  <c r="CW327" i="1" s="1"/>
  <c r="V327" i="1" s="1"/>
  <c r="AJ327" i="1"/>
  <c r="CQ327" i="1"/>
  <c r="P327" i="1" s="1"/>
  <c r="FR327" i="1" s="1"/>
  <c r="CR327" i="1"/>
  <c r="Q327" i="1" s="1"/>
  <c r="CT327" i="1"/>
  <c r="CV327" i="1"/>
  <c r="CX327" i="1"/>
  <c r="W327" i="1" s="1"/>
  <c r="CY327" i="1"/>
  <c r="X327" i="1" s="1"/>
  <c r="CZ327" i="1"/>
  <c r="Y327" i="1" s="1"/>
  <c r="GL327" i="1"/>
  <c r="GN327" i="1"/>
  <c r="GO327" i="1"/>
  <c r="GP327" i="1"/>
  <c r="GV327" i="1"/>
  <c r="GX327" i="1" s="1"/>
  <c r="C328" i="1"/>
  <c r="D328" i="1"/>
  <c r="I328" i="1"/>
  <c r="Q328" i="1" s="1"/>
  <c r="AC328" i="1"/>
  <c r="AD328" i="1"/>
  <c r="AE328" i="1"/>
  <c r="AF328" i="1"/>
  <c r="CT328" i="1" s="1"/>
  <c r="S328" i="1" s="1"/>
  <c r="CZ328" i="1" s="1"/>
  <c r="Y328" i="1" s="1"/>
  <c r="AG328" i="1"/>
  <c r="AH328" i="1"/>
  <c r="CV328" i="1" s="1"/>
  <c r="U328" i="1" s="1"/>
  <c r="AI328" i="1"/>
  <c r="AJ328" i="1"/>
  <c r="CX328" i="1" s="1"/>
  <c r="W328" i="1" s="1"/>
  <c r="CQ328" i="1"/>
  <c r="P328" i="1" s="1"/>
  <c r="CR328" i="1"/>
  <c r="CS328" i="1"/>
  <c r="R328" i="1" s="1"/>
  <c r="GK328" i="1" s="1"/>
  <c r="CU328" i="1"/>
  <c r="T328" i="1" s="1"/>
  <c r="CW328" i="1"/>
  <c r="V328" i="1" s="1"/>
  <c r="FR328" i="1"/>
  <c r="GL328" i="1"/>
  <c r="GO328" i="1"/>
  <c r="GP328" i="1"/>
  <c r="GV328" i="1"/>
  <c r="AC329" i="1"/>
  <c r="AE329" i="1"/>
  <c r="AF329" i="1"/>
  <c r="AG329" i="1"/>
  <c r="CU329" i="1" s="1"/>
  <c r="AH329" i="1"/>
  <c r="CV329" i="1" s="1"/>
  <c r="AI329" i="1"/>
  <c r="CW329" i="1" s="1"/>
  <c r="AJ329" i="1"/>
  <c r="CR329" i="1"/>
  <c r="CT329" i="1"/>
  <c r="CX329" i="1"/>
  <c r="FR329" i="1"/>
  <c r="GL329" i="1"/>
  <c r="GO329" i="1"/>
  <c r="GP329" i="1"/>
  <c r="GV329" i="1"/>
  <c r="C330" i="1"/>
  <c r="D330" i="1"/>
  <c r="I330" i="1"/>
  <c r="CX63" i="3" s="1"/>
  <c r="P330" i="1"/>
  <c r="AB330" i="1"/>
  <c r="AC330" i="1"/>
  <c r="AD330" i="1"/>
  <c r="AE330" i="1"/>
  <c r="AF330" i="1"/>
  <c r="AG330" i="1"/>
  <c r="AH330" i="1"/>
  <c r="CV330" i="1" s="1"/>
  <c r="U330" i="1" s="1"/>
  <c r="AI330" i="1"/>
  <c r="AJ330" i="1"/>
  <c r="CX330" i="1" s="1"/>
  <c r="W330" i="1" s="1"/>
  <c r="CQ330" i="1"/>
  <c r="CR330" i="1"/>
  <c r="Q330" i="1" s="1"/>
  <c r="CS330" i="1"/>
  <c r="R330" i="1" s="1"/>
  <c r="GK330" i="1" s="1"/>
  <c r="CT330" i="1"/>
  <c r="CU330" i="1"/>
  <c r="T330" i="1" s="1"/>
  <c r="CW330" i="1"/>
  <c r="V330" i="1" s="1"/>
  <c r="FR330" i="1"/>
  <c r="GL330" i="1"/>
  <c r="GN330" i="1"/>
  <c r="GP330" i="1"/>
  <c r="GV330" i="1"/>
  <c r="GX330" i="1" s="1"/>
  <c r="R331" i="1"/>
  <c r="W331" i="1"/>
  <c r="AC331" i="1"/>
  <c r="AB331" i="1" s="1"/>
  <c r="AD331" i="1"/>
  <c r="AE331" i="1"/>
  <c r="AF331" i="1"/>
  <c r="AG331" i="1"/>
  <c r="CU331" i="1" s="1"/>
  <c r="T331" i="1" s="1"/>
  <c r="AH331" i="1"/>
  <c r="AI331" i="1"/>
  <c r="CW331" i="1" s="1"/>
  <c r="V331" i="1" s="1"/>
  <c r="AJ331" i="1"/>
  <c r="CR331" i="1"/>
  <c r="Q331" i="1" s="1"/>
  <c r="CS331" i="1"/>
  <c r="CT331" i="1"/>
  <c r="S331" i="1" s="1"/>
  <c r="CY331" i="1" s="1"/>
  <c r="X331" i="1" s="1"/>
  <c r="CV331" i="1"/>
  <c r="U331" i="1" s="1"/>
  <c r="CX331" i="1"/>
  <c r="FR331" i="1"/>
  <c r="GK331" i="1"/>
  <c r="GL331" i="1"/>
  <c r="GO331" i="1"/>
  <c r="GP331" i="1"/>
  <c r="GV331" i="1"/>
  <c r="GX331" i="1"/>
  <c r="C332" i="1"/>
  <c r="D332" i="1"/>
  <c r="I332" i="1"/>
  <c r="AC332" i="1"/>
  <c r="AD332" i="1"/>
  <c r="AE332" i="1"/>
  <c r="AF332" i="1"/>
  <c r="CT332" i="1" s="1"/>
  <c r="AG332" i="1"/>
  <c r="AH332" i="1"/>
  <c r="CV332" i="1" s="1"/>
  <c r="AI332" i="1"/>
  <c r="CW332" i="1" s="1"/>
  <c r="V332" i="1" s="1"/>
  <c r="AJ332" i="1"/>
  <c r="CQ332" i="1"/>
  <c r="CR332" i="1"/>
  <c r="Q332" i="1" s="1"/>
  <c r="CS332" i="1"/>
  <c r="CU332" i="1"/>
  <c r="CX332" i="1"/>
  <c r="FR332" i="1"/>
  <c r="GL332" i="1"/>
  <c r="GN332" i="1"/>
  <c r="GP332" i="1"/>
  <c r="CD339" i="1" s="1"/>
  <c r="GV332" i="1"/>
  <c r="C333" i="1"/>
  <c r="D333" i="1"/>
  <c r="I333" i="1"/>
  <c r="I334" i="1" s="1"/>
  <c r="Q333" i="1"/>
  <c r="S333" i="1"/>
  <c r="AC333" i="1"/>
  <c r="AE333" i="1"/>
  <c r="AD333" i="1" s="1"/>
  <c r="AF333" i="1"/>
  <c r="CT333" i="1" s="1"/>
  <c r="AG333" i="1"/>
  <c r="AH333" i="1"/>
  <c r="AI333" i="1"/>
  <c r="CW333" i="1" s="1"/>
  <c r="V333" i="1" s="1"/>
  <c r="AJ333" i="1"/>
  <c r="CR333" i="1"/>
  <c r="CU333" i="1"/>
  <c r="CV333" i="1"/>
  <c r="U333" i="1" s="1"/>
  <c r="CX333" i="1"/>
  <c r="W333" i="1" s="1"/>
  <c r="FR333" i="1"/>
  <c r="GL333" i="1"/>
  <c r="GN333" i="1"/>
  <c r="GP333" i="1"/>
  <c r="GV333" i="1"/>
  <c r="GX333" i="1" s="1"/>
  <c r="AB334" i="1"/>
  <c r="AC334" i="1"/>
  <c r="AD334" i="1"/>
  <c r="AE334" i="1"/>
  <c r="CS334" i="1" s="1"/>
  <c r="R334" i="1" s="1"/>
  <c r="GK334" i="1" s="1"/>
  <c r="AF334" i="1"/>
  <c r="AG334" i="1"/>
  <c r="AH334" i="1"/>
  <c r="CV334" i="1" s="1"/>
  <c r="U334" i="1" s="1"/>
  <c r="AI334" i="1"/>
  <c r="AJ334" i="1"/>
  <c r="CX334" i="1" s="1"/>
  <c r="W334" i="1" s="1"/>
  <c r="CQ334" i="1"/>
  <c r="CR334" i="1"/>
  <c r="Q334" i="1" s="1"/>
  <c r="CT334" i="1"/>
  <c r="CU334" i="1"/>
  <c r="T334" i="1" s="1"/>
  <c r="CW334" i="1"/>
  <c r="V334" i="1" s="1"/>
  <c r="FR334" i="1"/>
  <c r="GL334" i="1"/>
  <c r="BZ339" i="1" s="1"/>
  <c r="GN334" i="1"/>
  <c r="GP334" i="1"/>
  <c r="GV334" i="1"/>
  <c r="GX334" i="1" s="1"/>
  <c r="C335" i="1"/>
  <c r="D335" i="1"/>
  <c r="I335" i="1"/>
  <c r="U335" i="1"/>
  <c r="AC335" i="1"/>
  <c r="AE335" i="1"/>
  <c r="AD335" i="1" s="1"/>
  <c r="AB335" i="1" s="1"/>
  <c r="AF335" i="1"/>
  <c r="AG335" i="1"/>
  <c r="CU335" i="1" s="1"/>
  <c r="T335" i="1" s="1"/>
  <c r="AH335" i="1"/>
  <c r="AI335" i="1"/>
  <c r="CW335" i="1" s="1"/>
  <c r="V335" i="1" s="1"/>
  <c r="AJ335" i="1"/>
  <c r="CX335" i="1" s="1"/>
  <c r="W335" i="1" s="1"/>
  <c r="CQ335" i="1"/>
  <c r="P335" i="1" s="1"/>
  <c r="CR335" i="1"/>
  <c r="Q335" i="1" s="1"/>
  <c r="CT335" i="1"/>
  <c r="S335" i="1" s="1"/>
  <c r="CV335" i="1"/>
  <c r="FR335" i="1"/>
  <c r="GL335" i="1"/>
  <c r="GN335" i="1"/>
  <c r="GP335" i="1"/>
  <c r="GV335" i="1"/>
  <c r="GX335" i="1" s="1"/>
  <c r="I336" i="1"/>
  <c r="T336" i="1" s="1"/>
  <c r="AC336" i="1"/>
  <c r="AB336" i="1" s="1"/>
  <c r="AD336" i="1"/>
  <c r="AE336" i="1"/>
  <c r="AF336" i="1"/>
  <c r="CT336" i="1" s="1"/>
  <c r="AG336" i="1"/>
  <c r="AH336" i="1"/>
  <c r="CV336" i="1" s="1"/>
  <c r="AI336" i="1"/>
  <c r="CW336" i="1" s="1"/>
  <c r="V336" i="1" s="1"/>
  <c r="AJ336" i="1"/>
  <c r="CQ336" i="1"/>
  <c r="P336" i="1" s="1"/>
  <c r="CR336" i="1"/>
  <c r="CS336" i="1"/>
  <c r="R336" i="1" s="1"/>
  <c r="GK336" i="1" s="1"/>
  <c r="CU336" i="1"/>
  <c r="CX336" i="1"/>
  <c r="FR336" i="1"/>
  <c r="GL336" i="1"/>
  <c r="GN336" i="1"/>
  <c r="GP336" i="1"/>
  <c r="GV336" i="1"/>
  <c r="GX336" i="1"/>
  <c r="T337" i="1"/>
  <c r="AC337" i="1"/>
  <c r="AD337" i="1"/>
  <c r="AE337" i="1"/>
  <c r="AF337" i="1"/>
  <c r="CT337" i="1" s="1"/>
  <c r="S337" i="1" s="1"/>
  <c r="AG337" i="1"/>
  <c r="AH337" i="1"/>
  <c r="CV337" i="1" s="1"/>
  <c r="U337" i="1" s="1"/>
  <c r="AI337" i="1"/>
  <c r="CW337" i="1" s="1"/>
  <c r="V337" i="1" s="1"/>
  <c r="AJ337" i="1"/>
  <c r="CQ337" i="1"/>
  <c r="P337" i="1" s="1"/>
  <c r="CR337" i="1"/>
  <c r="Q337" i="1" s="1"/>
  <c r="CS337" i="1"/>
  <c r="R337" i="1" s="1"/>
  <c r="GK337" i="1" s="1"/>
  <c r="CU337" i="1"/>
  <c r="CX337" i="1"/>
  <c r="W337" i="1" s="1"/>
  <c r="FR337" i="1"/>
  <c r="GL337" i="1"/>
  <c r="GN337" i="1"/>
  <c r="GP337" i="1"/>
  <c r="GV337" i="1"/>
  <c r="GX337" i="1"/>
  <c r="B339" i="1"/>
  <c r="B320" i="1" s="1"/>
  <c r="C339" i="1"/>
  <c r="C320" i="1" s="1"/>
  <c r="D339" i="1"/>
  <c r="D320" i="1" s="1"/>
  <c r="F339" i="1"/>
  <c r="F320" i="1" s="1"/>
  <c r="G339" i="1"/>
  <c r="G320" i="1" s="1"/>
  <c r="BC339" i="1"/>
  <c r="BC320" i="1" s="1"/>
  <c r="BX339" i="1"/>
  <c r="BX320" i="1" s="1"/>
  <c r="CK339" i="1"/>
  <c r="CL339" i="1"/>
  <c r="CL320" i="1" s="1"/>
  <c r="F355" i="1"/>
  <c r="D368" i="1"/>
  <c r="E370" i="1"/>
  <c r="Z370" i="1"/>
  <c r="AA370" i="1"/>
  <c r="AM370" i="1"/>
  <c r="AN370" i="1"/>
  <c r="BD370" i="1"/>
  <c r="BE370" i="1"/>
  <c r="BF370" i="1"/>
  <c r="BG370" i="1"/>
  <c r="BH370" i="1"/>
  <c r="BI370" i="1"/>
  <c r="BJ370" i="1"/>
  <c r="BK370" i="1"/>
  <c r="BL370" i="1"/>
  <c r="BM370" i="1"/>
  <c r="BN370" i="1"/>
  <c r="BO370" i="1"/>
  <c r="BP370" i="1"/>
  <c r="BQ370" i="1"/>
  <c r="BR370" i="1"/>
  <c r="BS370" i="1"/>
  <c r="BT370" i="1"/>
  <c r="BU370" i="1"/>
  <c r="BV370" i="1"/>
  <c r="BW370" i="1"/>
  <c r="CM370" i="1"/>
  <c r="CN370" i="1"/>
  <c r="CO370" i="1"/>
  <c r="CP370" i="1"/>
  <c r="CQ370" i="1"/>
  <c r="CR370" i="1"/>
  <c r="CS370" i="1"/>
  <c r="CT370" i="1"/>
  <c r="CU370" i="1"/>
  <c r="CV370" i="1"/>
  <c r="CW370" i="1"/>
  <c r="CX370" i="1"/>
  <c r="CY370" i="1"/>
  <c r="CZ370" i="1"/>
  <c r="DA370" i="1"/>
  <c r="DB370" i="1"/>
  <c r="DC370" i="1"/>
  <c r="DD370" i="1"/>
  <c r="DE370" i="1"/>
  <c r="DF370" i="1"/>
  <c r="DG370" i="1"/>
  <c r="DH370" i="1"/>
  <c r="DI370" i="1"/>
  <c r="DJ370" i="1"/>
  <c r="DK370" i="1"/>
  <c r="DL370" i="1"/>
  <c r="DM370" i="1"/>
  <c r="DN370" i="1"/>
  <c r="DO370" i="1"/>
  <c r="DP370" i="1"/>
  <c r="DQ370" i="1"/>
  <c r="DR370" i="1"/>
  <c r="DS370" i="1"/>
  <c r="DT370" i="1"/>
  <c r="DU370" i="1"/>
  <c r="DV370" i="1"/>
  <c r="DW370" i="1"/>
  <c r="DX370" i="1"/>
  <c r="DY370" i="1"/>
  <c r="DZ370" i="1"/>
  <c r="EA370" i="1"/>
  <c r="EB370" i="1"/>
  <c r="EC370" i="1"/>
  <c r="ED370" i="1"/>
  <c r="EE370" i="1"/>
  <c r="EF370" i="1"/>
  <c r="EG370" i="1"/>
  <c r="EH370" i="1"/>
  <c r="EI370" i="1"/>
  <c r="EJ370" i="1"/>
  <c r="EK370" i="1"/>
  <c r="EL370" i="1"/>
  <c r="EM370" i="1"/>
  <c r="EN370" i="1"/>
  <c r="EO370" i="1"/>
  <c r="EP370" i="1"/>
  <c r="EQ370" i="1"/>
  <c r="ER370" i="1"/>
  <c r="ES370" i="1"/>
  <c r="ET370" i="1"/>
  <c r="EU370" i="1"/>
  <c r="EV370" i="1"/>
  <c r="EW370" i="1"/>
  <c r="EX370" i="1"/>
  <c r="EY370" i="1"/>
  <c r="EZ370" i="1"/>
  <c r="FA370" i="1"/>
  <c r="FB370" i="1"/>
  <c r="FC370" i="1"/>
  <c r="FD370" i="1"/>
  <c r="FE370" i="1"/>
  <c r="FF370" i="1"/>
  <c r="FG370" i="1"/>
  <c r="FH370" i="1"/>
  <c r="FI370" i="1"/>
  <c r="FJ370" i="1"/>
  <c r="FK370" i="1"/>
  <c r="FL370" i="1"/>
  <c r="FM370" i="1"/>
  <c r="FN370" i="1"/>
  <c r="FO370" i="1"/>
  <c r="FP370" i="1"/>
  <c r="FQ370" i="1"/>
  <c r="FR370" i="1"/>
  <c r="FS370" i="1"/>
  <c r="FT370" i="1"/>
  <c r="FU370" i="1"/>
  <c r="FV370" i="1"/>
  <c r="FW370" i="1"/>
  <c r="FX370" i="1"/>
  <c r="FY370" i="1"/>
  <c r="FZ370" i="1"/>
  <c r="GA370" i="1"/>
  <c r="GB370" i="1"/>
  <c r="GC370" i="1"/>
  <c r="GD370" i="1"/>
  <c r="GE370" i="1"/>
  <c r="GF370" i="1"/>
  <c r="GG370" i="1"/>
  <c r="GH370" i="1"/>
  <c r="GI370" i="1"/>
  <c r="GJ370" i="1"/>
  <c r="GK370" i="1"/>
  <c r="GL370" i="1"/>
  <c r="GM370" i="1"/>
  <c r="GN370" i="1"/>
  <c r="GO370" i="1"/>
  <c r="GP370" i="1"/>
  <c r="GQ370" i="1"/>
  <c r="GR370" i="1"/>
  <c r="GS370" i="1"/>
  <c r="GT370" i="1"/>
  <c r="GU370" i="1"/>
  <c r="GV370" i="1"/>
  <c r="GW370" i="1"/>
  <c r="GX370" i="1"/>
  <c r="C372" i="1"/>
  <c r="D372" i="1"/>
  <c r="P372" i="1"/>
  <c r="R372" i="1"/>
  <c r="GK372" i="1" s="1"/>
  <c r="AB372" i="1"/>
  <c r="AC372" i="1"/>
  <c r="AD372" i="1"/>
  <c r="AE372" i="1"/>
  <c r="CS372" i="1" s="1"/>
  <c r="AF372" i="1"/>
  <c r="AG372" i="1"/>
  <c r="AH372" i="1"/>
  <c r="CV372" i="1" s="1"/>
  <c r="U372" i="1" s="1"/>
  <c r="AI372" i="1"/>
  <c r="AJ372" i="1"/>
  <c r="CX372" i="1" s="1"/>
  <c r="W372" i="1" s="1"/>
  <c r="CQ372" i="1"/>
  <c r="CR372" i="1"/>
  <c r="Q372" i="1" s="1"/>
  <c r="CT372" i="1"/>
  <c r="S372" i="1" s="1"/>
  <c r="CU372" i="1"/>
  <c r="T372" i="1" s="1"/>
  <c r="CW372" i="1"/>
  <c r="V372" i="1" s="1"/>
  <c r="FR372" i="1"/>
  <c r="GL372" i="1"/>
  <c r="GN372" i="1"/>
  <c r="GO372" i="1"/>
  <c r="GV372" i="1"/>
  <c r="GX372" i="1" s="1"/>
  <c r="C373" i="1"/>
  <c r="D373" i="1"/>
  <c r="V373" i="1"/>
  <c r="AC373" i="1"/>
  <c r="CQ373" i="1" s="1"/>
  <c r="P373" i="1" s="1"/>
  <c r="AE373" i="1"/>
  <c r="AD373" i="1" s="1"/>
  <c r="AF373" i="1"/>
  <c r="CT373" i="1" s="1"/>
  <c r="S373" i="1" s="1"/>
  <c r="AG373" i="1"/>
  <c r="AH373" i="1"/>
  <c r="CV373" i="1" s="1"/>
  <c r="U373" i="1" s="1"/>
  <c r="AI373" i="1"/>
  <c r="AJ373" i="1"/>
  <c r="CX373" i="1" s="1"/>
  <c r="W373" i="1" s="1"/>
  <c r="CR373" i="1"/>
  <c r="Q373" i="1" s="1"/>
  <c r="CS373" i="1"/>
  <c r="R373" i="1" s="1"/>
  <c r="GK373" i="1" s="1"/>
  <c r="CU373" i="1"/>
  <c r="T373" i="1" s="1"/>
  <c r="CW373" i="1"/>
  <c r="FR373" i="1"/>
  <c r="GL373" i="1"/>
  <c r="GN373" i="1"/>
  <c r="GO373" i="1"/>
  <c r="GV373" i="1"/>
  <c r="GX373" i="1"/>
  <c r="C374" i="1"/>
  <c r="D374" i="1"/>
  <c r="T374" i="1"/>
  <c r="V374" i="1"/>
  <c r="AC374" i="1"/>
  <c r="AD374" i="1"/>
  <c r="AE374" i="1"/>
  <c r="AF374" i="1"/>
  <c r="CT374" i="1" s="1"/>
  <c r="S374" i="1" s="1"/>
  <c r="CZ374" i="1" s="1"/>
  <c r="Y374" i="1" s="1"/>
  <c r="AG374" i="1"/>
  <c r="AH374" i="1"/>
  <c r="CV374" i="1" s="1"/>
  <c r="U374" i="1" s="1"/>
  <c r="AI374" i="1"/>
  <c r="CW374" i="1" s="1"/>
  <c r="AJ374" i="1"/>
  <c r="CQ374" i="1"/>
  <c r="P374" i="1" s="1"/>
  <c r="CR374" i="1"/>
  <c r="Q374" i="1" s="1"/>
  <c r="CS374" i="1"/>
  <c r="R374" i="1" s="1"/>
  <c r="GK374" i="1" s="1"/>
  <c r="CU374" i="1"/>
  <c r="CX374" i="1"/>
  <c r="W374" i="1" s="1"/>
  <c r="FR374" i="1"/>
  <c r="GL374" i="1"/>
  <c r="GN374" i="1"/>
  <c r="GO374" i="1"/>
  <c r="GV374" i="1"/>
  <c r="GX374" i="1"/>
  <c r="C375" i="1"/>
  <c r="D375" i="1"/>
  <c r="R375" i="1"/>
  <c r="GK375" i="1" s="1"/>
  <c r="AB375" i="1"/>
  <c r="AC375" i="1"/>
  <c r="AD375" i="1"/>
  <c r="AE375" i="1"/>
  <c r="AF375" i="1"/>
  <c r="CT375" i="1" s="1"/>
  <c r="S375" i="1" s="1"/>
  <c r="CZ375" i="1" s="1"/>
  <c r="Y375" i="1" s="1"/>
  <c r="AG375" i="1"/>
  <c r="CU375" i="1" s="1"/>
  <c r="T375" i="1" s="1"/>
  <c r="AH375" i="1"/>
  <c r="AI375" i="1"/>
  <c r="AJ375" i="1"/>
  <c r="CX375" i="1" s="1"/>
  <c r="W375" i="1" s="1"/>
  <c r="CQ375" i="1"/>
  <c r="P375" i="1" s="1"/>
  <c r="CR375" i="1"/>
  <c r="Q375" i="1" s="1"/>
  <c r="CS375" i="1"/>
  <c r="CV375" i="1"/>
  <c r="U375" i="1" s="1"/>
  <c r="CW375" i="1"/>
  <c r="V375" i="1" s="1"/>
  <c r="CY375" i="1"/>
  <c r="X375" i="1" s="1"/>
  <c r="FR375" i="1"/>
  <c r="GL375" i="1"/>
  <c r="GN375" i="1"/>
  <c r="GO375" i="1"/>
  <c r="GV375" i="1"/>
  <c r="GX375" i="1"/>
  <c r="C376" i="1"/>
  <c r="D376" i="1"/>
  <c r="P376" i="1"/>
  <c r="R376" i="1"/>
  <c r="GK376" i="1" s="1"/>
  <c r="T376" i="1"/>
  <c r="AC376" i="1"/>
  <c r="AD376" i="1"/>
  <c r="AB376" i="1" s="1"/>
  <c r="AE376" i="1"/>
  <c r="CS376" i="1" s="1"/>
  <c r="AF376" i="1"/>
  <c r="CT376" i="1" s="1"/>
  <c r="S376" i="1" s="1"/>
  <c r="CZ376" i="1" s="1"/>
  <c r="Y376" i="1" s="1"/>
  <c r="AG376" i="1"/>
  <c r="AH376" i="1"/>
  <c r="CV376" i="1" s="1"/>
  <c r="U376" i="1" s="1"/>
  <c r="AI376" i="1"/>
  <c r="AJ376" i="1"/>
  <c r="CX376" i="1" s="1"/>
  <c r="W376" i="1" s="1"/>
  <c r="CQ376" i="1"/>
  <c r="CR376" i="1"/>
  <c r="Q376" i="1" s="1"/>
  <c r="CU376" i="1"/>
  <c r="CW376" i="1"/>
  <c r="V376" i="1" s="1"/>
  <c r="FR376" i="1"/>
  <c r="GL376" i="1"/>
  <c r="GN376" i="1"/>
  <c r="GO376" i="1"/>
  <c r="GV376" i="1"/>
  <c r="GX376" i="1" s="1"/>
  <c r="C377" i="1"/>
  <c r="D377" i="1"/>
  <c r="P377" i="1"/>
  <c r="AC377" i="1"/>
  <c r="CQ377" i="1" s="1"/>
  <c r="AD377" i="1"/>
  <c r="AE377" i="1"/>
  <c r="AF377" i="1"/>
  <c r="CT377" i="1" s="1"/>
  <c r="S377" i="1" s="1"/>
  <c r="AG377" i="1"/>
  <c r="AH377" i="1"/>
  <c r="CV377" i="1" s="1"/>
  <c r="U377" i="1" s="1"/>
  <c r="AI377" i="1"/>
  <c r="AJ377" i="1"/>
  <c r="CX377" i="1" s="1"/>
  <c r="W377" i="1" s="1"/>
  <c r="CR377" i="1"/>
  <c r="Q377" i="1" s="1"/>
  <c r="CS377" i="1"/>
  <c r="R377" i="1" s="1"/>
  <c r="GK377" i="1" s="1"/>
  <c r="CU377" i="1"/>
  <c r="T377" i="1" s="1"/>
  <c r="CW377" i="1"/>
  <c r="V377" i="1" s="1"/>
  <c r="FR377" i="1"/>
  <c r="GL377" i="1"/>
  <c r="GN377" i="1"/>
  <c r="GO377" i="1"/>
  <c r="GV377" i="1"/>
  <c r="GX377" i="1"/>
  <c r="CJ383" i="1" s="1"/>
  <c r="C378" i="1"/>
  <c r="D378" i="1"/>
  <c r="P378" i="1"/>
  <c r="AC378" i="1"/>
  <c r="AD378" i="1"/>
  <c r="AB378" i="1" s="1"/>
  <c r="AE378" i="1"/>
  <c r="AF378" i="1"/>
  <c r="CT378" i="1" s="1"/>
  <c r="S378" i="1" s="1"/>
  <c r="CZ378" i="1" s="1"/>
  <c r="Y378" i="1" s="1"/>
  <c r="AG378" i="1"/>
  <c r="AH378" i="1"/>
  <c r="CV378" i="1" s="1"/>
  <c r="U378" i="1" s="1"/>
  <c r="AI378" i="1"/>
  <c r="CW378" i="1" s="1"/>
  <c r="V378" i="1" s="1"/>
  <c r="AJ378" i="1"/>
  <c r="CX378" i="1" s="1"/>
  <c r="W378" i="1" s="1"/>
  <c r="CQ378" i="1"/>
  <c r="CR378" i="1"/>
  <c r="Q378" i="1" s="1"/>
  <c r="CS378" i="1"/>
  <c r="R378" i="1" s="1"/>
  <c r="GK378" i="1" s="1"/>
  <c r="CU378" i="1"/>
  <c r="T378" i="1" s="1"/>
  <c r="FR378" i="1"/>
  <c r="GL378" i="1"/>
  <c r="GN378" i="1"/>
  <c r="GO378" i="1"/>
  <c r="GV378" i="1"/>
  <c r="GX378" i="1"/>
  <c r="C379" i="1"/>
  <c r="D379" i="1"/>
  <c r="R379" i="1"/>
  <c r="GK379" i="1" s="1"/>
  <c r="AC379" i="1"/>
  <c r="AB379" i="1" s="1"/>
  <c r="AD379" i="1"/>
  <c r="AE379" i="1"/>
  <c r="AF379" i="1"/>
  <c r="AG379" i="1"/>
  <c r="CU379" i="1" s="1"/>
  <c r="T379" i="1" s="1"/>
  <c r="AH379" i="1"/>
  <c r="CV379" i="1" s="1"/>
  <c r="U379" i="1" s="1"/>
  <c r="AI379" i="1"/>
  <c r="AJ379" i="1"/>
  <c r="CR379" i="1"/>
  <c r="Q379" i="1" s="1"/>
  <c r="CS379" i="1"/>
  <c r="CT379" i="1"/>
  <c r="S379" i="1" s="1"/>
  <c r="CW379" i="1"/>
  <c r="V379" i="1" s="1"/>
  <c r="CX379" i="1"/>
  <c r="W379" i="1" s="1"/>
  <c r="AJ383" i="1" s="1"/>
  <c r="FR379" i="1"/>
  <c r="GL379" i="1"/>
  <c r="GN379" i="1"/>
  <c r="GO379" i="1"/>
  <c r="CC383" i="1" s="1"/>
  <c r="GV379" i="1"/>
  <c r="GX379" i="1"/>
  <c r="C380" i="1"/>
  <c r="D380" i="1"/>
  <c r="P380" i="1"/>
  <c r="R380" i="1"/>
  <c r="GK380" i="1" s="1"/>
  <c r="AC380" i="1"/>
  <c r="AD380" i="1"/>
  <c r="AB380" i="1" s="1"/>
  <c r="AE380" i="1"/>
  <c r="AF380" i="1"/>
  <c r="CT380" i="1" s="1"/>
  <c r="S380" i="1" s="1"/>
  <c r="CY380" i="1" s="1"/>
  <c r="X380" i="1" s="1"/>
  <c r="AG380" i="1"/>
  <c r="AH380" i="1"/>
  <c r="CV380" i="1" s="1"/>
  <c r="U380" i="1" s="1"/>
  <c r="AI380" i="1"/>
  <c r="AJ380" i="1"/>
  <c r="CX380" i="1" s="1"/>
  <c r="W380" i="1" s="1"/>
  <c r="CQ380" i="1"/>
  <c r="CR380" i="1"/>
  <c r="Q380" i="1" s="1"/>
  <c r="CS380" i="1"/>
  <c r="CU380" i="1"/>
  <c r="T380" i="1" s="1"/>
  <c r="CW380" i="1"/>
  <c r="V380" i="1" s="1"/>
  <c r="FR380" i="1"/>
  <c r="GL380" i="1"/>
  <c r="BZ383" i="1" s="1"/>
  <c r="GN380" i="1"/>
  <c r="GO380" i="1"/>
  <c r="GV380" i="1"/>
  <c r="GX380" i="1"/>
  <c r="I381" i="1"/>
  <c r="Q381" i="1"/>
  <c r="W381" i="1"/>
  <c r="AC381" i="1"/>
  <c r="AB381" i="1" s="1"/>
  <c r="AE381" i="1"/>
  <c r="AD381" i="1" s="1"/>
  <c r="AF381" i="1"/>
  <c r="AG381" i="1"/>
  <c r="CU381" i="1" s="1"/>
  <c r="T381" i="1" s="1"/>
  <c r="AH381" i="1"/>
  <c r="AI381" i="1"/>
  <c r="CW381" i="1" s="1"/>
  <c r="V381" i="1" s="1"/>
  <c r="AJ381" i="1"/>
  <c r="CR381" i="1"/>
  <c r="CT381" i="1"/>
  <c r="S381" i="1" s="1"/>
  <c r="CV381" i="1"/>
  <c r="U381" i="1" s="1"/>
  <c r="CX381" i="1"/>
  <c r="FR381" i="1"/>
  <c r="GL381" i="1"/>
  <c r="GO381" i="1"/>
  <c r="GP381" i="1"/>
  <c r="GV381" i="1"/>
  <c r="GX381" i="1" s="1"/>
  <c r="B383" i="1"/>
  <c r="B370" i="1" s="1"/>
  <c r="C383" i="1"/>
  <c r="C370" i="1" s="1"/>
  <c r="D383" i="1"/>
  <c r="D370" i="1" s="1"/>
  <c r="F383" i="1"/>
  <c r="F370" i="1" s="1"/>
  <c r="G383" i="1"/>
  <c r="G370" i="1" s="1"/>
  <c r="AP383" i="1"/>
  <c r="AP370" i="1" s="1"/>
  <c r="BB383" i="1"/>
  <c r="BB370" i="1" s="1"/>
  <c r="BX383" i="1"/>
  <c r="AO383" i="1" s="1"/>
  <c r="BY383" i="1"/>
  <c r="BY370" i="1" s="1"/>
  <c r="CK383" i="1"/>
  <c r="CK370" i="1" s="1"/>
  <c r="CL383" i="1"/>
  <c r="CL370" i="1" s="1"/>
  <c r="F392" i="1"/>
  <c r="B412" i="1"/>
  <c r="B26" i="1" s="1"/>
  <c r="C412" i="1"/>
  <c r="C26" i="1" s="1"/>
  <c r="D412" i="1"/>
  <c r="D26" i="1" s="1"/>
  <c r="F412" i="1"/>
  <c r="F26" i="1" s="1"/>
  <c r="G412" i="1"/>
  <c r="G26" i="1" s="1"/>
  <c r="B441" i="1"/>
  <c r="B22" i="1" s="1"/>
  <c r="C441" i="1"/>
  <c r="C22" i="1" s="1"/>
  <c r="D441" i="1"/>
  <c r="D22" i="1" s="1"/>
  <c r="F441" i="1"/>
  <c r="F22" i="1" s="1"/>
  <c r="G441" i="1"/>
  <c r="G22" i="1" s="1"/>
  <c r="B470" i="1"/>
  <c r="B18" i="1" s="1"/>
  <c r="C470" i="1"/>
  <c r="C18" i="1" s="1"/>
  <c r="D470" i="1"/>
  <c r="D18" i="1" s="1"/>
  <c r="F470" i="1"/>
  <c r="F18" i="1" s="1"/>
  <c r="G470" i="1"/>
  <c r="G18" i="1" l="1"/>
  <c r="A617" i="5"/>
  <c r="CC370" i="1"/>
  <c r="AT383" i="1"/>
  <c r="CJ370" i="1"/>
  <c r="BA383" i="1"/>
  <c r="CY381" i="1"/>
  <c r="X381" i="1" s="1"/>
  <c r="CZ381" i="1"/>
  <c r="Y381" i="1" s="1"/>
  <c r="BZ370" i="1"/>
  <c r="AQ383" i="1"/>
  <c r="CI383" i="1"/>
  <c r="AG383" i="1"/>
  <c r="CP373" i="1"/>
  <c r="O373" i="1" s="1"/>
  <c r="AH383" i="1"/>
  <c r="AI383" i="1"/>
  <c r="CZ324" i="1"/>
  <c r="Y324" i="1" s="1"/>
  <c r="CY324" i="1"/>
  <c r="X324" i="1" s="1"/>
  <c r="AO370" i="1"/>
  <c r="F387" i="1"/>
  <c r="AD383" i="1"/>
  <c r="W383" i="1"/>
  <c r="AJ370" i="1"/>
  <c r="CZ379" i="1"/>
  <c r="Y379" i="1" s="1"/>
  <c r="CY379" i="1"/>
  <c r="X379" i="1" s="1"/>
  <c r="CS381" i="1"/>
  <c r="R381" i="1" s="1"/>
  <c r="GK381" i="1" s="1"/>
  <c r="CP374" i="1"/>
  <c r="O374" i="1" s="1"/>
  <c r="AB374" i="1"/>
  <c r="CP372" i="1"/>
  <c r="O372" i="1" s="1"/>
  <c r="BX370" i="1"/>
  <c r="Q336" i="1"/>
  <c r="CP336" i="1" s="1"/>
  <c r="O336" i="1" s="1"/>
  <c r="CQ333" i="1"/>
  <c r="P333" i="1" s="1"/>
  <c r="CP333" i="1" s="1"/>
  <c r="O333" i="1" s="1"/>
  <c r="AB333" i="1"/>
  <c r="CD320" i="1"/>
  <c r="AU339" i="1"/>
  <c r="P332" i="1"/>
  <c r="AB332" i="1"/>
  <c r="CP328" i="1"/>
  <c r="O328" i="1" s="1"/>
  <c r="CZ380" i="1"/>
  <c r="Y380" i="1" s="1"/>
  <c r="CP380" i="1"/>
  <c r="O380" i="1" s="1"/>
  <c r="AB377" i="1"/>
  <c r="CY337" i="1"/>
  <c r="X337" i="1" s="1"/>
  <c r="CZ337" i="1"/>
  <c r="Y337" i="1" s="1"/>
  <c r="CY333" i="1"/>
  <c r="X333" i="1" s="1"/>
  <c r="CZ333" i="1"/>
  <c r="Y333" i="1" s="1"/>
  <c r="CQ381" i="1"/>
  <c r="P381" i="1" s="1"/>
  <c r="CP381" i="1" s="1"/>
  <c r="O381" i="1" s="1"/>
  <c r="CQ379" i="1"/>
  <c r="P379" i="1" s="1"/>
  <c r="CP379" i="1" s="1"/>
  <c r="O379" i="1" s="1"/>
  <c r="CY372" i="1"/>
  <c r="X372" i="1" s="1"/>
  <c r="CZ372" i="1"/>
  <c r="Y372" i="1" s="1"/>
  <c r="CX64" i="3"/>
  <c r="W332" i="1"/>
  <c r="T332" i="1"/>
  <c r="CP376" i="1"/>
  <c r="O376" i="1" s="1"/>
  <c r="CD283" i="1"/>
  <c r="AU289" i="1"/>
  <c r="F396" i="1"/>
  <c r="AF383" i="1"/>
  <c r="CY374" i="1"/>
  <c r="X374" i="1" s="1"/>
  <c r="CY373" i="1"/>
  <c r="X373" i="1" s="1"/>
  <c r="CZ373" i="1"/>
  <c r="Y373" i="1" s="1"/>
  <c r="CY335" i="1"/>
  <c r="X335" i="1" s="1"/>
  <c r="CZ335" i="1"/>
  <c r="Y335" i="1" s="1"/>
  <c r="S334" i="1"/>
  <c r="P334" i="1"/>
  <c r="U332" i="1"/>
  <c r="AT289" i="1"/>
  <c r="CC283" i="1"/>
  <c r="CG383" i="1"/>
  <c r="AE383" i="1"/>
  <c r="CY378" i="1"/>
  <c r="X378" i="1" s="1"/>
  <c r="CP378" i="1"/>
  <c r="O378" i="1" s="1"/>
  <c r="AB373" i="1"/>
  <c r="CK320" i="1"/>
  <c r="BB339" i="1"/>
  <c r="CP337" i="1"/>
  <c r="O337" i="1" s="1"/>
  <c r="AB337" i="1"/>
  <c r="U336" i="1"/>
  <c r="AI283" i="1"/>
  <c r="V289" i="1"/>
  <c r="CY377" i="1"/>
  <c r="X377" i="1" s="1"/>
  <c r="CZ377" i="1"/>
  <c r="Y377" i="1" s="1"/>
  <c r="CP377" i="1"/>
  <c r="O377" i="1" s="1"/>
  <c r="W336" i="1"/>
  <c r="CP335" i="1"/>
  <c r="O335" i="1" s="1"/>
  <c r="S332" i="1"/>
  <c r="AB325" i="1"/>
  <c r="CQ325" i="1"/>
  <c r="P325" i="1" s="1"/>
  <c r="AC289" i="1"/>
  <c r="BC383" i="1"/>
  <c r="CY376" i="1"/>
  <c r="X376" i="1" s="1"/>
  <c r="CP375" i="1"/>
  <c r="O375" i="1" s="1"/>
  <c r="S336" i="1"/>
  <c r="BZ320" i="1"/>
  <c r="AQ339" i="1"/>
  <c r="GX332" i="1"/>
  <c r="R332" i="1"/>
  <c r="GK332" i="1" s="1"/>
  <c r="CP326" i="1"/>
  <c r="O326" i="1" s="1"/>
  <c r="CY325" i="1"/>
  <c r="X325" i="1" s="1"/>
  <c r="CZ325" i="1"/>
  <c r="Y325" i="1" s="1"/>
  <c r="CS335" i="1"/>
  <c r="R335" i="1" s="1"/>
  <c r="GK335" i="1" s="1"/>
  <c r="CX67" i="3"/>
  <c r="CX68" i="3"/>
  <c r="CY286" i="1"/>
  <c r="X286" i="1" s="1"/>
  <c r="CZ286" i="1"/>
  <c r="Y286" i="1" s="1"/>
  <c r="AJ289" i="1"/>
  <c r="CX51" i="3"/>
  <c r="CX50" i="3"/>
  <c r="T285" i="1"/>
  <c r="AG289" i="1" s="1"/>
  <c r="BZ245" i="1"/>
  <c r="CG252" i="1"/>
  <c r="CI194" i="1"/>
  <c r="AZ214" i="1"/>
  <c r="AB324" i="1"/>
  <c r="CQ324" i="1"/>
  <c r="P324" i="1" s="1"/>
  <c r="CP324" i="1" s="1"/>
  <c r="O324" i="1" s="1"/>
  <c r="AQ289" i="1"/>
  <c r="CG289" i="1"/>
  <c r="BZ283" i="1"/>
  <c r="AU252" i="1"/>
  <c r="CD245" i="1"/>
  <c r="AD245" i="1"/>
  <c r="Q252" i="1"/>
  <c r="AB326" i="1"/>
  <c r="AD323" i="1"/>
  <c r="CS323" i="1"/>
  <c r="R323" i="1" s="1"/>
  <c r="CY322" i="1"/>
  <c r="X322" i="1" s="1"/>
  <c r="CZ322" i="1"/>
  <c r="Y322" i="1" s="1"/>
  <c r="CP322" i="1"/>
  <c r="O322" i="1" s="1"/>
  <c r="BY289" i="1"/>
  <c r="U285" i="1"/>
  <c r="AH289" i="1" s="1"/>
  <c r="AQ252" i="1"/>
  <c r="CP247" i="1"/>
  <c r="O247" i="1" s="1"/>
  <c r="CY206" i="1"/>
  <c r="X206" i="1" s="1"/>
  <c r="CZ206" i="1"/>
  <c r="Y206" i="1" s="1"/>
  <c r="CG339" i="1"/>
  <c r="AO339" i="1"/>
  <c r="CZ331" i="1"/>
  <c r="Y331" i="1" s="1"/>
  <c r="S330" i="1"/>
  <c r="AB323" i="1"/>
  <c r="CP286" i="1"/>
  <c r="O286" i="1" s="1"/>
  <c r="CT250" i="1"/>
  <c r="S250" i="1" s="1"/>
  <c r="AB250" i="1"/>
  <c r="AQ194" i="1"/>
  <c r="F224" i="1"/>
  <c r="CS333" i="1"/>
  <c r="R333" i="1" s="1"/>
  <c r="GK333" i="1" s="1"/>
  <c r="CX66" i="3"/>
  <c r="CX65" i="3"/>
  <c r="CQ331" i="1"/>
  <c r="P331" i="1" s="1"/>
  <c r="CP331" i="1" s="1"/>
  <c r="O331" i="1" s="1"/>
  <c r="AD329" i="1"/>
  <c r="AB329" i="1" s="1"/>
  <c r="CS329" i="1"/>
  <c r="CY287" i="1"/>
  <c r="X287" i="1" s="1"/>
  <c r="GM287" i="1" s="1"/>
  <c r="CZ287" i="1"/>
  <c r="Y287" i="1" s="1"/>
  <c r="CY285" i="1"/>
  <c r="X285" i="1" s="1"/>
  <c r="AK289" i="1" s="1"/>
  <c r="CZ285" i="1"/>
  <c r="Y285" i="1" s="1"/>
  <c r="AF289" i="1"/>
  <c r="AI245" i="1"/>
  <c r="V252" i="1"/>
  <c r="GM248" i="1"/>
  <c r="GO248" i="1"/>
  <c r="T252" i="1"/>
  <c r="AG245" i="1"/>
  <c r="CZ198" i="1"/>
  <c r="Y198" i="1" s="1"/>
  <c r="CY198" i="1"/>
  <c r="X198" i="1" s="1"/>
  <c r="CY197" i="1"/>
  <c r="X197" i="1" s="1"/>
  <c r="CZ197" i="1"/>
  <c r="Y197" i="1" s="1"/>
  <c r="CP330" i="1"/>
  <c r="O330" i="1" s="1"/>
  <c r="CQ329" i="1"/>
  <c r="P329" i="1" s="1"/>
  <c r="AB328" i="1"/>
  <c r="CX62" i="3"/>
  <c r="CX59" i="3"/>
  <c r="CX61" i="3"/>
  <c r="CX58" i="3"/>
  <c r="CX57" i="3"/>
  <c r="CX60" i="3"/>
  <c r="I329" i="1"/>
  <c r="T329" i="1" s="1"/>
  <c r="AG339" i="1" s="1"/>
  <c r="AD327" i="1"/>
  <c r="CJ289" i="1"/>
  <c r="GK285" i="1"/>
  <c r="AE289" i="1"/>
  <c r="AB285" i="1"/>
  <c r="AC245" i="1"/>
  <c r="CF252" i="1"/>
  <c r="P252" i="1"/>
  <c r="CH252" i="1"/>
  <c r="CE252" i="1"/>
  <c r="CY202" i="1"/>
  <c r="X202" i="1" s="1"/>
  <c r="CZ202" i="1"/>
  <c r="Y202" i="1" s="1"/>
  <c r="T333" i="1"/>
  <c r="GX328" i="1"/>
  <c r="CY328" i="1"/>
  <c r="X328" i="1" s="1"/>
  <c r="CP327" i="1"/>
  <c r="O327" i="1" s="1"/>
  <c r="GM327" i="1" s="1"/>
  <c r="AB327" i="1"/>
  <c r="BB283" i="1"/>
  <c r="F302" i="1"/>
  <c r="Q285" i="1"/>
  <c r="AD289" i="1" s="1"/>
  <c r="CI245" i="1"/>
  <c r="AZ252" i="1"/>
  <c r="CP250" i="1"/>
  <c r="O250" i="1" s="1"/>
  <c r="CX47" i="3"/>
  <c r="T210" i="1"/>
  <c r="V210" i="1"/>
  <c r="GX210" i="1"/>
  <c r="CP249" i="1"/>
  <c r="O249" i="1" s="1"/>
  <c r="CR212" i="1"/>
  <c r="Q212" i="1" s="1"/>
  <c r="AB212" i="1"/>
  <c r="CT210" i="1"/>
  <c r="S210" i="1" s="1"/>
  <c r="AB210" i="1"/>
  <c r="CY209" i="1"/>
  <c r="X209" i="1" s="1"/>
  <c r="CZ209" i="1"/>
  <c r="Y209" i="1" s="1"/>
  <c r="AB209" i="1"/>
  <c r="CY207" i="1"/>
  <c r="X207" i="1" s="1"/>
  <c r="CZ207" i="1"/>
  <c r="Y207" i="1" s="1"/>
  <c r="CQ205" i="1"/>
  <c r="P205" i="1" s="1"/>
  <c r="CP205" i="1" s="1"/>
  <c r="O205" i="1" s="1"/>
  <c r="AB205" i="1"/>
  <c r="CX41" i="3"/>
  <c r="R202" i="1"/>
  <c r="GK202" i="1" s="1"/>
  <c r="U202" i="1"/>
  <c r="V202" i="1"/>
  <c r="CY199" i="1"/>
  <c r="X199" i="1" s="1"/>
  <c r="CZ199" i="1"/>
  <c r="Y199" i="1" s="1"/>
  <c r="AI214" i="1"/>
  <c r="AH252" i="1"/>
  <c r="CP212" i="1"/>
  <c r="O212" i="1" s="1"/>
  <c r="R210" i="1"/>
  <c r="GK210" i="1" s="1"/>
  <c r="CD194" i="1"/>
  <c r="AU214" i="1"/>
  <c r="CQ323" i="1"/>
  <c r="P323" i="1" s="1"/>
  <c r="Q210" i="1"/>
  <c r="CJ252" i="1"/>
  <c r="P210" i="1"/>
  <c r="CP206" i="1"/>
  <c r="O206" i="1" s="1"/>
  <c r="BB252" i="1"/>
  <c r="CK245" i="1"/>
  <c r="AE252" i="1"/>
  <c r="CS211" i="1"/>
  <c r="R211" i="1" s="1"/>
  <c r="GK211" i="1" s="1"/>
  <c r="AD211" i="1"/>
  <c r="AB211" i="1" s="1"/>
  <c r="CB194" i="1"/>
  <c r="AS214" i="1"/>
  <c r="W210" i="1"/>
  <c r="CB252" i="1"/>
  <c r="BY194" i="1"/>
  <c r="AP214" i="1"/>
  <c r="U210" i="1"/>
  <c r="BZ194" i="1"/>
  <c r="CG214" i="1"/>
  <c r="CJ214" i="1"/>
  <c r="AJ252" i="1"/>
  <c r="BB194" i="1"/>
  <c r="F227" i="1"/>
  <c r="CY205" i="1"/>
  <c r="X205" i="1" s="1"/>
  <c r="CZ205" i="1"/>
  <c r="Y205" i="1" s="1"/>
  <c r="CP198" i="1"/>
  <c r="O198" i="1" s="1"/>
  <c r="S163" i="1"/>
  <c r="AF156" i="1"/>
  <c r="CP158" i="1"/>
  <c r="O158" i="1" s="1"/>
  <c r="CZ79" i="1"/>
  <c r="Y79" i="1" s="1"/>
  <c r="CY79" i="1"/>
  <c r="X79" i="1" s="1"/>
  <c r="CQ211" i="1"/>
  <c r="P211" i="1" s="1"/>
  <c r="CP211" i="1" s="1"/>
  <c r="O211" i="1" s="1"/>
  <c r="W196" i="1"/>
  <c r="AJ214" i="1" s="1"/>
  <c r="CJ163" i="1"/>
  <c r="AD163" i="1"/>
  <c r="F144" i="1"/>
  <c r="AU120" i="1"/>
  <c r="CY80" i="1"/>
  <c r="X80" i="1" s="1"/>
  <c r="CZ80" i="1"/>
  <c r="Y80" i="1" s="1"/>
  <c r="Q202" i="1"/>
  <c r="AD214" i="1" s="1"/>
  <c r="P202" i="1"/>
  <c r="CP202" i="1" s="1"/>
  <c r="O202" i="1" s="1"/>
  <c r="CZ201" i="1"/>
  <c r="Y201" i="1" s="1"/>
  <c r="AB199" i="1"/>
  <c r="CQ199" i="1"/>
  <c r="P199" i="1" s="1"/>
  <c r="CP199" i="1" s="1"/>
  <c r="O199" i="1" s="1"/>
  <c r="CK194" i="1"/>
  <c r="AQ163" i="1"/>
  <c r="BZ156" i="1"/>
  <c r="CG163" i="1"/>
  <c r="CX32" i="3"/>
  <c r="CX34" i="3"/>
  <c r="CX33" i="3"/>
  <c r="CY159" i="1"/>
  <c r="X159" i="1" s="1"/>
  <c r="GM159" i="1" s="1"/>
  <c r="CZ159" i="1"/>
  <c r="Y159" i="1" s="1"/>
  <c r="AH163" i="1"/>
  <c r="AC120" i="1"/>
  <c r="CF125" i="1"/>
  <c r="P125" i="1"/>
  <c r="GK122" i="1"/>
  <c r="AE125" i="1"/>
  <c r="CS209" i="1"/>
  <c r="R209" i="1" s="1"/>
  <c r="GK209" i="1" s="1"/>
  <c r="Q208" i="1"/>
  <c r="CP208" i="1" s="1"/>
  <c r="O208" i="1" s="1"/>
  <c r="CQ207" i="1"/>
  <c r="P207" i="1" s="1"/>
  <c r="CP207" i="1" s="1"/>
  <c r="O207" i="1" s="1"/>
  <c r="AB202" i="1"/>
  <c r="CQ200" i="1"/>
  <c r="P200" i="1" s="1"/>
  <c r="CP200" i="1" s="1"/>
  <c r="O200" i="1" s="1"/>
  <c r="CX36" i="3"/>
  <c r="U196" i="1"/>
  <c r="AH214" i="1" s="1"/>
  <c r="CQ161" i="1"/>
  <c r="P161" i="1" s="1"/>
  <c r="CP161" i="1" s="1"/>
  <c r="O161" i="1" s="1"/>
  <c r="AB161" i="1"/>
  <c r="CC163" i="1"/>
  <c r="AG163" i="1"/>
  <c r="CX24" i="3"/>
  <c r="CX23" i="3"/>
  <c r="CX25" i="3"/>
  <c r="T85" i="1"/>
  <c r="AG89" i="1" s="1"/>
  <c r="U85" i="1"/>
  <c r="V85" i="1"/>
  <c r="CP201" i="1"/>
  <c r="O201" i="1" s="1"/>
  <c r="CY161" i="1"/>
  <c r="X161" i="1" s="1"/>
  <c r="CZ161" i="1"/>
  <c r="Y161" i="1" s="1"/>
  <c r="CJ120" i="1"/>
  <c r="BA125" i="1"/>
  <c r="CP122" i="1"/>
  <c r="O122" i="1" s="1"/>
  <c r="CQ209" i="1"/>
  <c r="P209" i="1" s="1"/>
  <c r="CP209" i="1" s="1"/>
  <c r="O209" i="1" s="1"/>
  <c r="CS205" i="1"/>
  <c r="R205" i="1" s="1"/>
  <c r="GK205" i="1" s="1"/>
  <c r="P204" i="1"/>
  <c r="CP204" i="1" s="1"/>
  <c r="O204" i="1" s="1"/>
  <c r="CR203" i="1"/>
  <c r="Q203" i="1" s="1"/>
  <c r="AD203" i="1"/>
  <c r="AB203" i="1" s="1"/>
  <c r="AB201" i="1"/>
  <c r="S196" i="1"/>
  <c r="T160" i="1"/>
  <c r="BY163" i="1"/>
  <c r="CE125" i="1"/>
  <c r="F230" i="1"/>
  <c r="CP203" i="1"/>
  <c r="O203" i="1" s="1"/>
  <c r="CY200" i="1"/>
  <c r="X200" i="1" s="1"/>
  <c r="CY160" i="1"/>
  <c r="X160" i="1" s="1"/>
  <c r="GM160" i="1" s="1"/>
  <c r="CZ160" i="1"/>
  <c r="Y160" i="1" s="1"/>
  <c r="AJ163" i="1"/>
  <c r="CY158" i="1"/>
  <c r="X158" i="1" s="1"/>
  <c r="CZ158" i="1"/>
  <c r="Y158" i="1" s="1"/>
  <c r="AH120" i="1"/>
  <c r="U125" i="1"/>
  <c r="CZ204" i="1"/>
  <c r="Y204" i="1" s="1"/>
  <c r="T202" i="1"/>
  <c r="AG214" i="1" s="1"/>
  <c r="CQ197" i="1"/>
  <c r="P197" i="1" s="1"/>
  <c r="CP197" i="1" s="1"/>
  <c r="O197" i="1" s="1"/>
  <c r="AB197" i="1"/>
  <c r="P196" i="1"/>
  <c r="AI163" i="1"/>
  <c r="BY75" i="1"/>
  <c r="AP89" i="1"/>
  <c r="GM81" i="1"/>
  <c r="F141" i="1"/>
  <c r="BX75" i="1"/>
  <c r="AO89" i="1"/>
  <c r="CY87" i="1"/>
  <c r="X87" i="1" s="1"/>
  <c r="CZ87" i="1"/>
  <c r="Y87" i="1" s="1"/>
  <c r="AB87" i="1"/>
  <c r="AP125" i="1"/>
  <c r="BY120" i="1"/>
  <c r="AO125" i="1"/>
  <c r="CZ123" i="1"/>
  <c r="Y123" i="1" s="1"/>
  <c r="CC120" i="1"/>
  <c r="AT125" i="1"/>
  <c r="AB122" i="1"/>
  <c r="BC75" i="1"/>
  <c r="F105" i="1"/>
  <c r="CQ83" i="1"/>
  <c r="P83" i="1" s="1"/>
  <c r="CP83" i="1" s="1"/>
  <c r="O83" i="1" s="1"/>
  <c r="BC163" i="1"/>
  <c r="AU163" i="1"/>
  <c r="CS159" i="1"/>
  <c r="R159" i="1" s="1"/>
  <c r="GK159" i="1" s="1"/>
  <c r="CS158" i="1"/>
  <c r="R158" i="1" s="1"/>
  <c r="F146" i="1"/>
  <c r="T120" i="1"/>
  <c r="BZ125" i="1"/>
  <c r="S85" i="1"/>
  <c r="CP80" i="1"/>
  <c r="O80" i="1" s="1"/>
  <c r="CD89" i="1"/>
  <c r="CZ37" i="1"/>
  <c r="Y37" i="1" s="1"/>
  <c r="CY37" i="1"/>
  <c r="X37" i="1" s="1"/>
  <c r="CY36" i="1"/>
  <c r="X36" i="1" s="1"/>
  <c r="CZ36" i="1"/>
  <c r="Y36" i="1" s="1"/>
  <c r="AD123" i="1"/>
  <c r="AB123" i="1" s="1"/>
  <c r="CS123" i="1"/>
  <c r="R123" i="1" s="1"/>
  <c r="GK123" i="1" s="1"/>
  <c r="AI125" i="1"/>
  <c r="CZ122" i="1"/>
  <c r="Y122" i="1" s="1"/>
  <c r="AL125" i="1" s="1"/>
  <c r="AF125" i="1"/>
  <c r="R85" i="1"/>
  <c r="GK85" i="1" s="1"/>
  <c r="CY84" i="1"/>
  <c r="X84" i="1" s="1"/>
  <c r="CZ84" i="1"/>
  <c r="Y84" i="1" s="1"/>
  <c r="GM82" i="1"/>
  <c r="GN82" i="1"/>
  <c r="AI89" i="1"/>
  <c r="CZ77" i="1"/>
  <c r="Y77" i="1" s="1"/>
  <c r="CY77" i="1"/>
  <c r="X77" i="1" s="1"/>
  <c r="AF89" i="1"/>
  <c r="AJ44" i="1"/>
  <c r="CY122" i="1"/>
  <c r="X122" i="1" s="1"/>
  <c r="AK125" i="1" s="1"/>
  <c r="CY86" i="1"/>
  <c r="X86" i="1" s="1"/>
  <c r="CZ86" i="1"/>
  <c r="Y86" i="1" s="1"/>
  <c r="CR85" i="1"/>
  <c r="Q85" i="1" s="1"/>
  <c r="AD89" i="1" s="1"/>
  <c r="CY81" i="1"/>
  <c r="X81" i="1" s="1"/>
  <c r="GN81" i="1" s="1"/>
  <c r="CZ81" i="1"/>
  <c r="Y81" i="1" s="1"/>
  <c r="CJ44" i="1"/>
  <c r="CP33" i="1"/>
  <c r="O33" i="1" s="1"/>
  <c r="AB33" i="1"/>
  <c r="CR123" i="1"/>
  <c r="Q123" i="1" s="1"/>
  <c r="AD125" i="1" s="1"/>
  <c r="AJ125" i="1"/>
  <c r="P85" i="1"/>
  <c r="CD44" i="1"/>
  <c r="W85" i="1"/>
  <c r="BZ89" i="1"/>
  <c r="CG89" i="1" s="1"/>
  <c r="CJ89" i="1"/>
  <c r="AH89" i="1"/>
  <c r="CZ34" i="1"/>
  <c r="Y34" i="1" s="1"/>
  <c r="CY34" i="1"/>
  <c r="X34" i="1" s="1"/>
  <c r="BB125" i="1"/>
  <c r="BB89" i="1"/>
  <c r="R80" i="1"/>
  <c r="GK80" i="1" s="1"/>
  <c r="CP42" i="1"/>
  <c r="O42" i="1" s="1"/>
  <c r="CZ40" i="1"/>
  <c r="Y40" i="1" s="1"/>
  <c r="CP36" i="1"/>
  <c r="O36" i="1" s="1"/>
  <c r="CS87" i="1"/>
  <c r="R87" i="1" s="1"/>
  <c r="GK87" i="1" s="1"/>
  <c r="CS84" i="1"/>
  <c r="R84" i="1" s="1"/>
  <c r="GK84" i="1" s="1"/>
  <c r="CP79" i="1"/>
  <c r="O79" i="1" s="1"/>
  <c r="BC30" i="1"/>
  <c r="F60" i="1"/>
  <c r="CP37" i="1"/>
  <c r="O37" i="1" s="1"/>
  <c r="AB37" i="1"/>
  <c r="BZ44" i="1"/>
  <c r="CP32" i="1"/>
  <c r="O32" i="1" s="1"/>
  <c r="CY42" i="1"/>
  <c r="X42" i="1" s="1"/>
  <c r="CZ42" i="1"/>
  <c r="Y42" i="1" s="1"/>
  <c r="GN39" i="1"/>
  <c r="GM39" i="1"/>
  <c r="AB38" i="1"/>
  <c r="CQ38" i="1"/>
  <c r="P38" i="1" s="1"/>
  <c r="CP38" i="1" s="1"/>
  <c r="O38" i="1" s="1"/>
  <c r="AB34" i="1"/>
  <c r="CQ34" i="1"/>
  <c r="P34" i="1" s="1"/>
  <c r="CP34" i="1" s="1"/>
  <c r="O34" i="1" s="1"/>
  <c r="CQ87" i="1"/>
  <c r="P87" i="1" s="1"/>
  <c r="CP87" i="1" s="1"/>
  <c r="O87" i="1" s="1"/>
  <c r="CS86" i="1"/>
  <c r="R86" i="1" s="1"/>
  <c r="GK86" i="1" s="1"/>
  <c r="CX27" i="3"/>
  <c r="CX26" i="3"/>
  <c r="CX28" i="3"/>
  <c r="CQ84" i="1"/>
  <c r="P84" i="1" s="1"/>
  <c r="CP84" i="1" s="1"/>
  <c r="O84" i="1" s="1"/>
  <c r="CQ77" i="1"/>
  <c r="P77" i="1" s="1"/>
  <c r="CY41" i="1"/>
  <c r="X41" i="1" s="1"/>
  <c r="CZ41" i="1"/>
  <c r="Y41" i="1" s="1"/>
  <c r="AD40" i="1"/>
  <c r="AB40" i="1" s="1"/>
  <c r="CS40" i="1"/>
  <c r="R40" i="1" s="1"/>
  <c r="GK40" i="1" s="1"/>
  <c r="CY33" i="1"/>
  <c r="X33" i="1" s="1"/>
  <c r="AI44" i="1"/>
  <c r="AG44" i="1"/>
  <c r="CX30" i="3"/>
  <c r="CX29" i="3"/>
  <c r="W80" i="1"/>
  <c r="AJ89" i="1" s="1"/>
  <c r="CY78" i="1"/>
  <c r="X78" i="1" s="1"/>
  <c r="CZ78" i="1"/>
  <c r="Y78" i="1" s="1"/>
  <c r="CR40" i="1"/>
  <c r="Q40" i="1" s="1"/>
  <c r="CP40" i="1" s="1"/>
  <c r="O40" i="1" s="1"/>
  <c r="CZ38" i="1"/>
  <c r="Y38" i="1" s="1"/>
  <c r="CY38" i="1"/>
  <c r="X38" i="1" s="1"/>
  <c r="AF44" i="1"/>
  <c r="CY32" i="1"/>
  <c r="X32" i="1" s="1"/>
  <c r="CZ32" i="1"/>
  <c r="Y32" i="1" s="1"/>
  <c r="AL44" i="1" s="1"/>
  <c r="CP41" i="1"/>
  <c r="O41" i="1" s="1"/>
  <c r="AE44" i="1"/>
  <c r="AD77" i="1"/>
  <c r="AB77" i="1" s="1"/>
  <c r="CX17" i="3"/>
  <c r="CX9" i="3"/>
  <c r="CX1" i="3"/>
  <c r="BB44" i="1"/>
  <c r="CX15" i="3"/>
  <c r="CS78" i="1"/>
  <c r="R78" i="1" s="1"/>
  <c r="CX18" i="3"/>
  <c r="CX10" i="3"/>
  <c r="CZ35" i="1"/>
  <c r="Y35" i="1" s="1"/>
  <c r="CX13" i="3"/>
  <c r="CX5" i="3"/>
  <c r="CI44" i="1"/>
  <c r="CQ35" i="1"/>
  <c r="P35" i="1" s="1"/>
  <c r="CP35" i="1" s="1"/>
  <c r="O35" i="1" s="1"/>
  <c r="AP44" i="1"/>
  <c r="U41" i="1"/>
  <c r="AH44" i="1" s="1"/>
  <c r="AO44" i="1"/>
  <c r="AG75" i="1" l="1"/>
  <c r="T89" i="1"/>
  <c r="U44" i="1"/>
  <c r="AH30" i="1"/>
  <c r="AD194" i="1"/>
  <c r="Q214" i="1"/>
  <c r="AD75" i="1"/>
  <c r="Q89" i="1"/>
  <c r="AJ75" i="1"/>
  <c r="W89" i="1"/>
  <c r="Q125" i="1"/>
  <c r="AD120" i="1"/>
  <c r="AG320" i="1"/>
  <c r="T339" i="1"/>
  <c r="GM208" i="1"/>
  <c r="GO208" i="1"/>
  <c r="GM40" i="1"/>
  <c r="GN40" i="1"/>
  <c r="CG75" i="1"/>
  <c r="AX89" i="1"/>
  <c r="GO35" i="1"/>
  <c r="CC44" i="1" s="1"/>
  <c r="GM35" i="1"/>
  <c r="GM37" i="1"/>
  <c r="GN37" i="1"/>
  <c r="GM197" i="1"/>
  <c r="GO197" i="1"/>
  <c r="GM199" i="1"/>
  <c r="GO199" i="1"/>
  <c r="GM375" i="1"/>
  <c r="GP375" i="1"/>
  <c r="AK44" i="1"/>
  <c r="AC44" i="1"/>
  <c r="AI75" i="1"/>
  <c r="V89" i="1"/>
  <c r="Y125" i="1"/>
  <c r="AL120" i="1"/>
  <c r="AT120" i="1"/>
  <c r="F143" i="1"/>
  <c r="T214" i="1"/>
  <c r="AG194" i="1"/>
  <c r="AH194" i="1"/>
  <c r="U214" i="1"/>
  <c r="AC163" i="1"/>
  <c r="AI194" i="1"/>
  <c r="V214" i="1"/>
  <c r="GM205" i="1"/>
  <c r="GO205" i="1"/>
  <c r="AZ245" i="1"/>
  <c r="F263" i="1"/>
  <c r="CF245" i="1"/>
  <c r="AW252" i="1"/>
  <c r="CG320" i="1"/>
  <c r="AX339" i="1"/>
  <c r="F271" i="1"/>
  <c r="AU245" i="1"/>
  <c r="GO326" i="1"/>
  <c r="GM326" i="1"/>
  <c r="CY332" i="1"/>
  <c r="X332" i="1" s="1"/>
  <c r="CZ332" i="1"/>
  <c r="Y332" i="1" s="1"/>
  <c r="W329" i="1"/>
  <c r="AJ339" i="1" s="1"/>
  <c r="AF370" i="1"/>
  <c r="S383" i="1"/>
  <c r="GM328" i="1"/>
  <c r="GN328" i="1"/>
  <c r="AI370" i="1"/>
  <c r="V383" i="1"/>
  <c r="AL30" i="1"/>
  <c r="Y44" i="1"/>
  <c r="R125" i="1"/>
  <c r="AE120" i="1"/>
  <c r="AO320" i="1"/>
  <c r="F343" i="1"/>
  <c r="GM378" i="1"/>
  <c r="GP378" i="1"/>
  <c r="CI30" i="1"/>
  <c r="AZ44" i="1"/>
  <c r="F57" i="1"/>
  <c r="BB30" i="1"/>
  <c r="BB412" i="1"/>
  <c r="AF30" i="1"/>
  <c r="S44" i="1"/>
  <c r="GN87" i="1"/>
  <c r="GM87" i="1"/>
  <c r="BB75" i="1"/>
  <c r="F102" i="1"/>
  <c r="CD30" i="1"/>
  <c r="AU44" i="1"/>
  <c r="GM33" i="1"/>
  <c r="GN33" i="1"/>
  <c r="GN86" i="1"/>
  <c r="V125" i="1"/>
  <c r="AI120" i="1"/>
  <c r="CD75" i="1"/>
  <c r="AU89" i="1"/>
  <c r="F182" i="1"/>
  <c r="AU156" i="1"/>
  <c r="CI89" i="1"/>
  <c r="GN159" i="1"/>
  <c r="P120" i="1"/>
  <c r="F128" i="1"/>
  <c r="Q163" i="1"/>
  <c r="AD156" i="1"/>
  <c r="AB163" i="1"/>
  <c r="AP194" i="1"/>
  <c r="F223" i="1"/>
  <c r="R252" i="1"/>
  <c r="AE245" i="1"/>
  <c r="R329" i="1"/>
  <c r="GK329" i="1" s="1"/>
  <c r="Q329" i="1"/>
  <c r="AD339" i="1" s="1"/>
  <c r="BC370" i="1"/>
  <c r="F399" i="1"/>
  <c r="GM335" i="1"/>
  <c r="GO335" i="1"/>
  <c r="AE370" i="1"/>
  <c r="R383" i="1"/>
  <c r="CP334" i="1"/>
  <c r="O334" i="1" s="1"/>
  <c r="GP372" i="1"/>
  <c r="GM372" i="1"/>
  <c r="AB383" i="1"/>
  <c r="W370" i="1"/>
  <c r="F407" i="1"/>
  <c r="AH370" i="1"/>
  <c r="U383" i="1"/>
  <c r="BA120" i="1"/>
  <c r="F145" i="1"/>
  <c r="AH245" i="1"/>
  <c r="U252" i="1"/>
  <c r="GM322" i="1"/>
  <c r="GN322" i="1"/>
  <c r="CP77" i="1"/>
  <c r="O77" i="1" s="1"/>
  <c r="AC89" i="1"/>
  <c r="GM79" i="1"/>
  <c r="GN79" i="1"/>
  <c r="CJ30" i="1"/>
  <c r="BA44" i="1"/>
  <c r="AK120" i="1"/>
  <c r="X125" i="1"/>
  <c r="CP123" i="1"/>
  <c r="O123" i="1" s="1"/>
  <c r="GO80" i="1"/>
  <c r="CC89" i="1" s="1"/>
  <c r="GM80" i="1"/>
  <c r="F179" i="1"/>
  <c r="BC156" i="1"/>
  <c r="BC412" i="1"/>
  <c r="AP75" i="1"/>
  <c r="F98" i="1"/>
  <c r="F147" i="1"/>
  <c r="U120" i="1"/>
  <c r="GO203" i="1"/>
  <c r="GM203" i="1"/>
  <c r="GM200" i="1"/>
  <c r="GO200" i="1"/>
  <c r="CF120" i="1"/>
  <c r="AW125" i="1"/>
  <c r="GM202" i="1"/>
  <c r="GO202" i="1"/>
  <c r="CJ156" i="1"/>
  <c r="BA163" i="1"/>
  <c r="GN160" i="1"/>
  <c r="CP323" i="1"/>
  <c r="O323" i="1" s="1"/>
  <c r="AC339" i="1"/>
  <c r="GM249" i="1"/>
  <c r="GO249" i="1"/>
  <c r="AD283" i="1"/>
  <c r="Q289" i="1"/>
  <c r="V245" i="1"/>
  <c r="F275" i="1"/>
  <c r="CZ250" i="1"/>
  <c r="Y250" i="1" s="1"/>
  <c r="AL252" i="1" s="1"/>
  <c r="AF252" i="1"/>
  <c r="CY250" i="1"/>
  <c r="X250" i="1" s="1"/>
  <c r="AK252" i="1" s="1"/>
  <c r="GK323" i="1"/>
  <c r="AE339" i="1"/>
  <c r="CG283" i="1"/>
  <c r="AX289" i="1"/>
  <c r="CG245" i="1"/>
  <c r="AX252" i="1"/>
  <c r="V329" i="1"/>
  <c r="AI339" i="1" s="1"/>
  <c r="CP285" i="1"/>
  <c r="O285" i="1" s="1"/>
  <c r="CG370" i="1"/>
  <c r="AX383" i="1"/>
  <c r="CY334" i="1"/>
  <c r="X334" i="1" s="1"/>
  <c r="CZ334" i="1"/>
  <c r="Y334" i="1" s="1"/>
  <c r="AU283" i="1"/>
  <c r="F308" i="1"/>
  <c r="AL383" i="1"/>
  <c r="CP332" i="1"/>
  <c r="O332" i="1" s="1"/>
  <c r="AD370" i="1"/>
  <c r="Q383" i="1"/>
  <c r="AC383" i="1"/>
  <c r="GN42" i="1"/>
  <c r="GM42" i="1"/>
  <c r="GK158" i="1"/>
  <c r="GN158" i="1" s="1"/>
  <c r="CB163" i="1" s="1"/>
  <c r="AE163" i="1"/>
  <c r="CY196" i="1"/>
  <c r="X196" i="1" s="1"/>
  <c r="CZ196" i="1"/>
  <c r="Y196" i="1" s="1"/>
  <c r="AF214" i="1"/>
  <c r="F138" i="1"/>
  <c r="BB120" i="1"/>
  <c r="AG30" i="1"/>
  <c r="T44" i="1"/>
  <c r="GM34" i="1"/>
  <c r="GN34" i="1"/>
  <c r="CP85" i="1"/>
  <c r="O85" i="1" s="1"/>
  <c r="AJ30" i="1"/>
  <c r="W44" i="1"/>
  <c r="CY85" i="1"/>
  <c r="X85" i="1" s="1"/>
  <c r="CZ85" i="1"/>
  <c r="Y85" i="1" s="1"/>
  <c r="AL89" i="1" s="1"/>
  <c r="AD44" i="1"/>
  <c r="AO120" i="1"/>
  <c r="F129" i="1"/>
  <c r="AO75" i="1"/>
  <c r="F93" i="1"/>
  <c r="GM204" i="1"/>
  <c r="GO204" i="1"/>
  <c r="CG156" i="1"/>
  <c r="AX163" i="1"/>
  <c r="AJ194" i="1"/>
  <c r="W214" i="1"/>
  <c r="AJ245" i="1"/>
  <c r="W252" i="1"/>
  <c r="CB245" i="1"/>
  <c r="AS252" i="1"/>
  <c r="BB245" i="1"/>
  <c r="F265" i="1"/>
  <c r="AU194" i="1"/>
  <c r="F233" i="1"/>
  <c r="AE283" i="1"/>
  <c r="R289" i="1"/>
  <c r="GN331" i="1"/>
  <c r="GM331" i="1"/>
  <c r="GM286" i="1"/>
  <c r="GN286" i="1"/>
  <c r="GM247" i="1"/>
  <c r="AB252" i="1"/>
  <c r="GO247" i="1"/>
  <c r="AQ283" i="1"/>
  <c r="F299" i="1"/>
  <c r="P289" i="1"/>
  <c r="CE289" i="1"/>
  <c r="CF289" i="1"/>
  <c r="AC283" i="1"/>
  <c r="CH289" i="1"/>
  <c r="GM377" i="1"/>
  <c r="GP377" i="1"/>
  <c r="GM337" i="1"/>
  <c r="GO337" i="1"/>
  <c r="GN287" i="1"/>
  <c r="AK383" i="1"/>
  <c r="AU320" i="1"/>
  <c r="F358" i="1"/>
  <c r="GM374" i="1"/>
  <c r="GP374" i="1"/>
  <c r="GM373" i="1"/>
  <c r="GP373" i="1"/>
  <c r="BA370" i="1"/>
  <c r="F403" i="1"/>
  <c r="AQ89" i="1"/>
  <c r="BZ75" i="1"/>
  <c r="W289" i="1"/>
  <c r="AJ283" i="1"/>
  <c r="U329" i="1"/>
  <c r="AH339" i="1" s="1"/>
  <c r="V44" i="1"/>
  <c r="AI30" i="1"/>
  <c r="GN84" i="1"/>
  <c r="GM84" i="1"/>
  <c r="GM32" i="1"/>
  <c r="GN32" i="1"/>
  <c r="AB44" i="1"/>
  <c r="W125" i="1"/>
  <c r="AJ120" i="1"/>
  <c r="AQ125" i="1"/>
  <c r="BZ120" i="1"/>
  <c r="GM83" i="1"/>
  <c r="GN83" i="1"/>
  <c r="AI156" i="1"/>
  <c r="V163" i="1"/>
  <c r="AL163" i="1"/>
  <c r="CE120" i="1"/>
  <c r="AV125" i="1"/>
  <c r="GO201" i="1"/>
  <c r="GM201" i="1"/>
  <c r="AG156" i="1"/>
  <c r="T163" i="1"/>
  <c r="GM207" i="1"/>
  <c r="GO207" i="1"/>
  <c r="CH125" i="1"/>
  <c r="AE214" i="1"/>
  <c r="GM211" i="1"/>
  <c r="GO211" i="1"/>
  <c r="GM206" i="1"/>
  <c r="GO206" i="1"/>
  <c r="AF283" i="1"/>
  <c r="S289" i="1"/>
  <c r="AQ245" i="1"/>
  <c r="F262" i="1"/>
  <c r="GM324" i="1"/>
  <c r="GO324" i="1"/>
  <c r="T289" i="1"/>
  <c r="AG283" i="1"/>
  <c r="AQ320" i="1"/>
  <c r="F349" i="1"/>
  <c r="FR325" i="1"/>
  <c r="BY339" i="1" s="1"/>
  <c r="CP325" i="1"/>
  <c r="O325" i="1" s="1"/>
  <c r="GM325" i="1" s="1"/>
  <c r="BB320" i="1"/>
  <c r="F352" i="1"/>
  <c r="GM376" i="1"/>
  <c r="GP376" i="1"/>
  <c r="GM379" i="1"/>
  <c r="GP379" i="1"/>
  <c r="AG370" i="1"/>
  <c r="T383" i="1"/>
  <c r="CY210" i="1"/>
  <c r="X210" i="1" s="1"/>
  <c r="CZ210" i="1"/>
  <c r="Y210" i="1" s="1"/>
  <c r="T245" i="1"/>
  <c r="F273" i="1"/>
  <c r="AZ194" i="1"/>
  <c r="F225" i="1"/>
  <c r="AE30" i="1"/>
  <c r="R44" i="1"/>
  <c r="CG44" i="1"/>
  <c r="BZ30" i="1"/>
  <c r="AQ44" i="1"/>
  <c r="AH75" i="1"/>
  <c r="U89" i="1"/>
  <c r="AF75" i="1"/>
  <c r="S89" i="1"/>
  <c r="CI125" i="1"/>
  <c r="CP196" i="1"/>
  <c r="O196" i="1" s="1"/>
  <c r="AC214" i="1"/>
  <c r="AK163" i="1"/>
  <c r="BY156" i="1"/>
  <c r="CI163" i="1"/>
  <c r="AP163" i="1"/>
  <c r="GO209" i="1"/>
  <c r="GM209" i="1"/>
  <c r="CC156" i="1"/>
  <c r="AT163" i="1"/>
  <c r="AH156" i="1"/>
  <c r="U163" i="1"/>
  <c r="AQ156" i="1"/>
  <c r="F173" i="1"/>
  <c r="F178" i="1"/>
  <c r="S156" i="1"/>
  <c r="CJ194" i="1"/>
  <c r="BA214" i="1"/>
  <c r="F231" i="1"/>
  <c r="AS194" i="1"/>
  <c r="CP210" i="1"/>
  <c r="O210" i="1" s="1"/>
  <c r="CE245" i="1"/>
  <c r="AV252" i="1"/>
  <c r="CJ283" i="1"/>
  <c r="BA289" i="1"/>
  <c r="AL289" i="1"/>
  <c r="CY330" i="1"/>
  <c r="X330" i="1" s="1"/>
  <c r="GM330" i="1" s="1"/>
  <c r="CZ330" i="1"/>
  <c r="Y330" i="1" s="1"/>
  <c r="AH283" i="1"/>
  <c r="U289" i="1"/>
  <c r="Q245" i="1"/>
  <c r="F264" i="1"/>
  <c r="GM381" i="1"/>
  <c r="GN381" i="1"/>
  <c r="CB383" i="1" s="1"/>
  <c r="CI370" i="1"/>
  <c r="AZ383" i="1"/>
  <c r="AT370" i="1"/>
  <c r="F401" i="1"/>
  <c r="AF120" i="1"/>
  <c r="S125" i="1"/>
  <c r="GM161" i="1"/>
  <c r="GN161" i="1"/>
  <c r="CJ245" i="1"/>
  <c r="BA252" i="1"/>
  <c r="F255" i="1"/>
  <c r="P245" i="1"/>
  <c r="S329" i="1"/>
  <c r="F48" i="1"/>
  <c r="AO30" i="1"/>
  <c r="AO412" i="1"/>
  <c r="GM36" i="1"/>
  <c r="GN36" i="1"/>
  <c r="F53" i="1"/>
  <c r="AP30" i="1"/>
  <c r="GK78" i="1"/>
  <c r="GM78" i="1" s="1"/>
  <c r="AE89" i="1"/>
  <c r="GM41" i="1"/>
  <c r="GN41" i="1"/>
  <c r="GM38" i="1"/>
  <c r="GN38" i="1"/>
  <c r="CJ75" i="1"/>
  <c r="BA89" i="1"/>
  <c r="CG125" i="1"/>
  <c r="AK89" i="1"/>
  <c r="GM86" i="1"/>
  <c r="AP120" i="1"/>
  <c r="F134" i="1"/>
  <c r="AJ156" i="1"/>
  <c r="W163" i="1"/>
  <c r="GM122" i="1"/>
  <c r="GN122" i="1"/>
  <c r="AB125" i="1"/>
  <c r="GM198" i="1"/>
  <c r="GO198" i="1"/>
  <c r="CG194" i="1"/>
  <c r="AX214" i="1"/>
  <c r="GM212" i="1"/>
  <c r="GO212" i="1"/>
  <c r="CH245" i="1"/>
  <c r="AY252" i="1"/>
  <c r="X289" i="1"/>
  <c r="AK283" i="1"/>
  <c r="CI289" i="1"/>
  <c r="BY283" i="1"/>
  <c r="AP289" i="1"/>
  <c r="GX329" i="1"/>
  <c r="CJ339" i="1" s="1"/>
  <c r="CY336" i="1"/>
  <c r="X336" i="1" s="1"/>
  <c r="GM336" i="1" s="1"/>
  <c r="CZ336" i="1"/>
  <c r="Y336" i="1" s="1"/>
  <c r="F312" i="1"/>
  <c r="V283" i="1"/>
  <c r="F307" i="1"/>
  <c r="AT283" i="1"/>
  <c r="GM380" i="1"/>
  <c r="GP380" i="1"/>
  <c r="GM333" i="1"/>
  <c r="GO333" i="1"/>
  <c r="AQ370" i="1"/>
  <c r="F393" i="1"/>
  <c r="AS163" i="1" l="1"/>
  <c r="CB156" i="1"/>
  <c r="Y89" i="1"/>
  <c r="AL75" i="1"/>
  <c r="CJ320" i="1"/>
  <c r="BA339" i="1"/>
  <c r="BA194" i="1"/>
  <c r="F234" i="1"/>
  <c r="F181" i="1"/>
  <c r="AT156" i="1"/>
  <c r="P214" i="1"/>
  <c r="CE214" i="1"/>
  <c r="CF214" i="1"/>
  <c r="AC194" i="1"/>
  <c r="CH214" i="1"/>
  <c r="AQ75" i="1"/>
  <c r="F99" i="1"/>
  <c r="AK214" i="1"/>
  <c r="GM332" i="1"/>
  <c r="GO332" i="1"/>
  <c r="AB289" i="1"/>
  <c r="GM285" i="1"/>
  <c r="CA289" i="1" s="1"/>
  <c r="GN285" i="1"/>
  <c r="CB289" i="1" s="1"/>
  <c r="AK245" i="1"/>
  <c r="X252" i="1"/>
  <c r="AW120" i="1"/>
  <c r="F131" i="1"/>
  <c r="X120" i="1"/>
  <c r="F150" i="1"/>
  <c r="U370" i="1"/>
  <c r="F405" i="1"/>
  <c r="R370" i="1"/>
  <c r="F397" i="1"/>
  <c r="O163" i="1"/>
  <c r="AB156" i="1"/>
  <c r="V370" i="1"/>
  <c r="F406" i="1"/>
  <c r="AW245" i="1"/>
  <c r="F258" i="1"/>
  <c r="CP329" i="1"/>
  <c r="O329" i="1" s="1"/>
  <c r="CC30" i="1"/>
  <c r="AT44" i="1"/>
  <c r="AL283" i="1"/>
  <c r="Y289" i="1"/>
  <c r="GM196" i="1"/>
  <c r="GO196" i="1"/>
  <c r="AB214" i="1"/>
  <c r="AK370" i="1"/>
  <c r="X383" i="1"/>
  <c r="CF283" i="1"/>
  <c r="AW289" i="1"/>
  <c r="AX156" i="1"/>
  <c r="F170" i="1"/>
  <c r="AD30" i="1"/>
  <c r="Q44" i="1"/>
  <c r="R163" i="1"/>
  <c r="AE156" i="1"/>
  <c r="AL370" i="1"/>
  <c r="Y383" i="1"/>
  <c r="AI320" i="1"/>
  <c r="V339" i="1"/>
  <c r="AF245" i="1"/>
  <c r="S252" i="1"/>
  <c r="AC320" i="1"/>
  <c r="CE339" i="1"/>
  <c r="CF339" i="1"/>
  <c r="CH339" i="1"/>
  <c r="P339" i="1"/>
  <c r="GO330" i="1"/>
  <c r="CC339" i="1" s="1"/>
  <c r="GM158" i="1"/>
  <c r="CA163" i="1" s="1"/>
  <c r="AU30" i="1"/>
  <c r="F63" i="1"/>
  <c r="BB26" i="1"/>
  <c r="BB441" i="1"/>
  <c r="F425" i="1"/>
  <c r="AC156" i="1"/>
  <c r="P163" i="1"/>
  <c r="CE163" i="1"/>
  <c r="CF163" i="1"/>
  <c r="CH163" i="1"/>
  <c r="Y120" i="1"/>
  <c r="F151" i="1"/>
  <c r="AX75" i="1"/>
  <c r="F96" i="1"/>
  <c r="GO336" i="1"/>
  <c r="Q194" i="1"/>
  <c r="F226" i="1"/>
  <c r="CB370" i="1"/>
  <c r="AS383" i="1"/>
  <c r="O125" i="1"/>
  <c r="AB120" i="1"/>
  <c r="AZ125" i="1"/>
  <c r="CI120" i="1"/>
  <c r="F58" i="1"/>
  <c r="R30" i="1"/>
  <c r="T370" i="1"/>
  <c r="F404" i="1"/>
  <c r="AE194" i="1"/>
  <c r="R214" i="1"/>
  <c r="AV120" i="1"/>
  <c r="F130" i="1"/>
  <c r="AQ120" i="1"/>
  <c r="F135" i="1"/>
  <c r="CE283" i="1"/>
  <c r="AV289" i="1"/>
  <c r="T30" i="1"/>
  <c r="F65" i="1"/>
  <c r="T412" i="1"/>
  <c r="F259" i="1"/>
  <c r="AX245" i="1"/>
  <c r="AL245" i="1"/>
  <c r="Y252" i="1"/>
  <c r="GN323" i="1"/>
  <c r="GM323" i="1"/>
  <c r="BC26" i="1"/>
  <c r="F428" i="1"/>
  <c r="BC441" i="1"/>
  <c r="F64" i="1"/>
  <c r="BA30" i="1"/>
  <c r="BA412" i="1"/>
  <c r="AU75" i="1"/>
  <c r="F108" i="1"/>
  <c r="GO250" i="1"/>
  <c r="U194" i="1"/>
  <c r="F236" i="1"/>
  <c r="V75" i="1"/>
  <c r="F112" i="1"/>
  <c r="AO26" i="1"/>
  <c r="AO441" i="1"/>
  <c r="F416" i="1"/>
  <c r="AK75" i="1"/>
  <c r="X89" i="1"/>
  <c r="AX125" i="1"/>
  <c r="CG120" i="1"/>
  <c r="S120" i="1"/>
  <c r="F140" i="1"/>
  <c r="BA75" i="1"/>
  <c r="F109" i="1"/>
  <c r="CY329" i="1"/>
  <c r="X329" i="1" s="1"/>
  <c r="AK339" i="1" s="1"/>
  <c r="CZ329" i="1"/>
  <c r="Y329" i="1" s="1"/>
  <c r="AL339" i="1" s="1"/>
  <c r="AF339" i="1"/>
  <c r="AV245" i="1"/>
  <c r="F257" i="1"/>
  <c r="S75" i="1"/>
  <c r="F104" i="1"/>
  <c r="BY320" i="1"/>
  <c r="AP339" i="1"/>
  <c r="AP412" i="1" s="1"/>
  <c r="CI339" i="1"/>
  <c r="AY125" i="1"/>
  <c r="CH120" i="1"/>
  <c r="V30" i="1"/>
  <c r="F67" i="1"/>
  <c r="V412" i="1"/>
  <c r="P283" i="1"/>
  <c r="F292" i="1"/>
  <c r="AS245" i="1"/>
  <c r="F269" i="1"/>
  <c r="U245" i="1"/>
  <c r="F274" i="1"/>
  <c r="Q156" i="1"/>
  <c r="F175" i="1"/>
  <c r="GM250" i="1"/>
  <c r="CA252" i="1" s="1"/>
  <c r="GN78" i="1"/>
  <c r="AY245" i="1"/>
  <c r="F260" i="1"/>
  <c r="AP283" i="1"/>
  <c r="F298" i="1"/>
  <c r="F187" i="1"/>
  <c r="W156" i="1"/>
  <c r="F311" i="1"/>
  <c r="U283" i="1"/>
  <c r="AP156" i="1"/>
  <c r="F172" i="1"/>
  <c r="F304" i="1"/>
  <c r="S283" i="1"/>
  <c r="AL156" i="1"/>
  <c r="Y163" i="1"/>
  <c r="W120" i="1"/>
  <c r="F149" i="1"/>
  <c r="AH320" i="1"/>
  <c r="U339" i="1"/>
  <c r="W30" i="1"/>
  <c r="F68" i="1"/>
  <c r="F296" i="1"/>
  <c r="AX283" i="1"/>
  <c r="BA156" i="1"/>
  <c r="F183" i="1"/>
  <c r="AB370" i="1"/>
  <c r="O383" i="1"/>
  <c r="R245" i="1"/>
  <c r="F266" i="1"/>
  <c r="AZ30" i="1"/>
  <c r="F55" i="1"/>
  <c r="S370" i="1"/>
  <c r="F398" i="1"/>
  <c r="AC30" i="1"/>
  <c r="CH44" i="1"/>
  <c r="P44" i="1"/>
  <c r="CF44" i="1"/>
  <c r="CE44" i="1"/>
  <c r="Q120" i="1"/>
  <c r="F137" i="1"/>
  <c r="X283" i="1"/>
  <c r="F314" i="1"/>
  <c r="AE75" i="1"/>
  <c r="R89" i="1"/>
  <c r="R412" i="1" s="1"/>
  <c r="BA283" i="1"/>
  <c r="F309" i="1"/>
  <c r="CG30" i="1"/>
  <c r="AX44" i="1"/>
  <c r="AX194" i="1"/>
  <c r="F221" i="1"/>
  <c r="GM210" i="1"/>
  <c r="GO210" i="1"/>
  <c r="CI156" i="1"/>
  <c r="AZ163" i="1"/>
  <c r="U75" i="1"/>
  <c r="F111" i="1"/>
  <c r="F186" i="1"/>
  <c r="V156" i="1"/>
  <c r="AB30" i="1"/>
  <c r="O44" i="1"/>
  <c r="F303" i="1"/>
  <c r="R283" i="1"/>
  <c r="W245" i="1"/>
  <c r="F276" i="1"/>
  <c r="AC370" i="1"/>
  <c r="CE383" i="1"/>
  <c r="CF383" i="1"/>
  <c r="CH383" i="1"/>
  <c r="P383" i="1"/>
  <c r="F301" i="1"/>
  <c r="Q283" i="1"/>
  <c r="CA383" i="1"/>
  <c r="F148" i="1"/>
  <c r="V120" i="1"/>
  <c r="R120" i="1"/>
  <c r="F139" i="1"/>
  <c r="T194" i="1"/>
  <c r="F235" i="1"/>
  <c r="AK30" i="1"/>
  <c r="X44" i="1"/>
  <c r="W75" i="1"/>
  <c r="F113" i="1"/>
  <c r="U30" i="1"/>
  <c r="F66" i="1"/>
  <c r="U412" i="1"/>
  <c r="CI283" i="1"/>
  <c r="AZ289" i="1"/>
  <c r="U156" i="1"/>
  <c r="F185" i="1"/>
  <c r="T156" i="1"/>
  <c r="F184" i="1"/>
  <c r="CB44" i="1"/>
  <c r="W283" i="1"/>
  <c r="F313" i="1"/>
  <c r="CC252" i="1"/>
  <c r="AF194" i="1"/>
  <c r="S214" i="1"/>
  <c r="Q370" i="1"/>
  <c r="F395" i="1"/>
  <c r="AX370" i="1"/>
  <c r="F390" i="1"/>
  <c r="AE320" i="1"/>
  <c r="R339" i="1"/>
  <c r="CC75" i="1"/>
  <c r="AT89" i="1"/>
  <c r="AC75" i="1"/>
  <c r="CH89" i="1"/>
  <c r="P89" i="1"/>
  <c r="CF89" i="1"/>
  <c r="CE89" i="1"/>
  <c r="CD383" i="1"/>
  <c r="AD320" i="1"/>
  <c r="Q339" i="1"/>
  <c r="Y30" i="1"/>
  <c r="F70" i="1"/>
  <c r="AJ320" i="1"/>
  <c r="W339" i="1"/>
  <c r="AX320" i="1"/>
  <c r="F346" i="1"/>
  <c r="T75" i="1"/>
  <c r="F110" i="1"/>
  <c r="BA245" i="1"/>
  <c r="F272" i="1"/>
  <c r="F394" i="1"/>
  <c r="AZ370" i="1"/>
  <c r="AK156" i="1"/>
  <c r="X163" i="1"/>
  <c r="AQ30" i="1"/>
  <c r="F54" i="1"/>
  <c r="AQ412" i="1"/>
  <c r="T283" i="1"/>
  <c r="F310" i="1"/>
  <c r="CA44" i="1"/>
  <c r="AY289" i="1"/>
  <c r="CH283" i="1"/>
  <c r="AB245" i="1"/>
  <c r="O252" i="1"/>
  <c r="W194" i="1"/>
  <c r="F238" i="1"/>
  <c r="GM85" i="1"/>
  <c r="GN85" i="1"/>
  <c r="AL214" i="1"/>
  <c r="GM123" i="1"/>
  <c r="CA125" i="1" s="1"/>
  <c r="GN123" i="1"/>
  <c r="CB125" i="1" s="1"/>
  <c r="GM77" i="1"/>
  <c r="GN77" i="1"/>
  <c r="AB89" i="1"/>
  <c r="GO334" i="1"/>
  <c r="GM334" i="1"/>
  <c r="CI75" i="1"/>
  <c r="AZ89" i="1"/>
  <c r="F59" i="1"/>
  <c r="S30" i="1"/>
  <c r="V194" i="1"/>
  <c r="F237" i="1"/>
  <c r="T320" i="1"/>
  <c r="F360" i="1"/>
  <c r="Q75" i="1"/>
  <c r="F101" i="1"/>
  <c r="CA120" i="1" l="1"/>
  <c r="AR125" i="1"/>
  <c r="CB120" i="1"/>
  <c r="AS125" i="1"/>
  <c r="R26" i="1"/>
  <c r="R441" i="1"/>
  <c r="F426" i="1"/>
  <c r="CC320" i="1"/>
  <c r="AT339" i="1"/>
  <c r="AP26" i="1"/>
  <c r="F421" i="1"/>
  <c r="AP441" i="1"/>
  <c r="CA245" i="1"/>
  <c r="AR252" i="1"/>
  <c r="P75" i="1"/>
  <c r="F92" i="1"/>
  <c r="CA89" i="1"/>
  <c r="O245" i="1"/>
  <c r="F254" i="1"/>
  <c r="CE370" i="1"/>
  <c r="AV383" i="1"/>
  <c r="O370" i="1"/>
  <c r="F385" i="1"/>
  <c r="AV283" i="1"/>
  <c r="F294" i="1"/>
  <c r="F127" i="1"/>
  <c r="O120" i="1"/>
  <c r="BB22" i="1"/>
  <c r="BB470" i="1"/>
  <c r="F454" i="1"/>
  <c r="CH320" i="1"/>
  <c r="AY339" i="1"/>
  <c r="Y370" i="1"/>
  <c r="F409" i="1"/>
  <c r="F295" i="1"/>
  <c r="AW283" i="1"/>
  <c r="BA320" i="1"/>
  <c r="F359" i="1"/>
  <c r="AB75" i="1"/>
  <c r="O89" i="1"/>
  <c r="Q320" i="1"/>
  <c r="F351" i="1"/>
  <c r="AT75" i="1"/>
  <c r="F107" i="1"/>
  <c r="S194" i="1"/>
  <c r="F229" i="1"/>
  <c r="U320" i="1"/>
  <c r="F361" i="1"/>
  <c r="AY120" i="1"/>
  <c r="F133" i="1"/>
  <c r="S339" i="1"/>
  <c r="AF320" i="1"/>
  <c r="BA26" i="1"/>
  <c r="BA441" i="1"/>
  <c r="F432" i="1"/>
  <c r="Y245" i="1"/>
  <c r="F278" i="1"/>
  <c r="AS370" i="1"/>
  <c r="F400" i="1"/>
  <c r="AW339" i="1"/>
  <c r="CF320" i="1"/>
  <c r="AT30" i="1"/>
  <c r="F62" i="1"/>
  <c r="O156" i="1"/>
  <c r="F165" i="1"/>
  <c r="CF194" i="1"/>
  <c r="AW214" i="1"/>
  <c r="AZ75" i="1"/>
  <c r="F100" i="1"/>
  <c r="X156" i="1"/>
  <c r="F188" i="1"/>
  <c r="X30" i="1"/>
  <c r="F69" i="1"/>
  <c r="CA370" i="1"/>
  <c r="AR383" i="1"/>
  <c r="F51" i="1"/>
  <c r="AX30" i="1"/>
  <c r="AX412" i="1"/>
  <c r="CI320" i="1"/>
  <c r="AZ339" i="1"/>
  <c r="AL320" i="1"/>
  <c r="Y339" i="1"/>
  <c r="AX120" i="1"/>
  <c r="F132" i="1"/>
  <c r="AY163" i="1"/>
  <c r="CH156" i="1"/>
  <c r="CE320" i="1"/>
  <c r="AV339" i="1"/>
  <c r="X370" i="1"/>
  <c r="F408" i="1"/>
  <c r="X214" i="1"/>
  <c r="AK194" i="1"/>
  <c r="CE194" i="1"/>
  <c r="AV214" i="1"/>
  <c r="AL194" i="1"/>
  <c r="Y214" i="1"/>
  <c r="CD370" i="1"/>
  <c r="AU383" i="1"/>
  <c r="R320" i="1"/>
  <c r="F353" i="1"/>
  <c r="AT252" i="1"/>
  <c r="CC245" i="1"/>
  <c r="AZ283" i="1"/>
  <c r="F300" i="1"/>
  <c r="AZ412" i="1"/>
  <c r="AP320" i="1"/>
  <c r="F348" i="1"/>
  <c r="AK320" i="1"/>
  <c r="X339" i="1"/>
  <c r="CF156" i="1"/>
  <c r="AW163" i="1"/>
  <c r="R156" i="1"/>
  <c r="F177" i="1"/>
  <c r="GN329" i="1"/>
  <c r="CB339" i="1" s="1"/>
  <c r="GM329" i="1"/>
  <c r="CA339" i="1" s="1"/>
  <c r="X245" i="1"/>
  <c r="F277" i="1"/>
  <c r="P194" i="1"/>
  <c r="F217" i="1"/>
  <c r="AY283" i="1"/>
  <c r="F297" i="1"/>
  <c r="CA30" i="1"/>
  <c r="AR44" i="1"/>
  <c r="W320" i="1"/>
  <c r="F363" i="1"/>
  <c r="CE75" i="1"/>
  <c r="AV89" i="1"/>
  <c r="AZ156" i="1"/>
  <c r="F174" i="1"/>
  <c r="CE30" i="1"/>
  <c r="AV44" i="1"/>
  <c r="X75" i="1"/>
  <c r="F114" i="1"/>
  <c r="BC22" i="1"/>
  <c r="F457" i="1"/>
  <c r="BC470" i="1"/>
  <c r="CE156" i="1"/>
  <c r="AV163" i="1"/>
  <c r="S245" i="1"/>
  <c r="F267" i="1"/>
  <c r="F56" i="1"/>
  <c r="Q30" i="1"/>
  <c r="Q412" i="1"/>
  <c r="AB194" i="1"/>
  <c r="O214" i="1"/>
  <c r="Y75" i="1"/>
  <c r="F115" i="1"/>
  <c r="CF75" i="1"/>
  <c r="AW89" i="1"/>
  <c r="U26" i="1"/>
  <c r="F434" i="1"/>
  <c r="U441" i="1"/>
  <c r="P370" i="1"/>
  <c r="F386" i="1"/>
  <c r="CF30" i="1"/>
  <c r="AW44" i="1"/>
  <c r="Y156" i="1"/>
  <c r="F189" i="1"/>
  <c r="V26" i="1"/>
  <c r="V441" i="1"/>
  <c r="F435" i="1"/>
  <c r="T26" i="1"/>
  <c r="T441" i="1"/>
  <c r="F433" i="1"/>
  <c r="P156" i="1"/>
  <c r="F166" i="1"/>
  <c r="AR163" i="1"/>
  <c r="CA156" i="1"/>
  <c r="CC214" i="1"/>
  <c r="CB283" i="1"/>
  <c r="AS289" i="1"/>
  <c r="AB339" i="1"/>
  <c r="CH370" i="1"/>
  <c r="AY383" i="1"/>
  <c r="O30" i="1"/>
  <c r="F46" i="1"/>
  <c r="R75" i="1"/>
  <c r="F103" i="1"/>
  <c r="P30" i="1"/>
  <c r="F47" i="1"/>
  <c r="P412" i="1"/>
  <c r="W412" i="1"/>
  <c r="R194" i="1"/>
  <c r="F228" i="1"/>
  <c r="AZ120" i="1"/>
  <c r="F136" i="1"/>
  <c r="V320" i="1"/>
  <c r="F362" i="1"/>
  <c r="CA214" i="1"/>
  <c r="CA283" i="1"/>
  <c r="AR289" i="1"/>
  <c r="CB30" i="1"/>
  <c r="AS44" i="1"/>
  <c r="CB89" i="1"/>
  <c r="AQ26" i="1"/>
  <c r="F422" i="1"/>
  <c r="AQ441" i="1"/>
  <c r="AY89" i="1"/>
  <c r="CH75" i="1"/>
  <c r="CF370" i="1"/>
  <c r="AW383" i="1"/>
  <c r="CH30" i="1"/>
  <c r="AY44" i="1"/>
  <c r="AO22" i="1"/>
  <c r="F445" i="1"/>
  <c r="AO470" i="1"/>
  <c r="P320" i="1"/>
  <c r="F342" i="1"/>
  <c r="F315" i="1"/>
  <c r="Y283" i="1"/>
  <c r="O289" i="1"/>
  <c r="AB283" i="1"/>
  <c r="CH194" i="1"/>
  <c r="AY214" i="1"/>
  <c r="AS156" i="1"/>
  <c r="F180" i="1"/>
  <c r="CB320" i="1" l="1"/>
  <c r="AS339" i="1"/>
  <c r="AY194" i="1"/>
  <c r="F222" i="1"/>
  <c r="AQ22" i="1"/>
  <c r="F451" i="1"/>
  <c r="AQ470" i="1"/>
  <c r="AW75" i="1"/>
  <c r="F95" i="1"/>
  <c r="F364" i="1"/>
  <c r="X320" i="1"/>
  <c r="AT245" i="1"/>
  <c r="F270" i="1"/>
  <c r="AY156" i="1"/>
  <c r="F171" i="1"/>
  <c r="O339" i="1"/>
  <c r="AB320" i="1"/>
  <c r="F50" i="1"/>
  <c r="AW30" i="1"/>
  <c r="AW412" i="1"/>
  <c r="BA22" i="1"/>
  <c r="BA470" i="1"/>
  <c r="F461" i="1"/>
  <c r="CB75" i="1"/>
  <c r="AS89" i="1"/>
  <c r="T22" i="1"/>
  <c r="F462" i="1"/>
  <c r="T470" i="1"/>
  <c r="AR30" i="1"/>
  <c r="F71" i="1"/>
  <c r="CA320" i="1"/>
  <c r="AR339" i="1"/>
  <c r="X194" i="1"/>
  <c r="F239" i="1"/>
  <c r="AR370" i="1"/>
  <c r="F410" i="1"/>
  <c r="BB18" i="1"/>
  <c r="F483" i="1"/>
  <c r="AV370" i="1"/>
  <c r="F388" i="1"/>
  <c r="AR245" i="1"/>
  <c r="F279" i="1"/>
  <c r="R22" i="1"/>
  <c r="R470" i="1"/>
  <c r="F455" i="1"/>
  <c r="F52" i="1"/>
  <c r="AY30" i="1"/>
  <c r="AY412" i="1"/>
  <c r="F306" i="1"/>
  <c r="AS283" i="1"/>
  <c r="F49" i="1"/>
  <c r="AV30" i="1"/>
  <c r="AV412" i="1"/>
  <c r="AW370" i="1"/>
  <c r="F389" i="1"/>
  <c r="AS30" i="1"/>
  <c r="F61" i="1"/>
  <c r="AS412" i="1"/>
  <c r="AV156" i="1"/>
  <c r="F168" i="1"/>
  <c r="AU370" i="1"/>
  <c r="F402" i="1"/>
  <c r="AU412" i="1"/>
  <c r="Y320" i="1"/>
  <c r="F365" i="1"/>
  <c r="AW194" i="1"/>
  <c r="F220" i="1"/>
  <c r="AW320" i="1"/>
  <c r="F345" i="1"/>
  <c r="AT214" i="1"/>
  <c r="CC194" i="1"/>
  <c r="O194" i="1"/>
  <c r="F216" i="1"/>
  <c r="AZ26" i="1"/>
  <c r="F423" i="1"/>
  <c r="AZ441" i="1"/>
  <c r="X412" i="1"/>
  <c r="S320" i="1"/>
  <c r="F354" i="1"/>
  <c r="S412" i="1"/>
  <c r="AP22" i="1"/>
  <c r="F450" i="1"/>
  <c r="G16" i="2" s="1"/>
  <c r="G18" i="2" s="1"/>
  <c r="AP470" i="1"/>
  <c r="AS120" i="1"/>
  <c r="F142" i="1"/>
  <c r="AR283" i="1"/>
  <c r="F316" i="1"/>
  <c r="V22" i="1"/>
  <c r="V470" i="1"/>
  <c r="F464" i="1"/>
  <c r="U22" i="1"/>
  <c r="U470" i="1"/>
  <c r="F463" i="1"/>
  <c r="BC18" i="1"/>
  <c r="F486" i="1"/>
  <c r="Y194" i="1"/>
  <c r="F240" i="1"/>
  <c r="Y412" i="1"/>
  <c r="AV320" i="1"/>
  <c r="F344" i="1"/>
  <c r="F350" i="1"/>
  <c r="AZ320" i="1"/>
  <c r="AO18" i="1"/>
  <c r="F474" i="1"/>
  <c r="AY75" i="1"/>
  <c r="F97" i="1"/>
  <c r="W26" i="1"/>
  <c r="W441" i="1"/>
  <c r="F436" i="1"/>
  <c r="AR156" i="1"/>
  <c r="F190" i="1"/>
  <c r="Q26" i="1"/>
  <c r="Q441" i="1"/>
  <c r="F424" i="1"/>
  <c r="AV75" i="1"/>
  <c r="F94" i="1"/>
  <c r="AW156" i="1"/>
  <c r="F169" i="1"/>
  <c r="CA75" i="1"/>
  <c r="AR89" i="1"/>
  <c r="AR412" i="1" s="1"/>
  <c r="AR120" i="1"/>
  <c r="F152" i="1"/>
  <c r="O283" i="1"/>
  <c r="F291" i="1"/>
  <c r="CA194" i="1"/>
  <c r="AR214" i="1"/>
  <c r="P26" i="1"/>
  <c r="P441" i="1"/>
  <c r="F415" i="1"/>
  <c r="AY370" i="1"/>
  <c r="F391" i="1"/>
  <c r="AV194" i="1"/>
  <c r="F219" i="1"/>
  <c r="AX26" i="1"/>
  <c r="AX441" i="1"/>
  <c r="F419" i="1"/>
  <c r="O75" i="1"/>
  <c r="F91" i="1"/>
  <c r="AY320" i="1"/>
  <c r="F347" i="1"/>
  <c r="AT320" i="1"/>
  <c r="F357" i="1"/>
  <c r="AR26" i="1" l="1"/>
  <c r="F439" i="1"/>
  <c r="AR441" i="1"/>
  <c r="AR194" i="1"/>
  <c r="F241" i="1"/>
  <c r="AT194" i="1"/>
  <c r="F232" i="1"/>
  <c r="AT412" i="1"/>
  <c r="AQ18" i="1"/>
  <c r="F480" i="1"/>
  <c r="X26" i="1"/>
  <c r="F437" i="1"/>
  <c r="X441" i="1"/>
  <c r="AV26" i="1"/>
  <c r="AV441" i="1"/>
  <c r="F417" i="1"/>
  <c r="BA18" i="1"/>
  <c r="F490" i="1"/>
  <c r="W22" i="1"/>
  <c r="F465" i="1"/>
  <c r="W470" i="1"/>
  <c r="U18" i="1"/>
  <c r="F492" i="1"/>
  <c r="AZ22" i="1"/>
  <c r="AZ470" i="1"/>
  <c r="F452" i="1"/>
  <c r="R18" i="1"/>
  <c r="F484" i="1"/>
  <c r="AP18" i="1"/>
  <c r="F479" i="1"/>
  <c r="T18" i="1"/>
  <c r="F491" i="1"/>
  <c r="AW26" i="1"/>
  <c r="AW441" i="1"/>
  <c r="F418" i="1"/>
  <c r="Y26" i="1"/>
  <c r="F438" i="1"/>
  <c r="Y441" i="1"/>
  <c r="AS26" i="1"/>
  <c r="F429" i="1"/>
  <c r="AS441" i="1"/>
  <c r="Q22" i="1"/>
  <c r="Q470" i="1"/>
  <c r="F453" i="1"/>
  <c r="V18" i="1"/>
  <c r="F493" i="1"/>
  <c r="AS320" i="1"/>
  <c r="F356" i="1"/>
  <c r="P22" i="1"/>
  <c r="P470" i="1"/>
  <c r="F444" i="1"/>
  <c r="AR75" i="1"/>
  <c r="F116" i="1"/>
  <c r="S26" i="1"/>
  <c r="S441" i="1"/>
  <c r="F427" i="1"/>
  <c r="AY26" i="1"/>
  <c r="F420" i="1"/>
  <c r="AY441" i="1"/>
  <c r="F366" i="1"/>
  <c r="AR320" i="1"/>
  <c r="AS75" i="1"/>
  <c r="F106" i="1"/>
  <c r="AX22" i="1"/>
  <c r="F448" i="1"/>
  <c r="AX470" i="1"/>
  <c r="AU26" i="1"/>
  <c r="AU441" i="1"/>
  <c r="F431" i="1"/>
  <c r="O320" i="1"/>
  <c r="F341" i="1"/>
  <c r="O412" i="1"/>
  <c r="AT26" i="1" l="1"/>
  <c r="AT441" i="1"/>
  <c r="F430" i="1"/>
  <c r="S22" i="1"/>
  <c r="S470" i="1"/>
  <c r="F456" i="1"/>
  <c r="J16" i="2" s="1"/>
  <c r="J18" i="2" s="1"/>
  <c r="AV22" i="1"/>
  <c r="AV470" i="1"/>
  <c r="F446" i="1"/>
  <c r="Y22" i="1"/>
  <c r="F467" i="1"/>
  <c r="Y470" i="1"/>
  <c r="W18" i="1"/>
  <c r="F494" i="1"/>
  <c r="X22" i="1"/>
  <c r="F466" i="1"/>
  <c r="X470" i="1"/>
  <c r="O26" i="1"/>
  <c r="O441" i="1"/>
  <c r="F414" i="1"/>
  <c r="AY22" i="1"/>
  <c r="F449" i="1"/>
  <c r="AY470" i="1"/>
  <c r="Q18" i="1"/>
  <c r="F482" i="1"/>
  <c r="AR22" i="1"/>
  <c r="F468" i="1"/>
  <c r="AR470" i="1"/>
  <c r="AW22" i="1"/>
  <c r="AW470" i="1"/>
  <c r="F447" i="1"/>
  <c r="AU22" i="1"/>
  <c r="AU470" i="1"/>
  <c r="F460" i="1"/>
  <c r="H16" i="2" s="1"/>
  <c r="H18" i="2" s="1"/>
  <c r="AX18" i="1"/>
  <c r="F477" i="1"/>
  <c r="P18" i="1"/>
  <c r="F473" i="1"/>
  <c r="AS22" i="1"/>
  <c r="AS470" i="1"/>
  <c r="F458" i="1"/>
  <c r="E16" i="2" s="1"/>
  <c r="AZ18" i="1"/>
  <c r="F481" i="1"/>
  <c r="AS18" i="1" l="1"/>
  <c r="F487" i="1"/>
  <c r="AV18" i="1"/>
  <c r="F475" i="1"/>
  <c r="AY18" i="1"/>
  <c r="F478" i="1"/>
  <c r="S18" i="1"/>
  <c r="F485" i="1"/>
  <c r="AR18" i="1"/>
  <c r="F497" i="1"/>
  <c r="Y18" i="1"/>
  <c r="F496" i="1"/>
  <c r="O22" i="1"/>
  <c r="O470" i="1"/>
  <c r="F443" i="1"/>
  <c r="AT22" i="1"/>
  <c r="AT470" i="1"/>
  <c r="F459" i="1"/>
  <c r="F16" i="2" s="1"/>
  <c r="F18" i="2" s="1"/>
  <c r="AW18" i="1"/>
  <c r="F476" i="1"/>
  <c r="I16" i="2"/>
  <c r="I18" i="2" s="1"/>
  <c r="E18" i="2"/>
  <c r="AU18" i="1"/>
  <c r="F489" i="1"/>
  <c r="X18" i="1"/>
  <c r="F495" i="1"/>
  <c r="O18" i="1" l="1"/>
  <c r="F472" i="1"/>
  <c r="AT18" i="1"/>
  <c r="F488" i="1"/>
</calcChain>
</file>

<file path=xl/sharedStrings.xml><?xml version="1.0" encoding="utf-8"?>
<sst xmlns="http://schemas.openxmlformats.org/spreadsheetml/2006/main" count="5597" uniqueCount="535">
  <si>
    <t>Smeta.RU  (495) 974-1589</t>
  </si>
  <si>
    <t>_PS_</t>
  </si>
  <si>
    <t>Smeta.RU</t>
  </si>
  <si>
    <t/>
  </si>
  <si>
    <t>04-18-04.1</t>
  </si>
  <si>
    <t>04-18-04.1 Наружное электроснабжение</t>
  </si>
  <si>
    <t>Сметные нормы списания</t>
  </si>
  <si>
    <t>Коды ОКП для ТСН-2001 МГЭ</t>
  </si>
  <si>
    <t>Типовой расчет для ТСН-2001 МГЭ (Строительство), Доп 45, новая методика [Детский спортивный центр]</t>
  </si>
  <si>
    <t>Территориальные сметные нормативы для Москвы ТСН-2001 (МГЭ)</t>
  </si>
  <si>
    <t>Поправки для ТСН-2001 от 01.02.2017 г.</t>
  </si>
  <si>
    <t>04-14-03.1</t>
  </si>
  <si>
    <t>Наружное электроснабжение</t>
  </si>
  <si>
    <t>Новый раздел</t>
  </si>
  <si>
    <t>Строительные работы</t>
  </si>
  <si>
    <t>Новый подраздел</t>
  </si>
  <si>
    <t>Траншея 1.1</t>
  </si>
  <si>
    <t>1</t>
  </si>
  <si>
    <t>3.1-3-2</t>
  </si>
  <si>
    <t>Разработка грунта в отвал экскаваторами с ковшом вместимостью 0,25 м3 группа грунтов 1-3 / 90%</t>
  </si>
  <si>
    <t>100 м3 грунта</t>
  </si>
  <si>
    <t>ТСН-2001.3. Доп. 1-42. Сб. 1, т. 3, поз. 2</t>
  </si>
  <si>
    <t>ТСН-2001.3-1. 1-1...1-7</t>
  </si>
  <si>
    <t>ТСН-2001.3-1-1</t>
  </si>
  <si>
    <t>2</t>
  </si>
  <si>
    <t>3.1-7-2</t>
  </si>
  <si>
    <t>Разработка грунта с погрузкой на автомобили-самосвалы экскаваторами с ковшом вместимостью 0,25 м3 группа грунтов 1-3</t>
  </si>
  <si>
    <t>ТСН-2001.3. Доп. 1-42. Сб. 1, т. 7, поз. 2</t>
  </si>
  <si>
    <t>3</t>
  </si>
  <si>
    <t>3.1-51-1</t>
  </si>
  <si>
    <t>Разработка грунта вручную в траншеях глубиной до 2 м без креплений с откосами группа грунтов 1-3 / 10%</t>
  </si>
  <si>
    <t>ТСН-2001.3. Доп. 1-42. Сб. 1, т. 51, поз. 1</t>
  </si>
  <si>
    <t>ТСН-2001.3-1. 1-49...1-55</t>
  </si>
  <si>
    <t>ТСН-2001.3-1-15</t>
  </si>
  <si>
    <t>4</t>
  </si>
  <si>
    <t>4.8-74-1</t>
  </si>
  <si>
    <t>Устройство постели при одном кабеле в траншее</t>
  </si>
  <si>
    <t>100 М КАБЕЛЯ</t>
  </si>
  <si>
    <t>ТСН-2001.4. Доп. 1-42. Сб. 8, т. 74, поз. 1</t>
  </si>
  <si>
    <t>Монтаж оборудования</t>
  </si>
  <si>
    <t>ТСН-2001.4-8. 8-73...8-80</t>
  </si>
  <si>
    <t>ТСН-2001.4-8-3</t>
  </si>
  <si>
    <t>5</t>
  </si>
  <si>
    <t>1.1-1-766</t>
  </si>
  <si>
    <t>Песок для строительных работ, рядовой</t>
  </si>
  <si>
    <t>м3</t>
  </si>
  <si>
    <t>ТСН-2001.1. Доп. 1-42. Р. 1, о. 1, поз. 766</t>
  </si>
  <si>
    <t>ТСН-2001.3-27. 27-1...27-21</t>
  </si>
  <si>
    <t>ТСН-2001.3-27-1</t>
  </si>
  <si>
    <t>6</t>
  </si>
  <si>
    <t>3.1-14-1</t>
  </si>
  <si>
    <t>Засыпка траншей и котлованов бульдозерами мощностью 59 (80) кВт (л.с.) при перемещении грунта до 5 м группа грунтов 1-3</t>
  </si>
  <si>
    <t>ТСН-2001.3. Доп. 1-42. Сб. 1, т. 14, поз. 1</t>
  </si>
  <si>
    <t>ТСН-2001.3-1. 1-11...1-17</t>
  </si>
  <si>
    <t>ТСН-2001.3-1-4</t>
  </si>
  <si>
    <t>6,1</t>
  </si>
  <si>
    <t>7</t>
  </si>
  <si>
    <t>Засыпка траншей и котлованов бульдозерами мощностью 59 (80) кВт (л.с.) при перемещении грунта до 5 м группа грунтов 1-3 / 90%</t>
  </si>
  <si>
    <t>8</t>
  </si>
  <si>
    <t>3.1-29-1</t>
  </si>
  <si>
    <t>Уплотнение грунта пневматическими трамбовками группа грунтов 1,2</t>
  </si>
  <si>
    <t>100 м3 уплотненного грунта</t>
  </si>
  <si>
    <t>ТСН-2001.3. Доп. 1-42. Сб. 1, т. 29, поз. 1</t>
  </si>
  <si>
    <t>ТСН-2001.3-1. 1-29...1-33</t>
  </si>
  <si>
    <t>ТСН-2001.3-1-9</t>
  </si>
  <si>
    <t>9</t>
  </si>
  <si>
    <t>3.1-30-1</t>
  </si>
  <si>
    <t>Полив водой уплотняемого грунта насыпей</t>
  </si>
  <si>
    <t>1000 м3 уплотненного грунта</t>
  </si>
  <si>
    <t>ТСН-2001.3. Доп. 1-42. Сб. 1, т. 30, поз. 1</t>
  </si>
  <si>
    <t>10</t>
  </si>
  <si>
    <t>3.1-53-1</t>
  </si>
  <si>
    <t>Засыпка вручную траншей, пазух котлованов и ям группа грунтов 1-3 / 10%</t>
  </si>
  <si>
    <t>ТСН-2001.3. Доп. 1-42. Сб. 1, т. 53, поз. 1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</si>
  <si>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</si>
  <si>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</si>
  <si>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</si>
  <si>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</si>
  <si>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</si>
  <si>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</si>
  <si>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</si>
  <si>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</si>
  <si>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</si>
  <si>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</si>
  <si>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</si>
  <si>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</si>
  <si>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</si>
  <si>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</si>
  <si>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</si>
  <si>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</si>
  <si>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</si>
  <si>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</si>
  <si>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</si>
  <si>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</si>
  <si>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</si>
  <si>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</si>
  <si>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</si>
  <si>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</si>
  <si>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</si>
  <si>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</si>
  <si>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</si>
  <si>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</si>
  <si>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</si>
  <si>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</si>
  <si>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</si>
  <si>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</si>
  <si>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</si>
  <si>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</si>
  <si>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</si>
  <si>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</si>
  <si>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</si>
  <si>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</si>
  <si>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</si>
  <si>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</si>
  <si>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</si>
  <si>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</si>
  <si>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</si>
  <si>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</si>
  <si>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</si>
  <si>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</si>
  <si>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</si>
  <si>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</si>
  <si>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</si>
  <si>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</si>
  <si>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</si>
  <si>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</si>
  <si>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Траншея 1.2</t>
  </si>
  <si>
    <t>11</t>
  </si>
  <si>
    <t>12</t>
  </si>
  <si>
    <t>13</t>
  </si>
  <si>
    <t>14</t>
  </si>
  <si>
    <t>15</t>
  </si>
  <si>
    <t>16</t>
  </si>
  <si>
    <t>16,1</t>
  </si>
  <si>
    <t>17</t>
  </si>
  <si>
    <t>18</t>
  </si>
  <si>
    <t>19</t>
  </si>
  <si>
    <t>20</t>
  </si>
  <si>
    <t>1.3</t>
  </si>
  <si>
    <t>21</t>
  </si>
  <si>
    <t>3.1-35-1</t>
  </si>
  <si>
    <t>Планировка площадей механизированным способом группа грунтов 1-3 / 90%</t>
  </si>
  <si>
    <t>1000 м2 спланированной площади</t>
  </si>
  <si>
    <t>ТСН-2001.3. Доп. 1-42. Сб. 1, т. 35, поз. 1</t>
  </si>
  <si>
    <t>ТСН-2001.3-1. 1-35-1</t>
  </si>
  <si>
    <t>ТСН-2001.3-1-10</t>
  </si>
  <si>
    <t>22</t>
  </si>
  <si>
    <t>3.1-35-2</t>
  </si>
  <si>
    <t>Планировка площадей ручным способом группа грунтов 1-3 / 10%</t>
  </si>
  <si>
    <t>ТСН-2001.3. Доп. 1-42. Сб. 1, т. 35, поз. 2</t>
  </si>
  <si>
    <t>ТСН-2001.3-1. 1-35-2, 1-35-3</t>
  </si>
  <si>
    <t>ТСН-2001.3-1-11</t>
  </si>
  <si>
    <t>3.2</t>
  </si>
  <si>
    <t>23</t>
  </si>
  <si>
    <t>Разработка грунта вручную в траншеях глубиной до 2 м без креплений с откосами группа грунтов 1-3</t>
  </si>
  <si>
    <t>24</t>
  </si>
  <si>
    <t>Засыпка вручную траншей, пазух котлованов и ям группа грунтов 1-3</t>
  </si>
  <si>
    <t>25</t>
  </si>
  <si>
    <t>26</t>
  </si>
  <si>
    <t>Планировка площадей ручным способом группа грунтов 1-3</t>
  </si>
  <si>
    <t>2.1</t>
  </si>
  <si>
    <t>2.1 Монтаж кабельной линии</t>
  </si>
  <si>
    <t>27</t>
  </si>
  <si>
    <t>4.8-73-4</t>
  </si>
  <si>
    <t>Кабели до 35 кВ в готовых траншеях без покрытий, кабель массой до 6 кг</t>
  </si>
  <si>
    <t>ТСН-2001.4. Доп. 1-42. Сб. 8, т. 73, поз. 4</t>
  </si>
  <si>
    <t>28</t>
  </si>
  <si>
    <t>4.8-80-4</t>
  </si>
  <si>
    <t>Кабели до 35 кВ в проложенных трубах, кабель, масса 1 м, до 6 кг</t>
  </si>
  <si>
    <t>ТСН-2001.4. Доп. 1-42. Сб. 8, т. 80, поз. 4</t>
  </si>
  <si>
    <t>29</t>
  </si>
  <si>
    <t>4.8-79-13</t>
  </si>
  <si>
    <t>Кабели до 35 кВ, прокладываемые по установленным конструкциям и лоткам, кабель с креплением по всей длине, масса 1 м, до 6 кг</t>
  </si>
  <si>
    <t>ТСН-2001.4. Доп. 1-42. Сб. 8, т. 79, поз. 13</t>
  </si>
  <si>
    <t>30</t>
  </si>
  <si>
    <t>1.23-7-582</t>
  </si>
  <si>
    <t>Кабели силовые с алюминиевыми жилами с изоляцией из силанольносшитого полиэтилена, защитный покров типа БбШп, напряжение 1000 В, марка АПвБбШп, число жил и сечение 4х185 мн</t>
  </si>
  <si>
    <t>км</t>
  </si>
  <si>
    <t>ТСН-2001.1. Доп. 1-42. Р. 23, о. 7, поз. 582</t>
  </si>
  <si>
    <t>Материалы монтажные</t>
  </si>
  <si>
    <t>ТСН-2001.1 Материалы монтажные</t>
  </si>
  <si>
    <t>ТСН-2001.1-2</t>
  </si>
  <si>
    <t>31</t>
  </si>
  <si>
    <t>32</t>
  </si>
  <si>
    <t>Кабели до 35 кВ в проложенных трубах, блоках и коробах, кабель, масса 1 м, до 6 кг</t>
  </si>
  <si>
    <t>33</t>
  </si>
  <si>
    <t>34</t>
  </si>
  <si>
    <t>1.23-7-578</t>
  </si>
  <si>
    <t>Кабели силовые с алюминиевыми жилами с изоляцией из силанольносшитого полиэтилена, защитный покров типа БбШп, напряжение 1000 В, марка АПвБбШп, число жил и сечение 4х120 мн мм2</t>
  </si>
  <si>
    <t>ТСН-2001.1. Доп. 1-42. Р. 23, о. 7, поз. 578</t>
  </si>
  <si>
    <t>35</t>
  </si>
  <si>
    <t>4.8-73-2</t>
  </si>
  <si>
    <t>Кабели до 35 кВ в готовых траншеях без покрытий, кабель массой до 2 кг</t>
  </si>
  <si>
    <t>ТСН-2001.4. Доп. 1-42. Сб. 8, т. 73, поз. 2</t>
  </si>
  <si>
    <t>36</t>
  </si>
  <si>
    <t>4.8-80-2</t>
  </si>
  <si>
    <t>Кабели до 35 кВ в проложенных трубах, блоках и коробах, кабель, масса 1 м, до 2 кг</t>
  </si>
  <si>
    <t>ТСН-2001.4. Доп. 1-42. Сб. 8, т. 80, поз. 2</t>
  </si>
  <si>
    <t>37</t>
  </si>
  <si>
    <t>4.8-79-11</t>
  </si>
  <si>
    <t>Кабели до 35 кВ, прокладываемые по установленным конструкциям и лоткам, кабель с креплением по всей длине, масса 1 м, до 2 кг</t>
  </si>
  <si>
    <t>ТСН-2001.4. Доп. 1-42. Сб. 8, т. 79, поз. 11</t>
  </si>
  <si>
    <t>38</t>
  </si>
  <si>
    <t>Цена поставщика</t>
  </si>
  <si>
    <t>Кабель ПвБбШп-1 5х10, ООО "КабельСтар"</t>
  </si>
  <si>
    <t>м</t>
  </si>
  <si>
    <t>Материалы</t>
  </si>
  <si>
    <t>Материалы, изделия и конструкции</t>
  </si>
  <si>
    <t>39</t>
  </si>
  <si>
    <t>4.8-73-1</t>
  </si>
  <si>
    <t>Кабели до 35 кВ в готовых траншеях без покрытий, кабель массой до 1 кг</t>
  </si>
  <si>
    <t>ТСН-2001.4. Доп. 1-42. Сб. 8, т. 73, поз. 1</t>
  </si>
  <si>
    <t>40</t>
  </si>
  <si>
    <t>4.8-80-1</t>
  </si>
  <si>
    <t>Кабели до 35 кВ в проложенных трубах, блоках и коробах, кабель, масса 1 м, до 1 кг</t>
  </si>
  <si>
    <t>ТСН-2001.4. Доп. 1-42. Сб. 8, т. 80, поз. 1</t>
  </si>
  <si>
    <t>41</t>
  </si>
  <si>
    <t>4.8-79-10</t>
  </si>
  <si>
    <t>Кабели до 35 кВ, прокладываемые по установленным конструкциям и лоткам, кабель с креплением по всей длине, масса 1 м, до 1 кг</t>
  </si>
  <si>
    <t>ТСН-2001.4. Доп. 1-42. Сб. 8, т. 79, поз. 10</t>
  </si>
  <si>
    <t>42</t>
  </si>
  <si>
    <t>1.23-8-506</t>
  </si>
  <si>
    <t>Прим Кабели силовые с медными жилами с изоляцией из силанольносшитого полиэтилена, защитный покров типа БбШп, напряжение 1000 В, марка ПвБбШп, число жил и сечение 4х4 мм2</t>
  </si>
  <si>
    <t>ТСН-2001.1. Доп. 1-42. Р. 23, о. 8, поз. 506</t>
  </si>
  <si>
    <t>Кабель ПвБбШп 4х4, ООО "КабельСтар"</t>
  </si>
  <si>
    <t>2.2</t>
  </si>
  <si>
    <t>43</t>
  </si>
  <si>
    <t>4.8-101-3</t>
  </si>
  <si>
    <t>Прим Муфты концевые из пластмассового корпуса с заливкой эпоксидным компаундом, муфта для 3-жильного кабеля напряжением до 35 кВ, сечением до 150 мм2</t>
  </si>
  <si>
    <t>1 оконцевание (3 муфты)</t>
  </si>
  <si>
    <t>ТСН-2001.4. Доп. 1-42. Сб. 8, т. 101, поз. 3</t>
  </si>
  <si>
    <t>ТСН-2001.4-8. 8-99...8-103</t>
  </si>
  <si>
    <t>ТСН-2001.4-8-9</t>
  </si>
  <si>
    <t>44</t>
  </si>
  <si>
    <t>1.21-5-1238</t>
  </si>
  <si>
    <t>Муфты универсальные ремонтные концевые внутренней и наружной установки для кабелей с бумажной изоляцией на напряжение 1 кВ, с наконечниками со срывающимися головками и с паяным узлом заземления, тип 4КВНтп-МКС-В-150/240</t>
  </si>
  <si>
    <t>компл.</t>
  </si>
  <si>
    <t>ТСН-2001.1. Доп. 1-42. Р. 21, о. 5, поз. 1238</t>
  </si>
  <si>
    <t>ТСН-2001.4-8. 8-291...292 (доп. 24)</t>
  </si>
  <si>
    <t>ТСН-2001.4-8-29</t>
  </si>
  <si>
    <t>45</t>
  </si>
  <si>
    <t>4.8-101-1</t>
  </si>
  <si>
    <t>Прим Муфты концевые из пластмассового корпуса с заливкой эпоксидным компаундом, муфта для 3-жильного кабеля напряжением до 35 кВ, сечением до 95 мм2</t>
  </si>
  <si>
    <t>ТСН-2001.4. Доп. 1-42. Сб. 8, т. 101, поз. 1</t>
  </si>
  <si>
    <t>46</t>
  </si>
  <si>
    <t>1.21-5-1237</t>
  </si>
  <si>
    <t>Муфты универсальные ремонтные концевые внутренней и наружной установки для кабелей с бумажной изоляцией на напряжение 1 кВ, с наконечниками со срывающимися головками и с паяным узлом заземления, тип 4КВНтп-МКС-В-70/120</t>
  </si>
  <si>
    <t>ТСН-2001.1. Доп. 1-42. Р. 21, о. 5, поз. 1237</t>
  </si>
  <si>
    <t>ТСН-2001.4-8. 8-97, 8-98</t>
  </si>
  <si>
    <t>ТСН-2001.4-8-8</t>
  </si>
  <si>
    <t>2.3</t>
  </si>
  <si>
    <t>47</t>
  </si>
  <si>
    <t>3.34-18-1</t>
  </si>
  <si>
    <t>Устройство трубопроводов из полиэтиленовых труб до 2-х отверстий</t>
  </si>
  <si>
    <t>1 канало-километр трубопровода</t>
  </si>
  <si>
    <t>ТСН-2001.3 Доп. 45, Сб. 34, т. 18, поз. 1</t>
  </si>
  <si>
    <t>ТСН-2001.3-34. 34-17...34-28</t>
  </si>
  <si>
    <t>ТСН-2001.3-34-6</t>
  </si>
  <si>
    <t>48</t>
  </si>
  <si>
    <t>1.12-5-419</t>
  </si>
  <si>
    <t>Трубы напорные из полиэтилена (ПЭ-80) SDR 13,6 (1,0 МПа), диаметр 160 мм, толщина стенки 11,8 мм</t>
  </si>
  <si>
    <t>ТСН-2001.1. Доп. 1-42. Р. 12, о. 5, поз. 419</t>
  </si>
  <si>
    <t>Материалы строительные</t>
  </si>
  <si>
    <t>ТСН-2001.1 Материалы строительные</t>
  </si>
  <si>
    <t>ТСН-2001.1-1</t>
  </si>
  <si>
    <t>49</t>
  </si>
  <si>
    <t>1.12-5-414</t>
  </si>
  <si>
    <t>Трубы напорные из полиэтилена (ПЭ-80) SDR 13,6 (1,0 МПа), диаметр 63 мм, толщина стенки 4,7 мм</t>
  </si>
  <si>
    <t>ТСН-2001.1. Доп. 1-42. Р. 12, о. 5, поз. 414</t>
  </si>
  <si>
    <t>2.10</t>
  </si>
  <si>
    <t>50</t>
  </si>
  <si>
    <t>3.13-31-1</t>
  </si>
  <si>
    <t>Огнезащитное покрытие электрических кабелей, проложенных в коллекторах, мастикой "МПВО" вручную</t>
  </si>
  <si>
    <t>м2 покрытия</t>
  </si>
  <si>
    <t>ТСН-2001.3. Доп. 1-42. Сб. 13, т. 31, поз. 1</t>
  </si>
  <si>
    <t>ТСН-2001.3-13. 13-17-6, 13-17-7, 13-18...13-38</t>
  </si>
  <si>
    <t>ТСН-2001.3-13-3</t>
  </si>
  <si>
    <t>50,1</t>
  </si>
  <si>
    <t>1.1-1-1969</t>
  </si>
  <si>
    <t>Паста огнезащитная терморасширяющаяся для защиты электрических кабелей, марка "Огракс-В"</t>
  </si>
  <si>
    <t>т</t>
  </si>
  <si>
    <t>ТСН-2001.1. Доп. 1-42. Р. 1, о. 1, поз. 1969</t>
  </si>
  <si>
    <t>51</t>
  </si>
  <si>
    <t>4.8-239-7</t>
  </si>
  <si>
    <t>Блоки управления и распределительные пункты (шкафы) высотой до 1700 мм, блок управления шкафного исполнения или распределительный пункт (шкаф), устанавливаемый на полу, высота и ширина 1700х1100 мм - распределительный пункт</t>
  </si>
  <si>
    <t>1  ШТ.</t>
  </si>
  <si>
    <t>ТСН-2001.4. Доп. 1-42. Сб. 8, т. 239, поз. 7</t>
  </si>
  <si>
    <t>ТСН-2001.4-8. 8-188...8-272</t>
  </si>
  <si>
    <t>ТСН-2001.4-8-18</t>
  </si>
  <si>
    <t>52</t>
  </si>
  <si>
    <t>Распределительный пункт, ООО УК "Энергогенстрой"</t>
  </si>
  <si>
    <t>шт.</t>
  </si>
  <si>
    <t>*1,03</t>
  </si>
  <si>
    <t>Сметная стоимость оборудования</t>
  </si>
  <si>
    <t>ТСН-2001.13-1.</t>
  </si>
  <si>
    <t>ТСН-2001.13-1-1</t>
  </si>
  <si>
    <t>[215 200 / 1,18 /  3,97]</t>
  </si>
  <si>
    <t>53</t>
  </si>
  <si>
    <t>4.8-239-3</t>
  </si>
  <si>
    <t>Блоки управления и распределительные пункты (шкафы) высотой до 1700 мм, блок управления шкафного исполнения или распределительный пункт (шкаф), устанавливаемый на стене, высота и ширина 600х600 мм</t>
  </si>
  <si>
    <t>ТСН-2001.4. Доп. 1-42. Сб. 8, т. 239, поз. 3</t>
  </si>
  <si>
    <t>54</t>
  </si>
  <si>
    <t>РЩСС, ООО УК "Энергогенстрой"</t>
  </si>
  <si>
    <t>[21 473,1 / 1,18 /  3,97]</t>
  </si>
  <si>
    <t>55</t>
  </si>
  <si>
    <t>3.6-1-1</t>
  </si>
  <si>
    <t>Устройство бетонной подготовки</t>
  </si>
  <si>
    <t>100 м3 в деле</t>
  </si>
  <si>
    <t>ТСН-2001.3. Доп. 1-42. Сб. 6, т. 1, поз. 1</t>
  </si>
  <si>
    <t>ТСН-2001.3-6. 6-1...6-13</t>
  </si>
  <si>
    <t>ТСН-2001.3-6-1</t>
  </si>
  <si>
    <t>55,1</t>
  </si>
  <si>
    <t>1.3-1-36</t>
  </si>
  <si>
    <t>Смеси бетонные, БСГ, тяжелого бетона на гранитном щебне, класс прочности В7,5 (М100); П3, фракция 5-20</t>
  </si>
  <si>
    <t>ТСН-2001.1. Доп. 1-42. Р. 3, о. 1, поз. 36</t>
  </si>
  <si>
    <t>56</t>
  </si>
  <si>
    <t>4.8-64-3</t>
  </si>
  <si>
    <t>Конструкции металлические под оборудование, конструкция металлическая</t>
  </si>
  <si>
    <t>1 Т</t>
  </si>
  <si>
    <t>ТСН-2001.4. Доп. 1-42. Сб. 8, т. 64, поз. 3</t>
  </si>
  <si>
    <t>ТСН-2001.4-8. 8-28...8-72</t>
  </si>
  <si>
    <t>ТСН-2001.4-8-2</t>
  </si>
  <si>
    <t>57</t>
  </si>
  <si>
    <t>1.1-1-1114</t>
  </si>
  <si>
    <t>Сталь угловая равнополочная общего назначения, марка Ст1кп-Ст4кп, Ст1пс-Ст6пс, Ст1Гпс-Ст5Гпс, ширина полки 35-70 мм - уголок 50х50</t>
  </si>
  <si>
    <t>ТСН-2001.1. Доп. 1-42. Р. 1, о. 1, поз. 1114</t>
  </si>
  <si>
    <t>58</t>
  </si>
  <si>
    <t>4.8-241-4</t>
  </si>
  <si>
    <t>Разводка по устройствам и подключение жил кабелей или проводов внешней сети к блокам зажимов и к зажимам аппаратов и приборов, установленных на устройствах, кабели и провода сечение до 70 мм2</t>
  </si>
  <si>
    <t>100 жил</t>
  </si>
  <si>
    <t>ТСН-2001.4. Доп. 1-42. Сб. 8, т. 241, поз. 4</t>
  </si>
  <si>
    <t>59</t>
  </si>
  <si>
    <t>4.8-187-7</t>
  </si>
  <si>
    <t>Проводник заземляющий открыто по строительным основаниям из полосовой стали, сечением 160 мм2</t>
  </si>
  <si>
    <t>100 м</t>
  </si>
  <si>
    <t>ТСН-2001.4. Доп. 1-42. Сб. 8, т. 187, поз. 7</t>
  </si>
  <si>
    <t>ТСН-2001.4-8. 8-185...8-187</t>
  </si>
  <si>
    <t>ТСН-2001.4-8-17</t>
  </si>
  <si>
    <t>59,1</t>
  </si>
  <si>
    <t>1.1-1-1092</t>
  </si>
  <si>
    <t>Сталь полосовая, марка Ст1сп - Ст6сп, спокойная</t>
  </si>
  <si>
    <t>ТСН-2001.1. Доп. 1-42. Р. 1, о. 1, поз. 1092</t>
  </si>
  <si>
    <t>60</t>
  </si>
  <si>
    <t>4.8-186-1</t>
  </si>
  <si>
    <t>Заземлители вертикальные, заземлитель из стали угловой, размер 50х50х5 мм</t>
  </si>
  <si>
    <t>10 шт.</t>
  </si>
  <si>
    <t>ТСН-2001.4. Доп. 1-42. Сб. 8, т. 186, поз. 1</t>
  </si>
  <si>
    <t>60,1</t>
  </si>
  <si>
    <t>Сталь угловая равнополочная общего назначения, , ширина полки 35-70 мм - уголок 50х50х5 - 3м</t>
  </si>
  <si>
    <t>61</t>
  </si>
  <si>
    <t>1.1-1-491</t>
  </si>
  <si>
    <t>Лак битумный, марка БТ-123</t>
  </si>
  <si>
    <t>ТСН-2001.1. Доп. 1-42. Р. 1, о. 1, поз. 491</t>
  </si>
  <si>
    <t>3.1 ПНР</t>
  </si>
  <si>
    <t>62</t>
  </si>
  <si>
    <t>5.1-175-1</t>
  </si>
  <si>
    <t>Кабели силовые напряжением до 10 кВ</t>
  </si>
  <si>
    <t>испытание</t>
  </si>
  <si>
    <t>ТСН-2001.5. Доп. 1-42. Сб. 1, т. 175, поз. 1</t>
  </si>
  <si>
    <t>)*0,8</t>
  </si>
  <si>
    <t>Пусконаладочные работы</t>
  </si>
  <si>
    <t>ТСН-2001.5-1. 1-1...1-189</t>
  </si>
  <si>
    <t>ТСН-2001.5-1-1</t>
  </si>
  <si>
    <t>Поправка: ТСН-2001.5. р2. п.2.5</t>
  </si>
  <si>
    <t>63</t>
  </si>
  <si>
    <t>5.1-87-1</t>
  </si>
  <si>
    <t>Устройство АВР со схемой восстановления напряжения</t>
  </si>
  <si>
    <t>1 устройство</t>
  </si>
  <si>
    <t>ТСН-2001.5. Доп. 1-42. Сб. 1, т. 87, поз. 1</t>
  </si>
  <si>
    <t>Поправка: 5, р2, п.2.5</t>
  </si>
  <si>
    <t>64</t>
  </si>
  <si>
    <t>5.1-99-1</t>
  </si>
  <si>
    <t>Шкафы автоматики, автоматика повышения пропускной способности линий электропередач напряжением свыше 300 кВ шкаф автоматики типа ШП 2701</t>
  </si>
  <si>
    <t>ТСН-2001.5. Доп. 1-42. Сб. 1, т. 99, поз. 1</t>
  </si>
  <si>
    <t>65</t>
  </si>
  <si>
    <t>5.1-162-1</t>
  </si>
  <si>
    <t>Измерение сопротивления изоляции мегаомметром кабельных и других линий напряжением до 1 кВ, предназначенных для передачи электроэнергии к распределительным устройствам, щитам, шкафам и коммутационным аппаратам</t>
  </si>
  <si>
    <t>измерение</t>
  </si>
  <si>
    <t>ТСН-2001.5. Доп. 1-42. Сб. 1, т. 162, поз. 1</t>
  </si>
  <si>
    <t>Поправка: 5, р2, тб1, п. 5  Поправка: 5, р2, тб1, п. 5  Поправка: 5, р2, п.2.5</t>
  </si>
  <si>
    <t>66</t>
  </si>
  <si>
    <t>5.10-38-1</t>
  </si>
  <si>
    <t>Совместная комплексная наладка технических средств (шкафа АСУЭ) со средствами вычислительной техники по проводной связи</t>
  </si>
  <si>
    <t>1 ШКАФ</t>
  </si>
  <si>
    <t>ТСН-2001.5. Доп. 1-42. Сб. 10, т. 38, поз. 1</t>
  </si>
  <si>
    <t>ТСН-2001.5-10. 10-4...10-44</t>
  </si>
  <si>
    <t>ТСН-2001.5-10-1</t>
  </si>
  <si>
    <t>67</t>
  </si>
  <si>
    <t>5.1-151-1</t>
  </si>
  <si>
    <t>Измерение сопротивления растеканию тока заземлителя</t>
  </si>
  <si>
    <t>ТСН-2001.5. Доп. 1-42. Сб. 1, т. 151, поз. 1</t>
  </si>
  <si>
    <t>68</t>
  </si>
  <si>
    <t>5.1-152-1</t>
  </si>
  <si>
    <t>Проверка наличия цепи между заземлителями и заземленными элементами</t>
  </si>
  <si>
    <t>1 ТОЧКА</t>
  </si>
  <si>
    <t>ТСН-2001.5. Доп. 1-42. Сб. 1, т. 152, поз. 1</t>
  </si>
  <si>
    <t>69</t>
  </si>
  <si>
    <t>5.1-154-1</t>
  </si>
  <si>
    <t>Замер полного сопротивления цепи "фаза-нуль"</t>
  </si>
  <si>
    <t>токоприемник</t>
  </si>
  <si>
    <t>ТСН-2001.5. Доп. 1-42. Сб. 1, т. 154, поз. 1</t>
  </si>
  <si>
    <t>70</t>
  </si>
  <si>
    <t>5.10-35-1</t>
  </si>
  <si>
    <t>Кабельные линии высокого или низкого напряжения</t>
  </si>
  <si>
    <t>1 линия кабеля (3 испытания 1-го образца)</t>
  </si>
  <si>
    <t>ТСН-2001.5. Доп. 1-42. Сб. 10, т. 35, поз. 1</t>
  </si>
  <si>
    <t>71</t>
  </si>
  <si>
    <t>2.1-8-3</t>
  </si>
  <si>
    <t>Автолаборатории/Расчет П.6. Т.Ч. 1,5 маш/смена х 6,82 часа*1 линия</t>
  </si>
  <si>
    <t>маш.-ч.</t>
  </si>
  <si>
    <t>ТСН-2001.2. Доп. 1-42, п. 1-8-3 (085001)</t>
  </si>
  <si>
    <t>Механизмы</t>
  </si>
  <si>
    <t>ТСН-2001. Машины и механизмы</t>
  </si>
  <si>
    <t>ТСН-2001.2</t>
  </si>
  <si>
    <t>Уровень цен</t>
  </si>
  <si>
    <t>Индекс 1</t>
  </si>
  <si>
    <t>Коэффициенты к ТСН-2001 МГЭ</t>
  </si>
  <si>
    <t>_OBSM_</t>
  </si>
  <si>
    <t>9999990008</t>
  </si>
  <si>
    <t>Трудозатраты рабочих</t>
  </si>
  <si>
    <t>чел.-ч.</t>
  </si>
  <si>
    <t>2.1-1-19</t>
  </si>
  <si>
    <t>ТСН-2001.2. Доп. 1-42, п. 1-1-19 (010302)</t>
  </si>
  <si>
    <t>Экскаваторы на пневмоколесном ходу гидравлические, объем ковша до 0,25 м3</t>
  </si>
  <si>
    <t>2.1-1-43</t>
  </si>
  <si>
    <t>ТСН-2001.2. Доп. 1-42, п. 1-1-43 (012102)</t>
  </si>
  <si>
    <t>Бульдозеры гусеничные, мощность до 59 кВт (80 л.с.)</t>
  </si>
  <si>
    <t>2.1-10-5</t>
  </si>
  <si>
    <t>ТСН-2001.2. Доп. 1-42, п. 1-10-5 (101002)</t>
  </si>
  <si>
    <t>Компрессоры с дизельным двигателем прицепные до 5 м3/мин</t>
  </si>
  <si>
    <t>2.1-30-1</t>
  </si>
  <si>
    <t>ТСН-2001.2. Доп. 1-42, п. 1-30-1 (301201)</t>
  </si>
  <si>
    <t>Трамбовки пневматические</t>
  </si>
  <si>
    <t>2.1-5-18</t>
  </si>
  <si>
    <t>ТСН-2001.2. Доп. 1-42, п. 1-5-18 (050902)</t>
  </si>
  <si>
    <t>Поливомоечные машины, емкость цистерны более 5000 л</t>
  </si>
  <si>
    <t>1.1-1-118</t>
  </si>
  <si>
    <t>ТСН-2001.1. Доп. 1-42. Р. 1, о. 1, поз. 118</t>
  </si>
  <si>
    <t>Вода</t>
  </si>
  <si>
    <t>2.1-1-44</t>
  </si>
  <si>
    <t>ТСН-2001.2. Доп. 1-42, п. 1-1-44 (012103)</t>
  </si>
  <si>
    <t>Бульдозеры гусеничные, мощность до 79 кВт (108 л.с.)</t>
  </si>
  <si>
    <t>2.1-5-48</t>
  </si>
  <si>
    <t>ТСН-2001.2. Доп. 1-42, п. 1-5-48 (056003)</t>
  </si>
  <si>
    <t>Автогрейдеры, мощность 99-147 кВт (130-200 л.с.)</t>
  </si>
  <si>
    <t>9999990006</t>
  </si>
  <si>
    <t>Стоимость прочих материалов (ЭСН)</t>
  </si>
  <si>
    <t>руб.</t>
  </si>
  <si>
    <t>9999990002</t>
  </si>
  <si>
    <t>Масса оборудования</t>
  </si>
  <si>
    <t>2.1-18-9</t>
  </si>
  <si>
    <t>ТСН-2001.2. Доп. 1-42, п. 1-18-9 (183003)</t>
  </si>
  <si>
    <t>Автомобили грузовые бортовые, грузоподъемность до 8 т</t>
  </si>
  <si>
    <t>2.1-6-51</t>
  </si>
  <si>
    <t>ТСН-2001.2. Доп. 1-42, п. 1-6-51 (069401)</t>
  </si>
  <si>
    <t>Вибраторы поверхностные</t>
  </si>
  <si>
    <t>1.1-1-655</t>
  </si>
  <si>
    <t>ТСН-2001.1. Доп. 1-42. Р. 1, о. 1, поз. 655</t>
  </si>
  <si>
    <t>Мешковина</t>
  </si>
  <si>
    <t>м2</t>
  </si>
  <si>
    <t>2248110000</t>
  </si>
  <si>
    <t>Трубы из полиэтилена для кабельной канализации</t>
  </si>
  <si>
    <t>2257420000</t>
  </si>
  <si>
    <t>Состав огнезащитный, марка "МПВО"</t>
  </si>
  <si>
    <t>кг</t>
  </si>
  <si>
    <t>5745010000</t>
  </si>
  <si>
    <t>Смеси бетонные, БСГ, тяжелого бетона</t>
  </si>
  <si>
    <t>Поправка: ТСН-2001.5. р2. п.2.5  Наименование: В случае, если монтажные и пусконаладочные работы по какому-либо оборудованию выполняются одним и тем же звеном (бригадой), либо если они производятся при техническом руководстве персонала предприятий-изготовителей или фирм-поставщиков оборудования.</t>
  </si>
  <si>
    <t>Поправка: 5, р2, п.2.5  Наименование: В случае, если монтажные и пусконаладочные работы по какому-либо оборудованию выполняются одним и тем же звеном (бригадой), либо если они производятся при техническом руководстве персонала предприятий-изготовителей или фирм-поставщиков оборудования.</t>
  </si>
  <si>
    <t>(наименование стройки)</t>
  </si>
  <si>
    <t>(локальный сметный расчет)</t>
  </si>
  <si>
    <t>(наименование работ и затрат, наименование объекта)</t>
  </si>
  <si>
    <t>базовая    цена</t>
  </si>
  <si>
    <t>текущая   цена</t>
  </si>
  <si>
    <t>Сметная стоимость</t>
  </si>
  <si>
    <t>Монтажные работы</t>
  </si>
  <si>
    <t>Оборудование</t>
  </si>
  <si>
    <t>Прочие работы</t>
  </si>
  <si>
    <t>Средства на оплату труда</t>
  </si>
  <si>
    <t>№№ п/п</t>
  </si>
  <si>
    <t>Шифр расценки и коды ресурсов</t>
  </si>
  <si>
    <t>Наименование работ и затрат</t>
  </si>
  <si>
    <t>Единица измерения</t>
  </si>
  <si>
    <t>Кол-во единиц</t>
  </si>
  <si>
    <t>Цена на ед. изм. руб.</t>
  </si>
  <si>
    <t>Попра-вочные коэфф.</t>
  </si>
  <si>
    <t>Коэфф. зимних удоро-жаний</t>
  </si>
  <si>
    <t>ВСЕГО в базисном уровне цен, руб.</t>
  </si>
  <si>
    <t>Коэфф. пересчета и нормы НР и СП</t>
  </si>
  <si>
    <t>Всего в текущем уровне цен, руб.</t>
  </si>
  <si>
    <t>Форма № 1б</t>
  </si>
  <si>
    <t>Составлен(а) в уровне текущих (прогнозных) цен Коэффициенты к ТСН-2001 МГЭ август 2017 года</t>
  </si>
  <si>
    <t>ЗП</t>
  </si>
  <si>
    <t>ЭМ</t>
  </si>
  <si>
    <t>в т.ч. ЗПМ</t>
  </si>
  <si>
    <t>НР от ЗП</t>
  </si>
  <si>
    <t>%</t>
  </si>
  <si>
    <t>СП от ЗП</t>
  </si>
  <si>
    <t>НР и СП от ЗПМ</t>
  </si>
  <si>
    <t>ЗТР</t>
  </si>
  <si>
    <t>чел-ч</t>
  </si>
  <si>
    <t>МР</t>
  </si>
  <si>
    <t xml:space="preserve">   Итого по ТСН-2001.16</t>
  </si>
  <si>
    <r>
      <t>Распределительный пункт, ООО УК "Энергогенстрой"</t>
    </r>
    <r>
      <rPr>
        <i/>
        <sz val="10"/>
        <rFont val="Arial"/>
        <family val="2"/>
        <charset val="204"/>
      </rPr>
      <t xml:space="preserve">
Базисная стоимость: 45 937,75 = [215 200 / 1,18 /  3,97]</t>
    </r>
  </si>
  <si>
    <r>
      <t>РЩСС, ООО УК "Энергогенстрой"</t>
    </r>
    <r>
      <rPr>
        <i/>
        <sz val="10"/>
        <rFont val="Arial"/>
        <family val="2"/>
        <charset val="204"/>
      </rPr>
      <t xml:space="preserve">
Базисная стоимость: 4 583,76 = [21 473,1 / 1,18 /  3,97]</t>
    </r>
  </si>
  <si>
    <t xml:space="preserve">  руб.</t>
  </si>
  <si>
    <t xml:space="preserve">Составил   </t>
  </si>
  <si>
    <t>[должность,подпись(инициалы,фамилия)]</t>
  </si>
  <si>
    <t xml:space="preserve">Проверил   </t>
  </si>
  <si>
    <t>Форма 3</t>
  </si>
  <si>
    <t>(Наименование стройки)</t>
  </si>
  <si>
    <t>ОБЪЕКТНЫЙ СМЕТНЫЙ РАСЧЕТ №</t>
  </si>
  <si>
    <t>(объектная смета)</t>
  </si>
  <si>
    <t>на строительство (капитальный ремонт)</t>
  </si>
  <si>
    <t xml:space="preserve">  тыс.руб.</t>
  </si>
  <si>
    <t xml:space="preserve">Средства на оплату труда  </t>
  </si>
  <si>
    <t xml:space="preserve">Расчетный измеритель единичной стоимости  </t>
  </si>
  <si>
    <t>№ п/п</t>
  </si>
  <si>
    <t>Номера сметных расчетов (смет)</t>
  </si>
  <si>
    <t>Показатели единичной стоимости</t>
  </si>
  <si>
    <t>строите-льных работ</t>
  </si>
  <si>
    <t>монтажных работ</t>
  </si>
  <si>
    <t>оборудо-вания, мебели, инвентаря</t>
  </si>
  <si>
    <t>прочих затрат</t>
  </si>
  <si>
    <t>Сметная стоимость, тыс.руб.</t>
  </si>
  <si>
    <t>Средства на оплату труда, тыс. руб.</t>
  </si>
  <si>
    <t xml:space="preserve">ИТОГО: </t>
  </si>
  <si>
    <t>Главный инженер проекта</t>
  </si>
  <si>
    <t>[подпись(инициалы,фамилия)]</t>
  </si>
  <si>
    <t xml:space="preserve">Начальник  </t>
  </si>
  <si>
    <t>отдела</t>
  </si>
  <si>
    <t xml:space="preserve">   (наименование)</t>
  </si>
  <si>
    <t xml:space="preserve">Составил  </t>
  </si>
  <si>
    <t xml:space="preserve">Проверил:  </t>
  </si>
  <si>
    <t>04-14-04.1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</si>
</sst>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[Red]\-\ #,##0.00"/>
    <numFmt numFmtId="165" formatCode="#,##0.00####;[Red]\-\ #,##0.00####"/>
  </numFmts>
  <fonts count="20" x14ac:knownFonts="1">
    <font>
      <sz val="10"/>
      <name val="Arial"/>
      <charset val="204"/>
    </font>
    <font>
      <b/>
      <sz val="10"/>
      <color indexed="12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b/>
      <sz val="10"/>
      <color indexed="14"/>
      <name val="Arial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3"/>
      <name val="Arial"/>
      <family val="2"/>
      <charset val="204"/>
    </font>
    <font>
      <i/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/>
    <xf numFmtId="0" fontId="12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0" xfId="0" applyAlignment="1"/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left"/>
    </xf>
    <xf numFmtId="164" fontId="11" fillId="0" borderId="0" xfId="0" applyNumberFormat="1" applyFont="1"/>
    <xf numFmtId="0" fontId="11" fillId="0" borderId="1" xfId="0" applyFont="1" applyBorder="1" applyAlignment="1">
      <alignment horizontal="left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right"/>
    </xf>
    <xf numFmtId="0" fontId="16" fillId="0" borderId="0" xfId="0" applyFont="1" applyAlignment="1">
      <alignment horizontal="right" wrapText="1"/>
    </xf>
    <xf numFmtId="0" fontId="11" fillId="0" borderId="0" xfId="0" applyFont="1" applyAlignment="1">
      <alignment horizontal="right" wrapText="1"/>
    </xf>
    <xf numFmtId="165" fontId="11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0" fontId="9" fillId="0" borderId="0" xfId="0" applyFont="1" applyAlignment="1">
      <alignment wrapText="1"/>
    </xf>
    <xf numFmtId="164" fontId="16" fillId="0" borderId="0" xfId="0" applyNumberFormat="1" applyFont="1" applyAlignment="1">
      <alignment horizontal="right"/>
    </xf>
    <xf numFmtId="164" fontId="0" fillId="0" borderId="0" xfId="0" applyNumberFormat="1"/>
    <xf numFmtId="164" fontId="17" fillId="0" borderId="0" xfId="0" applyNumberFormat="1" applyFont="1" applyAlignment="1">
      <alignment horizontal="right"/>
    </xf>
    <xf numFmtId="0" fontId="0" fillId="0" borderId="5" xfId="0" applyBorder="1"/>
    <xf numFmtId="164" fontId="17" fillId="0" borderId="5" xfId="0" applyNumberFormat="1" applyFont="1" applyBorder="1" applyAlignment="1">
      <alignment horizontal="right"/>
    </xf>
    <xf numFmtId="0" fontId="11" fillId="0" borderId="0" xfId="0" quotePrefix="1" applyFont="1" applyAlignment="1">
      <alignment horizontal="right" wrapText="1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left" wrapText="1"/>
    </xf>
    <xf numFmtId="0" fontId="11" fillId="0" borderId="0" xfId="0" applyFont="1" applyAlignment="1">
      <alignment horizontal="right" vertical="center"/>
    </xf>
    <xf numFmtId="0" fontId="11" fillId="0" borderId="1" xfId="0" applyFont="1" applyBorder="1"/>
    <xf numFmtId="0" fontId="10" fillId="0" borderId="0" xfId="0" applyFont="1"/>
    <xf numFmtId="0" fontId="17" fillId="0" borderId="0" xfId="0" applyFont="1" applyAlignment="1"/>
    <xf numFmtId="0" fontId="19" fillId="0" borderId="0" xfId="0" applyFont="1" applyAlignment="1">
      <alignment horizontal="right"/>
    </xf>
    <xf numFmtId="1" fontId="11" fillId="0" borderId="0" xfId="0" applyNumberFormat="1" applyFont="1"/>
    <xf numFmtId="0" fontId="11" fillId="0" borderId="0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" fontId="17" fillId="0" borderId="0" xfId="0" applyNumberFormat="1" applyFont="1" applyAlignment="1">
      <alignment vertical="center" wrapText="1"/>
    </xf>
    <xf numFmtId="1" fontId="12" fillId="0" borderId="0" xfId="0" applyNumberFormat="1" applyFont="1" applyAlignment="1">
      <alignment horizontal="center" vertical="center" wrapText="1"/>
    </xf>
    <xf numFmtId="1" fontId="12" fillId="0" borderId="1" xfId="0" applyNumberFormat="1" applyFont="1" applyBorder="1" applyAlignment="1">
      <alignment horizontal="left" vertic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/>
    <xf numFmtId="1" fontId="11" fillId="0" borderId="0" xfId="0" applyNumberFormat="1" applyFont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164" fontId="11" fillId="0" borderId="0" xfId="0" applyNumberFormat="1" applyFont="1" applyBorder="1" applyAlignment="1"/>
    <xf numFmtId="1" fontId="11" fillId="0" borderId="0" xfId="0" applyNumberFormat="1" applyFont="1" applyAlignment="1">
      <alignment horizontal="left"/>
    </xf>
    <xf numFmtId="0" fontId="11" fillId="0" borderId="0" xfId="0" applyFont="1" applyAlignment="1">
      <alignment horizontal="right" vertical="center"/>
    </xf>
    <xf numFmtId="0" fontId="11" fillId="0" borderId="0" xfId="0" applyFont="1" applyBorder="1"/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right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right" vertical="center"/>
    </xf>
    <xf numFmtId="165" fontId="11" fillId="0" borderId="1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/>
    </xf>
    <xf numFmtId="1" fontId="11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 wrapText="1"/>
    </xf>
    <xf numFmtId="0" fontId="11" fillId="0" borderId="4" xfId="0" applyFont="1" applyBorder="1" applyAlignment="1">
      <alignment horizontal="left" wrapText="1"/>
    </xf>
    <xf numFmtId="164" fontId="11" fillId="0" borderId="4" xfId="0" applyNumberFormat="1" applyFont="1" applyBorder="1" applyAlignment="1">
      <alignment horizontal="right" wrapText="1"/>
    </xf>
    <xf numFmtId="0" fontId="17" fillId="0" borderId="3" xfId="0" applyFont="1" applyBorder="1" applyAlignment="1">
      <alignment horizontal="center" wrapText="1"/>
    </xf>
    <xf numFmtId="0" fontId="17" fillId="0" borderId="3" xfId="0" applyFont="1" applyBorder="1" applyAlignment="1">
      <alignment horizontal="left" wrapText="1"/>
    </xf>
    <xf numFmtId="164" fontId="17" fillId="0" borderId="3" xfId="0" applyNumberFormat="1" applyFont="1" applyBorder="1" applyAlignment="1">
      <alignment horizontal="right" wrapText="1"/>
    </xf>
    <xf numFmtId="1" fontId="11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1" fontId="11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11" fillId="0" borderId="0" xfId="0" applyFont="1" applyAlignment="1"/>
    <xf numFmtId="0" fontId="1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25"/>
  <sheetViews>
    <sheetView tabSelected="1" view="pageBreakPreview" zoomScale="60" zoomScaleNormal="100" workbookViewId="0"/>
  </sheetViews>
  <sheetFormatPr defaultRowHeight="12.75" x14ac:dyDescent="0.2"/>
  <cols>
    <col min="1" max="1" width="5.7109375" customWidth="1"/>
    <col min="2" max="2" width="11.7109375" customWidth="1"/>
    <col min="3" max="3" width="40.7109375" customWidth="1"/>
    <col min="4" max="6" width="11.7109375" customWidth="1"/>
    <col min="7" max="7" width="12.7109375" customWidth="1"/>
    <col min="8" max="8" width="10.7109375" customWidth="1"/>
    <col min="9" max="9" width="16.5703125" customWidth="1"/>
    <col min="10" max="10" width="16.7109375" customWidth="1"/>
    <col min="11" max="11" width="12.7109375" customWidth="1"/>
    <col min="15" max="38" width="0" hidden="1" customWidth="1"/>
  </cols>
  <sheetData>
    <row r="1" spans="1:11" x14ac:dyDescent="0.2">
      <c r="A1" s="9" t="str">
        <f>Source!B1</f>
        <v>Smeta.RU  (495) 974-1589</v>
      </c>
    </row>
    <row r="2" spans="1:11" ht="14.25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 t="s">
        <v>490</v>
      </c>
    </row>
    <row r="3" spans="1:11" ht="15.75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x14ac:dyDescent="0.2">
      <c r="A4" s="12" t="s">
        <v>469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ht="14.25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15.75" x14ac:dyDescent="0.25">
      <c r="A6" s="11" t="str">
        <f>CONCATENATE( "ЛОКАЛЬНАЯ СМЕТА № ",IF(Source!F20&lt;&gt;"Новая локальная смета", Source!F20, ""))</f>
        <v>ЛОКАЛЬНАЯ СМЕТА № 04-14-04.1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x14ac:dyDescent="0.2">
      <c r="A7" s="14" t="s">
        <v>470</v>
      </c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1" ht="14.25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ht="18" x14ac:dyDescent="0.25">
      <c r="A9" s="15" t="str">
        <f>IF(Source!G20&lt;&gt;"Новая локальная смета", Source!G20, "")</f>
        <v>Наружное электроснабжение</v>
      </c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11" ht="14.25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ht="18" x14ac:dyDescent="0.25">
      <c r="A11" s="16" t="str">
        <f>IF(Source!G12&lt;&gt;"Новый объект", Source!G12, "")</f>
        <v>04-18-04.1 Наружное электроснабжение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x14ac:dyDescent="0.2">
      <c r="A12" s="14" t="s">
        <v>471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1:11" ht="14.25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1" ht="14.25" x14ac:dyDescent="0.2">
      <c r="A14" s="18" t="str">
        <f>CONCATENATE( "Основание: чертежи № ", Source!J20)</f>
        <v xml:space="preserve">Основание: чертежи № 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</row>
    <row r="15" spans="1:11" ht="28.5" x14ac:dyDescent="0.2">
      <c r="A15" s="10"/>
      <c r="B15" s="10"/>
      <c r="C15" s="10"/>
      <c r="D15" s="10"/>
      <c r="E15" s="10"/>
      <c r="F15" s="10"/>
      <c r="G15" s="10"/>
      <c r="H15" s="10"/>
      <c r="I15" s="19" t="s">
        <v>472</v>
      </c>
      <c r="J15" s="19" t="s">
        <v>473</v>
      </c>
      <c r="K15" s="10"/>
    </row>
    <row r="16" spans="1:11" ht="14.25" x14ac:dyDescent="0.2">
      <c r="A16" s="10"/>
      <c r="B16" s="10"/>
      <c r="C16" s="10"/>
      <c r="D16" s="10"/>
      <c r="E16" s="10"/>
      <c r="F16" s="20" t="s">
        <v>474</v>
      </c>
      <c r="G16" s="20"/>
      <c r="H16" s="20"/>
      <c r="I16" s="21">
        <f>SUM(O25:O615)</f>
        <v>2073487.8300000003</v>
      </c>
      <c r="J16" s="21">
        <f>(Source!F468)</f>
        <v>13455948.24</v>
      </c>
      <c r="K16" s="10" t="s">
        <v>505</v>
      </c>
    </row>
    <row r="17" spans="1:23" ht="14.25" x14ac:dyDescent="0.2">
      <c r="A17" s="10"/>
      <c r="B17" s="10"/>
      <c r="C17" s="10"/>
      <c r="D17" s="10"/>
      <c r="E17" s="10"/>
      <c r="F17" s="20" t="s">
        <v>14</v>
      </c>
      <c r="G17" s="20"/>
      <c r="H17" s="20"/>
      <c r="I17" s="21">
        <f>SUM(X25:X615)</f>
        <v>524684.65999999992</v>
      </c>
      <c r="J17" s="21">
        <f>(Source!F458)</f>
        <v>4438817.1500000004</v>
      </c>
      <c r="K17" s="10" t="s">
        <v>505</v>
      </c>
    </row>
    <row r="18" spans="1:23" ht="14.25" x14ac:dyDescent="0.2">
      <c r="A18" s="10"/>
      <c r="B18" s="10"/>
      <c r="C18" s="10"/>
      <c r="D18" s="10"/>
      <c r="E18" s="10"/>
      <c r="F18" s="20" t="s">
        <v>475</v>
      </c>
      <c r="G18" s="20"/>
      <c r="H18" s="20"/>
      <c r="I18" s="21">
        <f>SUM(Y25:Y615)</f>
        <v>1002932.04</v>
      </c>
      <c r="J18" s="21">
        <f>(Source!F459)</f>
        <v>3987980.51</v>
      </c>
      <c r="K18" s="10" t="s">
        <v>505</v>
      </c>
    </row>
    <row r="19" spans="1:23" ht="14.25" x14ac:dyDescent="0.2">
      <c r="A19" s="10"/>
      <c r="B19" s="10"/>
      <c r="C19" s="10"/>
      <c r="D19" s="10"/>
      <c r="E19" s="10"/>
      <c r="F19" s="20" t="s">
        <v>476</v>
      </c>
      <c r="G19" s="20"/>
      <c r="H19" s="20"/>
      <c r="I19" s="21">
        <f>SUM(Z25:Z615)</f>
        <v>307295.34999999998</v>
      </c>
      <c r="J19" s="21">
        <f>(Source!F450)</f>
        <v>1219962.54</v>
      </c>
      <c r="K19" s="10" t="s">
        <v>505</v>
      </c>
    </row>
    <row r="20" spans="1:23" ht="14.25" x14ac:dyDescent="0.2">
      <c r="A20" s="10"/>
      <c r="B20" s="10"/>
      <c r="C20" s="10"/>
      <c r="D20" s="10"/>
      <c r="E20" s="10"/>
      <c r="F20" s="20" t="s">
        <v>477</v>
      </c>
      <c r="G20" s="20"/>
      <c r="H20" s="20"/>
      <c r="I20" s="21">
        <f>SUM(AA25:AA615)</f>
        <v>238575.78</v>
      </c>
      <c r="J20" s="21">
        <f>(Source!F460+Source!F461)</f>
        <v>3809188.04</v>
      </c>
      <c r="K20" s="10" t="s">
        <v>505</v>
      </c>
    </row>
    <row r="21" spans="1:23" ht="14.25" x14ac:dyDescent="0.2">
      <c r="A21" s="10"/>
      <c r="B21" s="10"/>
      <c r="C21" s="10"/>
      <c r="D21" s="10"/>
      <c r="E21" s="10"/>
      <c r="F21" s="20" t="s">
        <v>478</v>
      </c>
      <c r="G21" s="20"/>
      <c r="H21" s="20"/>
      <c r="I21" s="21">
        <f>SUM(W25:W615)</f>
        <v>159972.31000000003</v>
      </c>
      <c r="J21" s="21">
        <f>(Source!F456+ Source!F455)</f>
        <v>2897097.67</v>
      </c>
      <c r="K21" s="10" t="s">
        <v>505</v>
      </c>
    </row>
    <row r="22" spans="1:23" ht="14.25" x14ac:dyDescent="0.2">
      <c r="A22" s="22" t="s">
        <v>491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</row>
    <row r="23" spans="1:23" ht="57" x14ac:dyDescent="0.2">
      <c r="A23" s="23" t="s">
        <v>479</v>
      </c>
      <c r="B23" s="23" t="s">
        <v>480</v>
      </c>
      <c r="C23" s="23" t="s">
        <v>481</v>
      </c>
      <c r="D23" s="23" t="s">
        <v>482</v>
      </c>
      <c r="E23" s="23" t="s">
        <v>483</v>
      </c>
      <c r="F23" s="23" t="s">
        <v>484</v>
      </c>
      <c r="G23" s="24" t="s">
        <v>485</v>
      </c>
      <c r="H23" s="24" t="s">
        <v>486</v>
      </c>
      <c r="I23" s="23" t="s">
        <v>487</v>
      </c>
      <c r="J23" s="23" t="s">
        <v>488</v>
      </c>
      <c r="K23" s="23" t="s">
        <v>489</v>
      </c>
    </row>
    <row r="24" spans="1:23" ht="14.25" x14ac:dyDescent="0.2">
      <c r="A24" s="23">
        <v>1</v>
      </c>
      <c r="B24" s="23">
        <v>2</v>
      </c>
      <c r="C24" s="23">
        <v>3</v>
      </c>
      <c r="D24" s="23">
        <v>4</v>
      </c>
      <c r="E24" s="23">
        <v>5</v>
      </c>
      <c r="F24" s="23">
        <v>6</v>
      </c>
      <c r="G24" s="23">
        <v>7</v>
      </c>
      <c r="H24" s="23">
        <v>8</v>
      </c>
      <c r="I24" s="23">
        <v>9</v>
      </c>
      <c r="J24" s="23">
        <v>10</v>
      </c>
      <c r="K24" s="23">
        <v>11</v>
      </c>
    </row>
    <row r="26" spans="1:23" ht="16.5" x14ac:dyDescent="0.25">
      <c r="A26" s="25" t="str">
        <f>CONCATENATE("Раздел: ",IF(Source!G24&lt;&gt;"Новый раздел", Source!G24, ""))</f>
        <v>Раздел: Строительные работы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</row>
    <row r="28" spans="1:23" ht="16.5" x14ac:dyDescent="0.25">
      <c r="A28" s="25" t="str">
        <f>CONCATENATE("Подраздел: ",IF(Source!G28&lt;&gt;"Новый подраздел", Source!G28, ""))</f>
        <v>Подраздел: Траншея 1.1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</row>
    <row r="29" spans="1:23" ht="57" x14ac:dyDescent="0.2">
      <c r="A29" s="27" t="str">
        <f>Source!E32</f>
        <v>1</v>
      </c>
      <c r="B29" s="28" t="str">
        <f>Source!F32</f>
        <v>3.1-3-2</v>
      </c>
      <c r="C29" s="28" t="str">
        <f>Source!G32</f>
        <v>Разработка грунта в отвал экскаваторами с ковшом вместимостью 0,25 м3 группа грунтов 1-3 / 90%</v>
      </c>
      <c r="D29" s="30" t="str">
        <f>Source!H32</f>
        <v>100 м3 грунта</v>
      </c>
      <c r="E29" s="29">
        <f>Source!I32</f>
        <v>8.1744000000000003</v>
      </c>
      <c r="F29" s="32"/>
      <c r="G29" s="31"/>
      <c r="H29" s="29"/>
      <c r="I29" s="33"/>
      <c r="J29" s="29"/>
      <c r="K29" s="33"/>
      <c r="Q29">
        <f>ROUND((Source!DN32/100)*ROUND((Source!AF32*Source!AV32)*Source!I32, 2), 2)</f>
        <v>97.41</v>
      </c>
      <c r="R29">
        <f>Source!X32</f>
        <v>1746.15</v>
      </c>
      <c r="S29">
        <f>ROUND((Source!DO32/100)*ROUND((Source!AF32*Source!AV32)*Source!I32, 2), 2)</f>
        <v>76.540000000000006</v>
      </c>
      <c r="T29">
        <f>Source!Y32</f>
        <v>972.08</v>
      </c>
      <c r="U29">
        <f>ROUND((175/100)*ROUND((Source!AE32*Source!AV32)*Source!I32, 2), 2)</f>
        <v>1811.62</v>
      </c>
      <c r="V29">
        <f>ROUND((167/100)*ROUND(Source!CS32*Source!I32, 2), 2)</f>
        <v>31308.46</v>
      </c>
    </row>
    <row r="30" spans="1:23" x14ac:dyDescent="0.2">
      <c r="C30" s="34" t="str">
        <f>"Объем: "&amp;Source!I32&amp;"=(1341,6*"&amp;"0,9-"&amp;"390)/"&amp;"100"</f>
        <v>Объем: 8,1744=(1341,6*0,9-390)/100</v>
      </c>
    </row>
    <row r="31" spans="1:23" ht="14.25" x14ac:dyDescent="0.2">
      <c r="A31" s="27"/>
      <c r="B31" s="28"/>
      <c r="C31" s="28" t="s">
        <v>492</v>
      </c>
      <c r="D31" s="30"/>
      <c r="E31" s="29"/>
      <c r="F31" s="32">
        <f>Source!AO32</f>
        <v>12.16</v>
      </c>
      <c r="G31" s="31" t="str">
        <f>Source!DG32</f>
        <v/>
      </c>
      <c r="H31" s="29">
        <f>Source!AV32</f>
        <v>1</v>
      </c>
      <c r="I31" s="33">
        <f>ROUND((Source!AF32*Source!AV32)*Source!I32, 2)</f>
        <v>99.4</v>
      </c>
      <c r="J31" s="29">
        <f>IF(Source!BA32&lt;&gt; 0, Source!BA32, 1)</f>
        <v>18.11</v>
      </c>
      <c r="K31" s="33">
        <f>Source!S32</f>
        <v>1800.15</v>
      </c>
      <c r="W31">
        <f>I31</f>
        <v>99.4</v>
      </c>
    </row>
    <row r="32" spans="1:23" ht="14.25" x14ac:dyDescent="0.2">
      <c r="A32" s="27"/>
      <c r="B32" s="28"/>
      <c r="C32" s="28" t="s">
        <v>493</v>
      </c>
      <c r="D32" s="30"/>
      <c r="E32" s="29"/>
      <c r="F32" s="32">
        <f>Source!AM32</f>
        <v>412.41</v>
      </c>
      <c r="G32" s="31" t="str">
        <f>Source!DE32</f>
        <v/>
      </c>
      <c r="H32" s="29">
        <f>Source!AV32</f>
        <v>1</v>
      </c>
      <c r="I32" s="33">
        <f>ROUND(((((Source!ET32)-(Source!EU32))+Source!AE32)*Source!AV32)*Source!I32, 2)</f>
        <v>3371.2</v>
      </c>
      <c r="J32" s="29">
        <f>IF(Source!BB32&lt;&gt; 0, Source!BB32, 1)</f>
        <v>8.26</v>
      </c>
      <c r="K32" s="33">
        <f>Source!Q32</f>
        <v>27846.15</v>
      </c>
    </row>
    <row r="33" spans="1:27" ht="14.25" x14ac:dyDescent="0.2">
      <c r="A33" s="27"/>
      <c r="B33" s="28"/>
      <c r="C33" s="28" t="s">
        <v>494</v>
      </c>
      <c r="D33" s="30"/>
      <c r="E33" s="29"/>
      <c r="F33" s="32">
        <f>Source!AN32</f>
        <v>126.64</v>
      </c>
      <c r="G33" s="31" t="str">
        <f>Source!DF32</f>
        <v/>
      </c>
      <c r="H33" s="29">
        <f>Source!AV32</f>
        <v>1</v>
      </c>
      <c r="I33" s="35">
        <f>ROUND((Source!AE32*Source!AV32)*Source!I32, 2)</f>
        <v>1035.21</v>
      </c>
      <c r="J33" s="29">
        <f>IF(Source!BS32&lt;&gt; 0, Source!BS32, 1)</f>
        <v>18.11</v>
      </c>
      <c r="K33" s="35">
        <f>Source!R32</f>
        <v>18747.580000000002</v>
      </c>
      <c r="W33">
        <f>I33</f>
        <v>1035.21</v>
      </c>
    </row>
    <row r="34" spans="1:27" ht="14.25" x14ac:dyDescent="0.2">
      <c r="A34" s="27"/>
      <c r="B34" s="28"/>
      <c r="C34" s="28" t="s">
        <v>495</v>
      </c>
      <c r="D34" s="30" t="s">
        <v>496</v>
      </c>
      <c r="E34" s="29">
        <f>Source!DN32</f>
        <v>98</v>
      </c>
      <c r="F34" s="32"/>
      <c r="G34" s="31"/>
      <c r="H34" s="29"/>
      <c r="I34" s="33">
        <f>SUM(Q29:Q33)</f>
        <v>97.41</v>
      </c>
      <c r="J34" s="29">
        <f>Source!BZ32</f>
        <v>97</v>
      </c>
      <c r="K34" s="33">
        <f>SUM(R29:R33)</f>
        <v>1746.15</v>
      </c>
    </row>
    <row r="35" spans="1:27" ht="14.25" x14ac:dyDescent="0.2">
      <c r="A35" s="27"/>
      <c r="B35" s="28"/>
      <c r="C35" s="28" t="s">
        <v>497</v>
      </c>
      <c r="D35" s="30" t="s">
        <v>496</v>
      </c>
      <c r="E35" s="29">
        <f>Source!DO32</f>
        <v>77</v>
      </c>
      <c r="F35" s="32"/>
      <c r="G35" s="31"/>
      <c r="H35" s="29"/>
      <c r="I35" s="33">
        <f>SUM(S29:S34)</f>
        <v>76.540000000000006</v>
      </c>
      <c r="J35" s="29">
        <f>Source!CA32</f>
        <v>54</v>
      </c>
      <c r="K35" s="33">
        <f>SUM(T29:T34)</f>
        <v>972.08</v>
      </c>
    </row>
    <row r="36" spans="1:27" ht="14.25" x14ac:dyDescent="0.2">
      <c r="A36" s="27"/>
      <c r="B36" s="28"/>
      <c r="C36" s="28" t="s">
        <v>498</v>
      </c>
      <c r="D36" s="30" t="s">
        <v>496</v>
      </c>
      <c r="E36" s="29">
        <f>175</f>
        <v>175</v>
      </c>
      <c r="F36" s="32"/>
      <c r="G36" s="31"/>
      <c r="H36" s="29"/>
      <c r="I36" s="33">
        <f>SUM(U29:U35)</f>
        <v>1811.62</v>
      </c>
      <c r="J36" s="29">
        <f>167</f>
        <v>167</v>
      </c>
      <c r="K36" s="33">
        <f>SUM(V29:V35)</f>
        <v>31308.46</v>
      </c>
    </row>
    <row r="37" spans="1:27" ht="14.25" x14ac:dyDescent="0.2">
      <c r="A37" s="27"/>
      <c r="B37" s="28"/>
      <c r="C37" s="28" t="s">
        <v>499</v>
      </c>
      <c r="D37" s="30" t="s">
        <v>500</v>
      </c>
      <c r="E37" s="29">
        <f>Source!AQ32</f>
        <v>1.19</v>
      </c>
      <c r="F37" s="32"/>
      <c r="G37" s="31" t="str">
        <f>Source!DI32</f>
        <v/>
      </c>
      <c r="H37" s="29">
        <f>Source!AV32</f>
        <v>1</v>
      </c>
      <c r="I37" s="33">
        <f>Source!U32</f>
        <v>9.7275360000000006</v>
      </c>
      <c r="J37" s="29"/>
      <c r="K37" s="33"/>
    </row>
    <row r="38" spans="1:27" ht="15" x14ac:dyDescent="0.25">
      <c r="A38" s="38"/>
      <c r="B38" s="38"/>
      <c r="C38" s="38"/>
      <c r="D38" s="38"/>
      <c r="E38" s="38"/>
      <c r="F38" s="38"/>
      <c r="G38" s="38"/>
      <c r="H38" s="39">
        <f>I31+I32+I34+I35+I36</f>
        <v>5456.17</v>
      </c>
      <c r="I38" s="39"/>
      <c r="J38" s="39">
        <f>K31+K32+K34+K35+K36</f>
        <v>63672.990000000005</v>
      </c>
      <c r="K38" s="39"/>
      <c r="O38" s="36">
        <f>I31+I32+I34+I35+I36</f>
        <v>5456.17</v>
      </c>
      <c r="P38" s="36">
        <f>K31+K32+K34+K35+K36</f>
        <v>63672.990000000005</v>
      </c>
      <c r="X38">
        <f>IF(Source!BI32&lt;=1,I31+I32+I34+I35+I36-0, 0)</f>
        <v>5456.17</v>
      </c>
      <c r="Y38">
        <f>IF(Source!BI32=2,I31+I32+I34+I35+I36-0, 0)</f>
        <v>0</v>
      </c>
      <c r="Z38">
        <f>IF(Source!BI32=3,I31+I32+I34+I35+I36-0, 0)</f>
        <v>0</v>
      </c>
      <c r="AA38">
        <f>IF(Source!BI32=4,I31+I32+I34+I35+I36,0)</f>
        <v>0</v>
      </c>
    </row>
    <row r="39" spans="1:27" ht="57" x14ac:dyDescent="0.2">
      <c r="A39" s="27" t="str">
        <f>Source!E33</f>
        <v>2</v>
      </c>
      <c r="B39" s="28" t="str">
        <f>Source!F33</f>
        <v>3.1-7-2</v>
      </c>
      <c r="C39" s="28" t="str">
        <f>Source!G33</f>
        <v>Разработка грунта с погрузкой на автомобили-самосвалы экскаваторами с ковшом вместимостью 0,25 м3 группа грунтов 1-3</v>
      </c>
      <c r="D39" s="30" t="str">
        <f>Source!H33</f>
        <v>100 м3 грунта</v>
      </c>
      <c r="E39" s="29">
        <f>Source!I33</f>
        <v>3.9</v>
      </c>
      <c r="F39" s="32"/>
      <c r="G39" s="31"/>
      <c r="H39" s="29"/>
      <c r="I39" s="33"/>
      <c r="J39" s="29"/>
      <c r="K39" s="33"/>
      <c r="Q39">
        <f>ROUND((Source!DN33/100)*ROUND((Source!AF33*Source!AV33)*Source!I33, 2), 2)</f>
        <v>137.36000000000001</v>
      </c>
      <c r="R39">
        <f>Source!X33</f>
        <v>2462.17</v>
      </c>
      <c r="S39">
        <f>ROUND((Source!DO33/100)*ROUND((Source!AF33*Source!AV33)*Source!I33, 2), 2)</f>
        <v>107.92</v>
      </c>
      <c r="T39">
        <f>Source!Y33</f>
        <v>1370.69</v>
      </c>
      <c r="U39">
        <f>ROUND((175/100)*ROUND((Source!AE33*Source!AV33)*Source!I33, 2), 2)</f>
        <v>1515.62</v>
      </c>
      <c r="V39">
        <f>ROUND((167/100)*ROUND(Source!CS33*Source!I33, 2), 2)</f>
        <v>26193.200000000001</v>
      </c>
    </row>
    <row r="40" spans="1:27" x14ac:dyDescent="0.2">
      <c r="C40" s="34" t="str">
        <f>"Объем: "&amp;Source!I33&amp;"=(390)/"&amp;"100"</f>
        <v>Объем: 3,9=(390)/100</v>
      </c>
    </row>
    <row r="41" spans="1:27" ht="14.25" x14ac:dyDescent="0.2">
      <c r="A41" s="27"/>
      <c r="B41" s="28"/>
      <c r="C41" s="28" t="s">
        <v>492</v>
      </c>
      <c r="D41" s="30"/>
      <c r="E41" s="29"/>
      <c r="F41" s="32">
        <f>Source!AO33</f>
        <v>30.15</v>
      </c>
      <c r="G41" s="31" t="str">
        <f>Source!DG33</f>
        <v/>
      </c>
      <c r="H41" s="29">
        <f>Source!AV33</f>
        <v>1.1919999999999999</v>
      </c>
      <c r="I41" s="33">
        <f>ROUND((Source!AF33*Source!AV33)*Source!I33, 2)</f>
        <v>140.16</v>
      </c>
      <c r="J41" s="29">
        <f>IF(Source!BA33&lt;&gt; 0, Source!BA33, 1)</f>
        <v>18.11</v>
      </c>
      <c r="K41" s="33">
        <f>Source!S33</f>
        <v>2538.3200000000002</v>
      </c>
      <c r="W41">
        <f>I41</f>
        <v>140.16</v>
      </c>
    </row>
    <row r="42" spans="1:27" ht="14.25" x14ac:dyDescent="0.2">
      <c r="A42" s="27"/>
      <c r="B42" s="28"/>
      <c r="C42" s="28" t="s">
        <v>493</v>
      </c>
      <c r="D42" s="30"/>
      <c r="E42" s="29"/>
      <c r="F42" s="32">
        <f>Source!AM33</f>
        <v>645.20000000000005</v>
      </c>
      <c r="G42" s="31" t="str">
        <f>Source!DE33</f>
        <v/>
      </c>
      <c r="H42" s="29">
        <f>Source!AV33</f>
        <v>1.1919999999999999</v>
      </c>
      <c r="I42" s="33">
        <f>ROUND(((((Source!ET33)-(Source!EU33))+Source!AE33)*Source!AV33)*Source!I33, 2)</f>
        <v>2999.41</v>
      </c>
      <c r="J42" s="29">
        <f>IF(Source!BB33&lt;&gt; 0, Source!BB33, 1)</f>
        <v>8.1</v>
      </c>
      <c r="K42" s="33">
        <f>Source!Q33</f>
        <v>24295.19</v>
      </c>
    </row>
    <row r="43" spans="1:27" ht="14.25" x14ac:dyDescent="0.2">
      <c r="A43" s="27"/>
      <c r="B43" s="28"/>
      <c r="C43" s="28" t="s">
        <v>494</v>
      </c>
      <c r="D43" s="30"/>
      <c r="E43" s="29"/>
      <c r="F43" s="32">
        <f>Source!AN33</f>
        <v>186.3</v>
      </c>
      <c r="G43" s="31" t="str">
        <f>Source!DF33</f>
        <v/>
      </c>
      <c r="H43" s="29">
        <f>Source!AV33</f>
        <v>1.1919999999999999</v>
      </c>
      <c r="I43" s="35">
        <f>ROUND((Source!AE33*Source!AV33)*Source!I33, 2)</f>
        <v>866.07</v>
      </c>
      <c r="J43" s="29">
        <f>IF(Source!BS33&lt;&gt; 0, Source!BS33, 1)</f>
        <v>18.11</v>
      </c>
      <c r="K43" s="35">
        <f>Source!R33</f>
        <v>15684.55</v>
      </c>
      <c r="W43">
        <f>I43</f>
        <v>866.07</v>
      </c>
    </row>
    <row r="44" spans="1:27" ht="14.25" x14ac:dyDescent="0.2">
      <c r="A44" s="27"/>
      <c r="B44" s="28"/>
      <c r="C44" s="28" t="s">
        <v>495</v>
      </c>
      <c r="D44" s="30" t="s">
        <v>496</v>
      </c>
      <c r="E44" s="29">
        <f>Source!DN33</f>
        <v>98</v>
      </c>
      <c r="F44" s="32"/>
      <c r="G44" s="31"/>
      <c r="H44" s="29"/>
      <c r="I44" s="33">
        <f>SUM(Q39:Q43)</f>
        <v>137.36000000000001</v>
      </c>
      <c r="J44" s="29">
        <f>Source!BZ33</f>
        <v>97</v>
      </c>
      <c r="K44" s="33">
        <f>SUM(R39:R43)</f>
        <v>2462.17</v>
      </c>
    </row>
    <row r="45" spans="1:27" ht="14.25" x14ac:dyDescent="0.2">
      <c r="A45" s="27"/>
      <c r="B45" s="28"/>
      <c r="C45" s="28" t="s">
        <v>497</v>
      </c>
      <c r="D45" s="30" t="s">
        <v>496</v>
      </c>
      <c r="E45" s="29">
        <f>Source!DO33</f>
        <v>77</v>
      </c>
      <c r="F45" s="32"/>
      <c r="G45" s="31"/>
      <c r="H45" s="29"/>
      <c r="I45" s="33">
        <f>SUM(S39:S44)</f>
        <v>107.92</v>
      </c>
      <c r="J45" s="29">
        <f>Source!CA33</f>
        <v>54</v>
      </c>
      <c r="K45" s="33">
        <f>SUM(T39:T44)</f>
        <v>1370.69</v>
      </c>
    </row>
    <row r="46" spans="1:27" ht="14.25" x14ac:dyDescent="0.2">
      <c r="A46" s="27"/>
      <c r="B46" s="28"/>
      <c r="C46" s="28" t="s">
        <v>498</v>
      </c>
      <c r="D46" s="30" t="s">
        <v>496</v>
      </c>
      <c r="E46" s="29">
        <f>175</f>
        <v>175</v>
      </c>
      <c r="F46" s="32"/>
      <c r="G46" s="31"/>
      <c r="H46" s="29"/>
      <c r="I46" s="33">
        <f>SUM(U39:U45)</f>
        <v>1515.62</v>
      </c>
      <c r="J46" s="29">
        <f>167</f>
        <v>167</v>
      </c>
      <c r="K46" s="33">
        <f>SUM(V39:V45)</f>
        <v>26193.200000000001</v>
      </c>
    </row>
    <row r="47" spans="1:27" ht="14.25" x14ac:dyDescent="0.2">
      <c r="A47" s="27"/>
      <c r="B47" s="28"/>
      <c r="C47" s="28" t="s">
        <v>499</v>
      </c>
      <c r="D47" s="30" t="s">
        <v>500</v>
      </c>
      <c r="E47" s="29">
        <f>Source!AQ33</f>
        <v>2.95</v>
      </c>
      <c r="F47" s="32"/>
      <c r="G47" s="31" t="str">
        <f>Source!DI33</f>
        <v/>
      </c>
      <c r="H47" s="29">
        <f>Source!AV33</f>
        <v>1.1919999999999999</v>
      </c>
      <c r="I47" s="33">
        <f>Source!U33</f>
        <v>13.71396</v>
      </c>
      <c r="J47" s="29"/>
      <c r="K47" s="33"/>
    </row>
    <row r="48" spans="1:27" ht="15" x14ac:dyDescent="0.25">
      <c r="A48" s="38"/>
      <c r="B48" s="38"/>
      <c r="C48" s="38"/>
      <c r="D48" s="38"/>
      <c r="E48" s="38"/>
      <c r="F48" s="38"/>
      <c r="G48" s="38"/>
      <c r="H48" s="39">
        <f>I41+I42+I44+I45+I46</f>
        <v>4900.4699999999993</v>
      </c>
      <c r="I48" s="39"/>
      <c r="J48" s="39">
        <f>K41+K42+K44+K45+K46</f>
        <v>56859.57</v>
      </c>
      <c r="K48" s="39"/>
      <c r="O48" s="36">
        <f>I41+I42+I44+I45+I46</f>
        <v>4900.4699999999993</v>
      </c>
      <c r="P48" s="36">
        <f>K41+K42+K44+K45+K46</f>
        <v>56859.57</v>
      </c>
      <c r="X48">
        <f>IF(Source!BI33&lt;=1,I41+I42+I44+I45+I46-0, 0)</f>
        <v>4900.4699999999993</v>
      </c>
      <c r="Y48">
        <f>IF(Source!BI33=2,I41+I42+I44+I45+I46-0, 0)</f>
        <v>0</v>
      </c>
      <c r="Z48">
        <f>IF(Source!BI33=3,I41+I42+I44+I45+I46-0, 0)</f>
        <v>0</v>
      </c>
      <c r="AA48">
        <f>IF(Source!BI33=4,I41+I42+I44+I45+I46,0)</f>
        <v>0</v>
      </c>
    </row>
    <row r="49" spans="1:27" ht="42.75" x14ac:dyDescent="0.2">
      <c r="A49" s="27" t="str">
        <f>Source!E34</f>
        <v>3</v>
      </c>
      <c r="B49" s="28" t="str">
        <f>Source!F34</f>
        <v>3.1-51-1</v>
      </c>
      <c r="C49" s="28" t="str">
        <f>Source!G34</f>
        <v>Разработка грунта вручную в траншеях глубиной до 2 м без креплений с откосами группа грунтов 1-3 / 10%</v>
      </c>
      <c r="D49" s="30" t="str">
        <f>Source!H34</f>
        <v>100 м3 грунта</v>
      </c>
      <c r="E49" s="29">
        <f>Source!I34</f>
        <v>1.3415999999999999</v>
      </c>
      <c r="F49" s="32"/>
      <c r="G49" s="31"/>
      <c r="H49" s="29"/>
      <c r="I49" s="33"/>
      <c r="J49" s="29"/>
      <c r="K49" s="33"/>
      <c r="Q49">
        <f>ROUND((Source!DN34/100)*ROUND((Source!AF34*Source!AV34)*Source!I34, 2), 2)</f>
        <v>2877.4</v>
      </c>
      <c r="R49">
        <f>Source!X34</f>
        <v>44169.15</v>
      </c>
      <c r="S49">
        <f>ROUND((Source!DO34/100)*ROUND((Source!AF34*Source!AV34)*Source!I34, 2), 2)</f>
        <v>2110.09</v>
      </c>
      <c r="T49">
        <f>Source!Y34</f>
        <v>21836.43</v>
      </c>
      <c r="U49">
        <f>ROUND((175/100)*ROUND((Source!AE34*Source!AV34)*Source!I34, 2), 2)</f>
        <v>0</v>
      </c>
      <c r="V49">
        <f>ROUND((167/100)*ROUND(Source!CS34*Source!I34, 2), 2)</f>
        <v>0</v>
      </c>
    </row>
    <row r="50" spans="1:27" x14ac:dyDescent="0.2">
      <c r="C50" s="34" t="str">
        <f>"Объем: "&amp;Source!I34&amp;"=1341,6*"&amp;"0,1/"&amp;"100"</f>
        <v>Объем: 1,3416=1341,6*0,1/100</v>
      </c>
    </row>
    <row r="51" spans="1:27" ht="14.25" x14ac:dyDescent="0.2">
      <c r="A51" s="27"/>
      <c r="B51" s="28"/>
      <c r="C51" s="28" t="s">
        <v>492</v>
      </c>
      <c r="D51" s="30"/>
      <c r="E51" s="29"/>
      <c r="F51" s="32">
        <f>Source!AO34</f>
        <v>2042.62</v>
      </c>
      <c r="G51" s="31" t="str">
        <f>Source!DG34</f>
        <v/>
      </c>
      <c r="H51" s="29">
        <f>Source!AV34</f>
        <v>1</v>
      </c>
      <c r="I51" s="33">
        <f>ROUND((Source!AF34*Source!AV34)*Source!I34, 2)</f>
        <v>2740.38</v>
      </c>
      <c r="J51" s="29">
        <f>IF(Source!BA34&lt;&gt; 0, Source!BA34, 1)</f>
        <v>18.11</v>
      </c>
      <c r="K51" s="33">
        <f>Source!S34</f>
        <v>49628.26</v>
      </c>
      <c r="W51">
        <f>I51</f>
        <v>2740.38</v>
      </c>
    </row>
    <row r="52" spans="1:27" ht="14.25" x14ac:dyDescent="0.2">
      <c r="A52" s="27"/>
      <c r="B52" s="28"/>
      <c r="C52" s="28" t="s">
        <v>495</v>
      </c>
      <c r="D52" s="30" t="s">
        <v>496</v>
      </c>
      <c r="E52" s="29">
        <f>Source!DN34</f>
        <v>105</v>
      </c>
      <c r="F52" s="32"/>
      <c r="G52" s="31"/>
      <c r="H52" s="29"/>
      <c r="I52" s="33">
        <f>SUM(Q49:Q51)</f>
        <v>2877.4</v>
      </c>
      <c r="J52" s="29">
        <f>Source!BZ34</f>
        <v>89</v>
      </c>
      <c r="K52" s="33">
        <f>SUM(R49:R51)</f>
        <v>44169.15</v>
      </c>
    </row>
    <row r="53" spans="1:27" ht="14.25" x14ac:dyDescent="0.2">
      <c r="A53" s="27"/>
      <c r="B53" s="28"/>
      <c r="C53" s="28" t="s">
        <v>497</v>
      </c>
      <c r="D53" s="30" t="s">
        <v>496</v>
      </c>
      <c r="E53" s="29">
        <f>Source!DO34</f>
        <v>77</v>
      </c>
      <c r="F53" s="32"/>
      <c r="G53" s="31"/>
      <c r="H53" s="29"/>
      <c r="I53" s="33">
        <f>SUM(S49:S52)</f>
        <v>2110.09</v>
      </c>
      <c r="J53" s="29">
        <f>Source!CA34</f>
        <v>44</v>
      </c>
      <c r="K53" s="33">
        <f>SUM(T49:T52)</f>
        <v>21836.43</v>
      </c>
    </row>
    <row r="54" spans="1:27" ht="14.25" x14ac:dyDescent="0.2">
      <c r="A54" s="27"/>
      <c r="B54" s="28"/>
      <c r="C54" s="28" t="s">
        <v>499</v>
      </c>
      <c r="D54" s="30" t="s">
        <v>500</v>
      </c>
      <c r="E54" s="29">
        <f>Source!AQ34</f>
        <v>192.7</v>
      </c>
      <c r="F54" s="32"/>
      <c r="G54" s="31" t="str">
        <f>Source!DI34</f>
        <v/>
      </c>
      <c r="H54" s="29">
        <f>Source!AV34</f>
        <v>1</v>
      </c>
      <c r="I54" s="33">
        <f>Source!U34</f>
        <v>258.52631999999994</v>
      </c>
      <c r="J54" s="29"/>
      <c r="K54" s="33"/>
    </row>
    <row r="55" spans="1:27" ht="15" x14ac:dyDescent="0.25">
      <c r="A55" s="38"/>
      <c r="B55" s="38"/>
      <c r="C55" s="38"/>
      <c r="D55" s="38"/>
      <c r="E55" s="38"/>
      <c r="F55" s="38"/>
      <c r="G55" s="38"/>
      <c r="H55" s="39">
        <f>I51+I52+I53</f>
        <v>7727.8700000000008</v>
      </c>
      <c r="I55" s="39"/>
      <c r="J55" s="39">
        <f>K51+K52+K53</f>
        <v>115633.84</v>
      </c>
      <c r="K55" s="39"/>
      <c r="O55" s="36">
        <f>I51+I52+I53</f>
        <v>7727.8700000000008</v>
      </c>
      <c r="P55" s="36">
        <f>K51+K52+K53</f>
        <v>115633.84</v>
      </c>
      <c r="X55">
        <f>IF(Source!BI34&lt;=1,I51+I52+I53-0, 0)</f>
        <v>7727.8700000000008</v>
      </c>
      <c r="Y55">
        <f>IF(Source!BI34=2,I51+I52+I53-0, 0)</f>
        <v>0</v>
      </c>
      <c r="Z55">
        <f>IF(Source!BI34=3,I51+I52+I53-0, 0)</f>
        <v>0</v>
      </c>
      <c r="AA55">
        <f>IF(Source!BI34=4,I51+I52+I53,0)</f>
        <v>0</v>
      </c>
    </row>
    <row r="56" spans="1:27" ht="28.5" x14ac:dyDescent="0.2">
      <c r="A56" s="27" t="str">
        <f>Source!E35</f>
        <v>4</v>
      </c>
      <c r="B56" s="28" t="str">
        <f>Source!F35</f>
        <v>4.8-74-1</v>
      </c>
      <c r="C56" s="28" t="str">
        <f>Source!G35</f>
        <v>Устройство постели при одном кабеле в траншее</v>
      </c>
      <c r="D56" s="30" t="str">
        <f>Source!H35</f>
        <v>100 М КАБЕЛЯ</v>
      </c>
      <c r="E56" s="29">
        <f>Source!I35</f>
        <v>31.2</v>
      </c>
      <c r="F56" s="32"/>
      <c r="G56" s="31"/>
      <c r="H56" s="29"/>
      <c r="I56" s="33"/>
      <c r="J56" s="29"/>
      <c r="K56" s="33"/>
      <c r="Q56">
        <f>ROUND((Source!DN35/100)*ROUND((Source!AF35*Source!AV35)*Source!I35, 2), 2)</f>
        <v>2795.27</v>
      </c>
      <c r="R56">
        <f>Source!X35</f>
        <v>42938.67</v>
      </c>
      <c r="S56">
        <f>ROUND((Source!DO35/100)*ROUND((Source!AF35*Source!AV35)*Source!I35, 2), 2)</f>
        <v>1747.05</v>
      </c>
      <c r="T56">
        <f>Source!Y35</f>
        <v>20791.36</v>
      </c>
      <c r="U56">
        <f>ROUND((175/100)*ROUND((Source!AE35*Source!AV35)*Source!I35, 2), 2)</f>
        <v>5234.5</v>
      </c>
      <c r="V56">
        <f>ROUND((167/100)*ROUND(Source!CS35*Source!I35, 2), 2)</f>
        <v>90463.22</v>
      </c>
    </row>
    <row r="57" spans="1:27" x14ac:dyDescent="0.2">
      <c r="C57" s="34" t="str">
        <f>"Объем: "&amp;Source!I35&amp;"=3120/"&amp;"100"</f>
        <v>Объем: 31,2=3120/100</v>
      </c>
    </row>
    <row r="58" spans="1:27" ht="14.25" x14ac:dyDescent="0.2">
      <c r="A58" s="27"/>
      <c r="B58" s="28"/>
      <c r="C58" s="28" t="s">
        <v>492</v>
      </c>
      <c r="D58" s="30"/>
      <c r="E58" s="29"/>
      <c r="F58" s="32">
        <f>Source!AO35</f>
        <v>74.97</v>
      </c>
      <c r="G58" s="31" t="str">
        <f>Source!DG35</f>
        <v/>
      </c>
      <c r="H58" s="29">
        <f>Source!AV35</f>
        <v>1.0669999999999999</v>
      </c>
      <c r="I58" s="33">
        <f>ROUND((Source!AF35*Source!AV35)*Source!I35, 2)</f>
        <v>2495.7800000000002</v>
      </c>
      <c r="J58" s="29">
        <f>IF(Source!BA35&lt;&gt; 0, Source!BA35, 1)</f>
        <v>18.11</v>
      </c>
      <c r="K58" s="33">
        <f>Source!S35</f>
        <v>45198.6</v>
      </c>
      <c r="W58">
        <f>I58</f>
        <v>2495.7800000000002</v>
      </c>
    </row>
    <row r="59" spans="1:27" ht="14.25" x14ac:dyDescent="0.2">
      <c r="A59" s="27"/>
      <c r="B59" s="28"/>
      <c r="C59" s="28" t="s">
        <v>493</v>
      </c>
      <c r="D59" s="30"/>
      <c r="E59" s="29"/>
      <c r="F59" s="32">
        <f>Source!AM35</f>
        <v>386.9</v>
      </c>
      <c r="G59" s="31" t="str">
        <f>Source!DE35</f>
        <v/>
      </c>
      <c r="H59" s="29">
        <f>Source!AV35</f>
        <v>1.0669999999999999</v>
      </c>
      <c r="I59" s="33">
        <f>ROUND(((((Source!ET35)-(Source!EU35))+Source!AE35)*Source!AV35)*Source!I35, 2)</f>
        <v>12880.06</v>
      </c>
      <c r="J59" s="29">
        <f>IF(Source!BB35&lt;&gt; 0, Source!BB35, 1)</f>
        <v>8.44</v>
      </c>
      <c r="K59" s="33">
        <f>Source!Q35</f>
        <v>108707.67</v>
      </c>
    </row>
    <row r="60" spans="1:27" ht="14.25" x14ac:dyDescent="0.2">
      <c r="A60" s="27"/>
      <c r="B60" s="28"/>
      <c r="C60" s="28" t="s">
        <v>494</v>
      </c>
      <c r="D60" s="30"/>
      <c r="E60" s="29"/>
      <c r="F60" s="32">
        <f>Source!AN35</f>
        <v>89.85</v>
      </c>
      <c r="G60" s="31" t="str">
        <f>Source!DF35</f>
        <v/>
      </c>
      <c r="H60" s="29">
        <f>Source!AV35</f>
        <v>1.0669999999999999</v>
      </c>
      <c r="I60" s="35">
        <f>ROUND((Source!AE35*Source!AV35)*Source!I35, 2)</f>
        <v>2991.14</v>
      </c>
      <c r="J60" s="29">
        <f>IF(Source!BS35&lt;&gt; 0, Source!BS35, 1)</f>
        <v>18.11</v>
      </c>
      <c r="K60" s="35">
        <f>Source!R35</f>
        <v>54169.59</v>
      </c>
      <c r="W60">
        <f>I60</f>
        <v>2991.14</v>
      </c>
    </row>
    <row r="61" spans="1:27" ht="14.25" x14ac:dyDescent="0.2">
      <c r="A61" s="27"/>
      <c r="B61" s="28"/>
      <c r="C61" s="28" t="s">
        <v>501</v>
      </c>
      <c r="D61" s="30"/>
      <c r="E61" s="29"/>
      <c r="F61" s="32">
        <f>Source!AL35</f>
        <v>0.56000000000000005</v>
      </c>
      <c r="G61" s="31" t="str">
        <f>Source!DD35</f>
        <v/>
      </c>
      <c r="H61" s="29">
        <f>Source!AW35</f>
        <v>1.081</v>
      </c>
      <c r="I61" s="33">
        <f>ROUND((Source!AC35*Source!AW35)*Source!I35, 2)</f>
        <v>18.89</v>
      </c>
      <c r="J61" s="29">
        <f>IF(Source!BC35&lt;&gt; 0, Source!BC35, 1)</f>
        <v>5.07</v>
      </c>
      <c r="K61" s="33">
        <f>Source!P35</f>
        <v>95.76</v>
      </c>
    </row>
    <row r="62" spans="1:27" ht="14.25" x14ac:dyDescent="0.2">
      <c r="A62" s="27"/>
      <c r="B62" s="28"/>
      <c r="C62" s="28" t="s">
        <v>495</v>
      </c>
      <c r="D62" s="30" t="s">
        <v>496</v>
      </c>
      <c r="E62" s="29">
        <f>Source!DN35</f>
        <v>112</v>
      </c>
      <c r="F62" s="32"/>
      <c r="G62" s="31"/>
      <c r="H62" s="29"/>
      <c r="I62" s="33">
        <f>SUM(Q56:Q61)</f>
        <v>2795.27</v>
      </c>
      <c r="J62" s="29">
        <f>Source!BZ35</f>
        <v>95</v>
      </c>
      <c r="K62" s="33">
        <f>SUM(R56:R61)</f>
        <v>42938.67</v>
      </c>
    </row>
    <row r="63" spans="1:27" ht="14.25" x14ac:dyDescent="0.2">
      <c r="A63" s="27"/>
      <c r="B63" s="28"/>
      <c r="C63" s="28" t="s">
        <v>497</v>
      </c>
      <c r="D63" s="30" t="s">
        <v>496</v>
      </c>
      <c r="E63" s="29">
        <f>Source!DO35</f>
        <v>70</v>
      </c>
      <c r="F63" s="32"/>
      <c r="G63" s="31"/>
      <c r="H63" s="29"/>
      <c r="I63" s="33">
        <f>SUM(S56:S62)</f>
        <v>1747.05</v>
      </c>
      <c r="J63" s="29">
        <f>Source!CA35</f>
        <v>46</v>
      </c>
      <c r="K63" s="33">
        <f>SUM(T56:T62)</f>
        <v>20791.36</v>
      </c>
    </row>
    <row r="64" spans="1:27" ht="14.25" x14ac:dyDescent="0.2">
      <c r="A64" s="27"/>
      <c r="B64" s="28"/>
      <c r="C64" s="28" t="s">
        <v>498</v>
      </c>
      <c r="D64" s="30" t="s">
        <v>496</v>
      </c>
      <c r="E64" s="29">
        <f>175</f>
        <v>175</v>
      </c>
      <c r="F64" s="32"/>
      <c r="G64" s="31"/>
      <c r="H64" s="29"/>
      <c r="I64" s="33">
        <f>SUM(U56:U63)</f>
        <v>5234.5</v>
      </c>
      <c r="J64" s="29">
        <f>167</f>
        <v>167</v>
      </c>
      <c r="K64" s="33">
        <f>SUM(V56:V63)</f>
        <v>90463.22</v>
      </c>
    </row>
    <row r="65" spans="1:27" ht="14.25" x14ac:dyDescent="0.2">
      <c r="A65" s="27"/>
      <c r="B65" s="28"/>
      <c r="C65" s="28" t="s">
        <v>499</v>
      </c>
      <c r="D65" s="30" t="s">
        <v>500</v>
      </c>
      <c r="E65" s="29">
        <f>Source!AQ35</f>
        <v>6.08</v>
      </c>
      <c r="F65" s="32"/>
      <c r="G65" s="31" t="str">
        <f>Source!DI35</f>
        <v/>
      </c>
      <c r="H65" s="29">
        <f>Source!AV35</f>
        <v>1.0669999999999999</v>
      </c>
      <c r="I65" s="33">
        <f>Source!U35</f>
        <v>202.405632</v>
      </c>
      <c r="J65" s="29"/>
      <c r="K65" s="33"/>
    </row>
    <row r="66" spans="1:27" ht="15" x14ac:dyDescent="0.25">
      <c r="A66" s="38"/>
      <c r="B66" s="38"/>
      <c r="C66" s="38"/>
      <c r="D66" s="38"/>
      <c r="E66" s="38"/>
      <c r="F66" s="38"/>
      <c r="G66" s="38"/>
      <c r="H66" s="39">
        <f>I58+I59+I61+I62+I63+I64</f>
        <v>25171.55</v>
      </c>
      <c r="I66" s="39"/>
      <c r="J66" s="39">
        <f>K58+K59+K61+K62+K63+K64</f>
        <v>308195.28000000003</v>
      </c>
      <c r="K66" s="39"/>
      <c r="O66" s="36">
        <f>I58+I59+I61+I62+I63+I64</f>
        <v>25171.55</v>
      </c>
      <c r="P66" s="36">
        <f>K58+K59+K61+K62+K63+K64</f>
        <v>308195.28000000003</v>
      </c>
      <c r="X66">
        <f>IF(Source!BI35&lt;=1,I58+I59+I61+I62+I63+I64-0, 0)</f>
        <v>0</v>
      </c>
      <c r="Y66">
        <f>IF(Source!BI35=2,I58+I59+I61+I62+I63+I64-0, 0)</f>
        <v>25171.55</v>
      </c>
      <c r="Z66">
        <f>IF(Source!BI35=3,I58+I59+I61+I62+I63+I64-0, 0)</f>
        <v>0</v>
      </c>
      <c r="AA66">
        <f>IF(Source!BI35=4,I58+I59+I61+I62+I63+I64,0)</f>
        <v>0</v>
      </c>
    </row>
    <row r="67" spans="1:27" ht="28.5" x14ac:dyDescent="0.2">
      <c r="A67" s="27" t="str">
        <f>Source!E36</f>
        <v>5</v>
      </c>
      <c r="B67" s="28" t="str">
        <f>Source!F36</f>
        <v>1.1-1-766</v>
      </c>
      <c r="C67" s="28" t="str">
        <f>Source!G36</f>
        <v>Песок для строительных работ, рядовой</v>
      </c>
      <c r="D67" s="30" t="str">
        <f>Source!H36</f>
        <v>м3</v>
      </c>
      <c r="E67" s="29">
        <f>Source!I36</f>
        <v>171.6</v>
      </c>
      <c r="F67" s="32">
        <f>Source!AL36</f>
        <v>104.99</v>
      </c>
      <c r="G67" s="31" t="str">
        <f>Source!DD36</f>
        <v/>
      </c>
      <c r="H67" s="29">
        <f>Source!AW36</f>
        <v>1</v>
      </c>
      <c r="I67" s="33">
        <f>ROUND((Source!AC36*Source!AW36)*Source!I36, 2)</f>
        <v>18016.28</v>
      </c>
      <c r="J67" s="29">
        <f>IF(Source!BC36&lt;&gt; 0, Source!BC36, 1)</f>
        <v>5.27</v>
      </c>
      <c r="K67" s="33">
        <f>Source!P36</f>
        <v>94945.82</v>
      </c>
      <c r="Q67">
        <f>ROUND((Source!DN36/100)*ROUND((Source!AF36*Source!AV36)*Source!I36, 2), 2)</f>
        <v>0</v>
      </c>
      <c r="R67">
        <f>Source!X36</f>
        <v>0</v>
      </c>
      <c r="S67">
        <f>ROUND((Source!DO36/100)*ROUND((Source!AF36*Source!AV36)*Source!I36, 2), 2)</f>
        <v>0</v>
      </c>
      <c r="T67">
        <f>Source!Y36</f>
        <v>0</v>
      </c>
      <c r="U67">
        <f>ROUND((175/100)*ROUND((Source!AE36*Source!AV36)*Source!I36, 2), 2)</f>
        <v>0</v>
      </c>
      <c r="V67">
        <f>ROUND((167/100)*ROUND(Source!CS36*Source!I36, 2), 2)</f>
        <v>0</v>
      </c>
    </row>
    <row r="68" spans="1:27" x14ac:dyDescent="0.2">
      <c r="C68" s="34" t="str">
        <f>"Объем: "&amp;Source!I36&amp;"=156*"&amp;"1,1"</f>
        <v>Объем: 171,6=156*1,1</v>
      </c>
    </row>
    <row r="69" spans="1:27" ht="15" x14ac:dyDescent="0.25">
      <c r="A69" s="38"/>
      <c r="B69" s="38"/>
      <c r="C69" s="38"/>
      <c r="D69" s="38"/>
      <c r="E69" s="38"/>
      <c r="F69" s="38"/>
      <c r="G69" s="38"/>
      <c r="H69" s="39">
        <f>I67</f>
        <v>18016.28</v>
      </c>
      <c r="I69" s="39"/>
      <c r="J69" s="39">
        <f>K67</f>
        <v>94945.82</v>
      </c>
      <c r="K69" s="39"/>
      <c r="O69" s="36">
        <f>I67</f>
        <v>18016.28</v>
      </c>
      <c r="P69" s="36">
        <f>K67</f>
        <v>94945.82</v>
      </c>
      <c r="X69">
        <f>IF(Source!BI36&lt;=1,I67-0, 0)</f>
        <v>18016.28</v>
      </c>
      <c r="Y69">
        <f>IF(Source!BI36=2,I67-0, 0)</f>
        <v>0</v>
      </c>
      <c r="Z69">
        <f>IF(Source!BI36=3,I67-0, 0)</f>
        <v>0</v>
      </c>
      <c r="AA69">
        <f>IF(Source!BI36=4,I67,0)</f>
        <v>0</v>
      </c>
    </row>
    <row r="70" spans="1:27" ht="57" x14ac:dyDescent="0.2">
      <c r="A70" s="27" t="str">
        <f>Source!E37</f>
        <v>6</v>
      </c>
      <c r="B70" s="28" t="str">
        <f>Source!F37</f>
        <v>3.1-14-1</v>
      </c>
      <c r="C70" s="28" t="str">
        <f>Source!G37</f>
        <v>Засыпка траншей и котлованов бульдозерами мощностью 59 (80) кВт (л.с.) при перемещении грунта до 5 м группа грунтов 1-3</v>
      </c>
      <c r="D70" s="30" t="str">
        <f>Source!H37</f>
        <v>100 м3 грунта</v>
      </c>
      <c r="E70" s="29">
        <f>Source!I37</f>
        <v>2.34</v>
      </c>
      <c r="F70" s="32"/>
      <c r="G70" s="31"/>
      <c r="H70" s="29"/>
      <c r="I70" s="33"/>
      <c r="J70" s="29"/>
      <c r="K70" s="33"/>
      <c r="Q70">
        <f>ROUND((Source!DN37/100)*ROUND((Source!AF37*Source!AV37)*Source!I37, 2), 2)</f>
        <v>0</v>
      </c>
      <c r="R70">
        <f>Source!X37</f>
        <v>0</v>
      </c>
      <c r="S70">
        <f>ROUND((Source!DO37/100)*ROUND((Source!AF37*Source!AV37)*Source!I37, 2), 2)</f>
        <v>0</v>
      </c>
      <c r="T70">
        <f>Source!Y37</f>
        <v>0</v>
      </c>
      <c r="U70">
        <f>ROUND((175/100)*ROUND((Source!AE37*Source!AV37)*Source!I37, 2), 2)</f>
        <v>81.25</v>
      </c>
      <c r="V70">
        <f>ROUND((167/100)*ROUND(Source!CS37*Source!I37, 2), 2)</f>
        <v>1404.09</v>
      </c>
    </row>
    <row r="71" spans="1:27" x14ac:dyDescent="0.2">
      <c r="C71" s="34" t="str">
        <f>"Объем: "&amp;Source!I37&amp;"=234/"&amp;"100"</f>
        <v>Объем: 2,34=234/100</v>
      </c>
    </row>
    <row r="72" spans="1:27" ht="14.25" x14ac:dyDescent="0.2">
      <c r="A72" s="27"/>
      <c r="B72" s="28"/>
      <c r="C72" s="28" t="s">
        <v>493</v>
      </c>
      <c r="D72" s="30"/>
      <c r="E72" s="29"/>
      <c r="F72" s="32">
        <f>Source!AM37</f>
        <v>84.89</v>
      </c>
      <c r="G72" s="31" t="str">
        <f>Source!DE37</f>
        <v/>
      </c>
      <c r="H72" s="29">
        <f>Source!AV37</f>
        <v>1</v>
      </c>
      <c r="I72" s="33">
        <f>ROUND(((((Source!ET37)-(Source!EU37))+Source!AE37)*Source!AV37)*Source!I37, 2)</f>
        <v>198.64</v>
      </c>
      <c r="J72" s="29">
        <f>IF(Source!BB37&lt;&gt; 0, Source!BB37, 1)</f>
        <v>7.61</v>
      </c>
      <c r="K72" s="33">
        <f>Source!Q37</f>
        <v>1511.67</v>
      </c>
    </row>
    <row r="73" spans="1:27" ht="14.25" x14ac:dyDescent="0.2">
      <c r="A73" s="27"/>
      <c r="B73" s="28"/>
      <c r="C73" s="28" t="s">
        <v>494</v>
      </c>
      <c r="D73" s="30"/>
      <c r="E73" s="29"/>
      <c r="F73" s="32">
        <f>Source!AN37</f>
        <v>19.84</v>
      </c>
      <c r="G73" s="31" t="str">
        <f>Source!DF37</f>
        <v/>
      </c>
      <c r="H73" s="29">
        <f>Source!AV37</f>
        <v>1</v>
      </c>
      <c r="I73" s="35">
        <f>ROUND((Source!AE37*Source!AV37)*Source!I37, 2)</f>
        <v>46.43</v>
      </c>
      <c r="J73" s="29">
        <f>IF(Source!BS37&lt;&gt; 0, Source!BS37, 1)</f>
        <v>18.11</v>
      </c>
      <c r="K73" s="35">
        <f>Source!R37</f>
        <v>840.77</v>
      </c>
      <c r="W73">
        <f>I73</f>
        <v>46.43</v>
      </c>
    </row>
    <row r="74" spans="1:27" ht="28.5" x14ac:dyDescent="0.2">
      <c r="A74" s="27" t="str">
        <f>Source!E38</f>
        <v>6,1</v>
      </c>
      <c r="B74" s="28" t="str">
        <f>Source!F38</f>
        <v>1.1-1-766</v>
      </c>
      <c r="C74" s="28" t="str">
        <f>Source!G38</f>
        <v>Песок для строительных работ, рядовой</v>
      </c>
      <c r="D74" s="30" t="str">
        <f>Source!H38</f>
        <v>м3</v>
      </c>
      <c r="E74" s="29">
        <f>Source!I38</f>
        <v>234</v>
      </c>
      <c r="F74" s="32">
        <f>Source!AK38</f>
        <v>104.99</v>
      </c>
      <c r="G74" s="40" t="s">
        <v>3</v>
      </c>
      <c r="H74" s="29">
        <f>Source!AW38</f>
        <v>1</v>
      </c>
      <c r="I74" s="33">
        <f>ROUND((Source!AC38*Source!AW38)*Source!I38, 2)+ROUND(((((Source!ET38)-(Source!EU38))+Source!AE38)*Source!AV38)*Source!I38, 2)+ROUND((Source!AF38*Source!AV38)*Source!I38, 2)</f>
        <v>24567.66</v>
      </c>
      <c r="J74" s="29">
        <f>IF(Source!BC38&lt;&gt; 0, Source!BC38, 1)</f>
        <v>5.27</v>
      </c>
      <c r="K74" s="33">
        <f>Source!O38</f>
        <v>129471.57</v>
      </c>
      <c r="Q74">
        <f>ROUND((Source!DN38/100)*ROUND((Source!AF38*Source!AV38)*Source!I38, 2), 2)</f>
        <v>0</v>
      </c>
      <c r="R74">
        <f>Source!X38</f>
        <v>0</v>
      </c>
      <c r="S74">
        <f>ROUND((Source!DO38/100)*ROUND((Source!AF38*Source!AV38)*Source!I38, 2), 2)</f>
        <v>0</v>
      </c>
      <c r="T74">
        <f>Source!Y38</f>
        <v>0</v>
      </c>
      <c r="U74">
        <f>ROUND((175/100)*ROUND((Source!AE38*Source!AV38)*Source!I38, 2), 2)</f>
        <v>0</v>
      </c>
      <c r="V74">
        <f>ROUND((167/100)*ROUND(Source!CS38*Source!I38, 2), 2)</f>
        <v>0</v>
      </c>
      <c r="X74">
        <f>IF(Source!BI38&lt;=1,I74, 0)</f>
        <v>24567.66</v>
      </c>
      <c r="Y74">
        <f>IF(Source!BI38=2,I74, 0)</f>
        <v>0</v>
      </c>
      <c r="Z74">
        <f>IF(Source!BI38=3,I74, 0)</f>
        <v>0</v>
      </c>
      <c r="AA74">
        <f>IF(Source!BI38=4,I74, 0)</f>
        <v>0</v>
      </c>
    </row>
    <row r="75" spans="1:27" ht="14.25" x14ac:dyDescent="0.2">
      <c r="A75" s="27"/>
      <c r="B75" s="28"/>
      <c r="C75" s="28" t="s">
        <v>498</v>
      </c>
      <c r="D75" s="30" t="s">
        <v>496</v>
      </c>
      <c r="E75" s="29">
        <f>175</f>
        <v>175</v>
      </c>
      <c r="F75" s="32"/>
      <c r="G75" s="31"/>
      <c r="H75" s="29"/>
      <c r="I75" s="33">
        <f>SUM(U70:U74)</f>
        <v>81.25</v>
      </c>
      <c r="J75" s="29">
        <f>167</f>
        <v>167</v>
      </c>
      <c r="K75" s="33">
        <f>SUM(V70:V74)</f>
        <v>1404.09</v>
      </c>
    </row>
    <row r="76" spans="1:27" ht="15" x14ac:dyDescent="0.25">
      <c r="A76" s="38"/>
      <c r="B76" s="38"/>
      <c r="C76" s="38"/>
      <c r="D76" s="38"/>
      <c r="E76" s="38"/>
      <c r="F76" s="38"/>
      <c r="G76" s="38"/>
      <c r="H76" s="39">
        <f>I72+I75+SUM(I74:I74)</f>
        <v>24847.55</v>
      </c>
      <c r="I76" s="39"/>
      <c r="J76" s="39">
        <f>K72+K75+SUM(K74:K74)</f>
        <v>132387.33000000002</v>
      </c>
      <c r="K76" s="39"/>
      <c r="O76" s="36">
        <f>I72+I75+SUM(I74:I74)</f>
        <v>24847.55</v>
      </c>
      <c r="P76" s="36">
        <f>K72+K75+SUM(K74:K74)</f>
        <v>132387.33000000002</v>
      </c>
      <c r="X76">
        <f>IF(Source!BI37&lt;=1,I72+I75-0, 0)</f>
        <v>279.89</v>
      </c>
      <c r="Y76">
        <f>IF(Source!BI37=2,I72+I75-0, 0)</f>
        <v>0</v>
      </c>
      <c r="Z76">
        <f>IF(Source!BI37=3,I72+I75-0, 0)</f>
        <v>0</v>
      </c>
      <c r="AA76">
        <f>IF(Source!BI37=4,I72+I75,0)</f>
        <v>0</v>
      </c>
    </row>
    <row r="77" spans="1:27" ht="57" x14ac:dyDescent="0.2">
      <c r="A77" s="27" t="str">
        <f>Source!E39</f>
        <v>7</v>
      </c>
      <c r="B77" s="28" t="str">
        <f>Source!F39</f>
        <v>3.1-14-1</v>
      </c>
      <c r="C77" s="28" t="str">
        <f>Source!G39</f>
        <v>Засыпка траншей и котлованов бульдозерами мощностью 59 (80) кВт (л.с.) при перемещении грунта до 5 м группа грунтов 1-3 / 90%</v>
      </c>
      <c r="D77" s="30" t="str">
        <f>Source!H39</f>
        <v>100 м3 грунта</v>
      </c>
      <c r="E77" s="29">
        <f>Source!I39</f>
        <v>8.5643999999999991</v>
      </c>
      <c r="F77" s="32"/>
      <c r="G77" s="31"/>
      <c r="H77" s="29"/>
      <c r="I77" s="33"/>
      <c r="J77" s="29"/>
      <c r="K77" s="33"/>
      <c r="Q77">
        <f>ROUND((Source!DN39/100)*ROUND((Source!AF39*Source!AV39)*Source!I39, 2), 2)</f>
        <v>0</v>
      </c>
      <c r="R77">
        <f>Source!X39</f>
        <v>0</v>
      </c>
      <c r="S77">
        <f>ROUND((Source!DO39/100)*ROUND((Source!AF39*Source!AV39)*Source!I39, 2), 2)</f>
        <v>0</v>
      </c>
      <c r="T77">
        <f>Source!Y39</f>
        <v>0</v>
      </c>
      <c r="U77">
        <f>ROUND((175/100)*ROUND((Source!AE39*Source!AV39)*Source!I39, 2), 2)</f>
        <v>297.36</v>
      </c>
      <c r="V77">
        <f>ROUND((167/100)*ROUND(Source!CS39*Source!I39, 2), 2)</f>
        <v>5138.9399999999996</v>
      </c>
    </row>
    <row r="78" spans="1:27" x14ac:dyDescent="0.2">
      <c r="C78" s="34" t="str">
        <f>"Объем: "&amp;Source!I39&amp;"=951,6*"&amp;"0,9/"&amp;"100"</f>
        <v>Объем: 8,5644=951,6*0,9/100</v>
      </c>
    </row>
    <row r="79" spans="1:27" ht="14.25" x14ac:dyDescent="0.2">
      <c r="A79" s="27"/>
      <c r="B79" s="28"/>
      <c r="C79" s="28" t="s">
        <v>493</v>
      </c>
      <c r="D79" s="30"/>
      <c r="E79" s="29"/>
      <c r="F79" s="32">
        <f>Source!AM39</f>
        <v>84.89</v>
      </c>
      <c r="G79" s="31" t="str">
        <f>Source!DE39</f>
        <v/>
      </c>
      <c r="H79" s="29">
        <f>Source!AV39</f>
        <v>1</v>
      </c>
      <c r="I79" s="33">
        <f>ROUND(((((Source!ET39)-(Source!EU39))+Source!AE39)*Source!AV39)*Source!I39, 2)</f>
        <v>727.03</v>
      </c>
      <c r="J79" s="29">
        <f>IF(Source!BB39&lt;&gt; 0, Source!BB39, 1)</f>
        <v>7.61</v>
      </c>
      <c r="K79" s="33">
        <f>Source!Q39</f>
        <v>5532.71</v>
      </c>
    </row>
    <row r="80" spans="1:27" ht="14.25" x14ac:dyDescent="0.2">
      <c r="A80" s="27"/>
      <c r="B80" s="28"/>
      <c r="C80" s="28" t="s">
        <v>494</v>
      </c>
      <c r="D80" s="30"/>
      <c r="E80" s="29"/>
      <c r="F80" s="32">
        <f>Source!AN39</f>
        <v>19.84</v>
      </c>
      <c r="G80" s="31" t="str">
        <f>Source!DF39</f>
        <v/>
      </c>
      <c r="H80" s="29">
        <f>Source!AV39</f>
        <v>1</v>
      </c>
      <c r="I80" s="35">
        <f>ROUND((Source!AE39*Source!AV39)*Source!I39, 2)</f>
        <v>169.92</v>
      </c>
      <c r="J80" s="29">
        <f>IF(Source!BS39&lt;&gt; 0, Source!BS39, 1)</f>
        <v>18.11</v>
      </c>
      <c r="K80" s="35">
        <f>Source!R39</f>
        <v>3077.21</v>
      </c>
      <c r="W80">
        <f>I80</f>
        <v>169.92</v>
      </c>
    </row>
    <row r="81" spans="1:27" ht="14.25" x14ac:dyDescent="0.2">
      <c r="A81" s="27"/>
      <c r="B81" s="28"/>
      <c r="C81" s="28" t="s">
        <v>498</v>
      </c>
      <c r="D81" s="30" t="s">
        <v>496</v>
      </c>
      <c r="E81" s="29">
        <f>175</f>
        <v>175</v>
      </c>
      <c r="F81" s="32"/>
      <c r="G81" s="31"/>
      <c r="H81" s="29"/>
      <c r="I81" s="33">
        <f>SUM(U77:U80)</f>
        <v>297.36</v>
      </c>
      <c r="J81" s="29">
        <f>167</f>
        <v>167</v>
      </c>
      <c r="K81" s="33">
        <f>SUM(V77:V80)</f>
        <v>5138.9399999999996</v>
      </c>
    </row>
    <row r="82" spans="1:27" ht="15" x14ac:dyDescent="0.25">
      <c r="A82" s="38"/>
      <c r="B82" s="38"/>
      <c r="C82" s="38"/>
      <c r="D82" s="38"/>
      <c r="E82" s="38"/>
      <c r="F82" s="38"/>
      <c r="G82" s="38"/>
      <c r="H82" s="39">
        <f>I79+I81</f>
        <v>1024.3899999999999</v>
      </c>
      <c r="I82" s="39"/>
      <c r="J82" s="39">
        <f>K79+K81</f>
        <v>10671.65</v>
      </c>
      <c r="K82" s="39"/>
      <c r="O82" s="36">
        <f>I79+I81</f>
        <v>1024.3899999999999</v>
      </c>
      <c r="P82" s="36">
        <f>K79+K81</f>
        <v>10671.65</v>
      </c>
      <c r="X82">
        <f>IF(Source!BI39&lt;=1,I79+I81-0, 0)</f>
        <v>1024.3899999999999</v>
      </c>
      <c r="Y82">
        <f>IF(Source!BI39=2,I79+I81-0, 0)</f>
        <v>0</v>
      </c>
      <c r="Z82">
        <f>IF(Source!BI39=3,I79+I81-0, 0)</f>
        <v>0</v>
      </c>
      <c r="AA82">
        <f>IF(Source!BI39=4,I79+I81,0)</f>
        <v>0</v>
      </c>
    </row>
    <row r="83" spans="1:27" ht="57" x14ac:dyDescent="0.2">
      <c r="A83" s="27" t="str">
        <f>Source!E40</f>
        <v>8</v>
      </c>
      <c r="B83" s="28" t="str">
        <f>Source!F40</f>
        <v>3.1-29-1</v>
      </c>
      <c r="C83" s="28" t="str">
        <f>Source!G40</f>
        <v>Уплотнение грунта пневматическими трамбовками группа грунтов 1,2</v>
      </c>
      <c r="D83" s="30" t="str">
        <f>Source!H40</f>
        <v>100 м3 уплотненного грунта</v>
      </c>
      <c r="E83" s="29">
        <f>Source!I40</f>
        <v>8.5643999999999991</v>
      </c>
      <c r="F83" s="32"/>
      <c r="G83" s="31"/>
      <c r="H83" s="29"/>
      <c r="I83" s="33"/>
      <c r="J83" s="29"/>
      <c r="K83" s="33"/>
      <c r="Q83">
        <f>ROUND((Source!DN40/100)*ROUND((Source!AF40*Source!AV40)*Source!I40, 2), 2)</f>
        <v>1013.39</v>
      </c>
      <c r="R83">
        <f>Source!X40</f>
        <v>18165.12</v>
      </c>
      <c r="S83">
        <f>ROUND((Source!DO40/100)*ROUND((Source!AF40*Source!AV40)*Source!I40, 2), 2)</f>
        <v>796.23</v>
      </c>
      <c r="T83">
        <f>Source!Y40</f>
        <v>10112.540000000001</v>
      </c>
      <c r="U83">
        <f>ROUND((175/100)*ROUND((Source!AE40*Source!AV40)*Source!I40, 2), 2)</f>
        <v>2922.31</v>
      </c>
      <c r="V83">
        <f>ROUND((167/100)*ROUND(Source!CS40*Source!I40, 2), 2)</f>
        <v>50503.56</v>
      </c>
    </row>
    <row r="84" spans="1:27" x14ac:dyDescent="0.2">
      <c r="C84" s="34" t="str">
        <f>"Объем: "&amp;Source!I40&amp;"=856,44/"&amp;"100"</f>
        <v>Объем: 8,5644=856,44/100</v>
      </c>
    </row>
    <row r="85" spans="1:27" ht="14.25" x14ac:dyDescent="0.2">
      <c r="A85" s="27"/>
      <c r="B85" s="28"/>
      <c r="C85" s="28" t="s">
        <v>492</v>
      </c>
      <c r="D85" s="30"/>
      <c r="E85" s="29"/>
      <c r="F85" s="32">
        <f>Source!AO40</f>
        <v>120.74</v>
      </c>
      <c r="G85" s="31" t="str">
        <f>Source!DG40</f>
        <v/>
      </c>
      <c r="H85" s="29">
        <f>Source!AV40</f>
        <v>1</v>
      </c>
      <c r="I85" s="33">
        <f>ROUND((Source!AF40*Source!AV40)*Source!I40, 2)</f>
        <v>1034.07</v>
      </c>
      <c r="J85" s="29">
        <f>IF(Source!BA40&lt;&gt; 0, Source!BA40, 1)</f>
        <v>18.11</v>
      </c>
      <c r="K85" s="33">
        <f>Source!S40</f>
        <v>18726.93</v>
      </c>
      <c r="W85">
        <f>I85</f>
        <v>1034.07</v>
      </c>
    </row>
    <row r="86" spans="1:27" ht="14.25" x14ac:dyDescent="0.2">
      <c r="A86" s="27"/>
      <c r="B86" s="28"/>
      <c r="C86" s="28" t="s">
        <v>493</v>
      </c>
      <c r="D86" s="30"/>
      <c r="E86" s="29"/>
      <c r="F86" s="32">
        <f>Source!AM40</f>
        <v>643.97</v>
      </c>
      <c r="G86" s="31" t="str">
        <f>Source!DE40</f>
        <v/>
      </c>
      <c r="H86" s="29">
        <f>Source!AV40</f>
        <v>1</v>
      </c>
      <c r="I86" s="33">
        <f>ROUND(((((Source!ET40)-(Source!EU40))+Source!AE40)*Source!AV40)*Source!I40, 2)</f>
        <v>5515.22</v>
      </c>
      <c r="J86" s="29">
        <f>IF(Source!BB40&lt;&gt; 0, Source!BB40, 1)</f>
        <v>9.36</v>
      </c>
      <c r="K86" s="33">
        <f>Source!Q40</f>
        <v>51622.43</v>
      </c>
    </row>
    <row r="87" spans="1:27" ht="14.25" x14ac:dyDescent="0.2">
      <c r="A87" s="27"/>
      <c r="B87" s="28"/>
      <c r="C87" s="28" t="s">
        <v>494</v>
      </c>
      <c r="D87" s="30"/>
      <c r="E87" s="29"/>
      <c r="F87" s="32">
        <f>Source!AN40</f>
        <v>194.98</v>
      </c>
      <c r="G87" s="31" t="str">
        <f>Source!DF40</f>
        <v/>
      </c>
      <c r="H87" s="29">
        <f>Source!AV40</f>
        <v>1</v>
      </c>
      <c r="I87" s="35">
        <f>ROUND((Source!AE40*Source!AV40)*Source!I40, 2)</f>
        <v>1669.89</v>
      </c>
      <c r="J87" s="29">
        <f>IF(Source!BS40&lt;&gt; 0, Source!BS40, 1)</f>
        <v>18.11</v>
      </c>
      <c r="K87" s="35">
        <f>Source!R40</f>
        <v>30241.65</v>
      </c>
      <c r="W87">
        <f>I87</f>
        <v>1669.89</v>
      </c>
    </row>
    <row r="88" spans="1:27" ht="14.25" x14ac:dyDescent="0.2">
      <c r="A88" s="27"/>
      <c r="B88" s="28"/>
      <c r="C88" s="28" t="s">
        <v>495</v>
      </c>
      <c r="D88" s="30" t="s">
        <v>496</v>
      </c>
      <c r="E88" s="29">
        <f>Source!DN40</f>
        <v>98</v>
      </c>
      <c r="F88" s="32"/>
      <c r="G88" s="31"/>
      <c r="H88" s="29"/>
      <c r="I88" s="33">
        <f>SUM(Q83:Q87)</f>
        <v>1013.39</v>
      </c>
      <c r="J88" s="29">
        <f>Source!BZ40</f>
        <v>97</v>
      </c>
      <c r="K88" s="33">
        <f>SUM(R83:R87)</f>
        <v>18165.12</v>
      </c>
    </row>
    <row r="89" spans="1:27" ht="14.25" x14ac:dyDescent="0.2">
      <c r="A89" s="27"/>
      <c r="B89" s="28"/>
      <c r="C89" s="28" t="s">
        <v>497</v>
      </c>
      <c r="D89" s="30" t="s">
        <v>496</v>
      </c>
      <c r="E89" s="29">
        <f>Source!DO40</f>
        <v>77</v>
      </c>
      <c r="F89" s="32"/>
      <c r="G89" s="31"/>
      <c r="H89" s="29"/>
      <c r="I89" s="33">
        <f>SUM(S83:S88)</f>
        <v>796.23</v>
      </c>
      <c r="J89" s="29">
        <f>Source!CA40</f>
        <v>54</v>
      </c>
      <c r="K89" s="33">
        <f>SUM(T83:T88)</f>
        <v>10112.540000000001</v>
      </c>
    </row>
    <row r="90" spans="1:27" ht="14.25" x14ac:dyDescent="0.2">
      <c r="A90" s="27"/>
      <c r="B90" s="28"/>
      <c r="C90" s="28" t="s">
        <v>498</v>
      </c>
      <c r="D90" s="30" t="s">
        <v>496</v>
      </c>
      <c r="E90" s="29">
        <f>175</f>
        <v>175</v>
      </c>
      <c r="F90" s="32"/>
      <c r="G90" s="31"/>
      <c r="H90" s="29"/>
      <c r="I90" s="33">
        <f>SUM(U83:U89)</f>
        <v>2922.31</v>
      </c>
      <c r="J90" s="29">
        <f>167</f>
        <v>167</v>
      </c>
      <c r="K90" s="33">
        <f>SUM(V83:V89)</f>
        <v>50503.56</v>
      </c>
    </row>
    <row r="91" spans="1:27" ht="14.25" x14ac:dyDescent="0.2">
      <c r="A91" s="27"/>
      <c r="B91" s="28"/>
      <c r="C91" s="28" t="s">
        <v>499</v>
      </c>
      <c r="D91" s="30" t="s">
        <v>500</v>
      </c>
      <c r="E91" s="29">
        <f>Source!AQ40</f>
        <v>10.8</v>
      </c>
      <c r="F91" s="32"/>
      <c r="G91" s="31" t="str">
        <f>Source!DI40</f>
        <v/>
      </c>
      <c r="H91" s="29">
        <f>Source!AV40</f>
        <v>1</v>
      </c>
      <c r="I91" s="33">
        <f>Source!U40</f>
        <v>92.495519999999999</v>
      </c>
      <c r="J91" s="29"/>
      <c r="K91" s="33"/>
    </row>
    <row r="92" spans="1:27" ht="15" x14ac:dyDescent="0.25">
      <c r="A92" s="38"/>
      <c r="B92" s="38"/>
      <c r="C92" s="38"/>
      <c r="D92" s="38"/>
      <c r="E92" s="38"/>
      <c r="F92" s="38"/>
      <c r="G92" s="38"/>
      <c r="H92" s="39">
        <f>I85+I86+I88+I89+I90</f>
        <v>11281.22</v>
      </c>
      <c r="I92" s="39"/>
      <c r="J92" s="39">
        <f>K85+K86+K88+K89+K90</f>
        <v>149130.57999999999</v>
      </c>
      <c r="K92" s="39"/>
      <c r="O92" s="36">
        <f>I85+I86+I88+I89+I90</f>
        <v>11281.22</v>
      </c>
      <c r="P92" s="36">
        <f>K85+K86+K88+K89+K90</f>
        <v>149130.57999999999</v>
      </c>
      <c r="X92">
        <f>IF(Source!BI40&lt;=1,I85+I86+I88+I89+I90-0, 0)</f>
        <v>11281.22</v>
      </c>
      <c r="Y92">
        <f>IF(Source!BI40=2,I85+I86+I88+I89+I90-0, 0)</f>
        <v>0</v>
      </c>
      <c r="Z92">
        <f>IF(Source!BI40=3,I85+I86+I88+I89+I90-0, 0)</f>
        <v>0</v>
      </c>
      <c r="AA92">
        <f>IF(Source!BI40=4,I85+I86+I88+I89+I90,0)</f>
        <v>0</v>
      </c>
    </row>
    <row r="93" spans="1:27" ht="57" x14ac:dyDescent="0.2">
      <c r="A93" s="27" t="str">
        <f>Source!E41</f>
        <v>9</v>
      </c>
      <c r="B93" s="28" t="str">
        <f>Source!F41</f>
        <v>3.1-30-1</v>
      </c>
      <c r="C93" s="28" t="str">
        <f>Source!G41</f>
        <v>Полив водой уплотняемого грунта насыпей</v>
      </c>
      <c r="D93" s="30" t="str">
        <f>Source!H41</f>
        <v>1000 м3 уплотненного грунта</v>
      </c>
      <c r="E93" s="29">
        <f>Source!I41</f>
        <v>8.5643999999999991</v>
      </c>
      <c r="F93" s="32"/>
      <c r="G93" s="31"/>
      <c r="H93" s="29"/>
      <c r="I93" s="33"/>
      <c r="J93" s="29"/>
      <c r="K93" s="33"/>
      <c r="Q93">
        <f>ROUND((Source!DN41/100)*ROUND((Source!AF41*Source!AV41)*Source!I41, 2), 2)</f>
        <v>1011.01</v>
      </c>
      <c r="R93">
        <f>Source!X41</f>
        <v>18122.599999999999</v>
      </c>
      <c r="S93">
        <f>ROUND((Source!DO41/100)*ROUND((Source!AF41*Source!AV41)*Source!I41, 2), 2)</f>
        <v>794.36</v>
      </c>
      <c r="T93">
        <f>Source!Y41</f>
        <v>10088.870000000001</v>
      </c>
      <c r="U93">
        <f>ROUND((175/100)*ROUND((Source!AE41*Source!AV41)*Source!I41, 2), 2)</f>
        <v>5477.19</v>
      </c>
      <c r="V93">
        <f>ROUND((167/100)*ROUND(Source!CS41*Source!I41, 2), 2)</f>
        <v>94657.22</v>
      </c>
    </row>
    <row r="94" spans="1:27" ht="14.25" x14ac:dyDescent="0.2">
      <c r="A94" s="27"/>
      <c r="B94" s="28"/>
      <c r="C94" s="28" t="s">
        <v>492</v>
      </c>
      <c r="D94" s="30"/>
      <c r="E94" s="29"/>
      <c r="F94" s="32">
        <f>Source!AO41</f>
        <v>115.05</v>
      </c>
      <c r="G94" s="31" t="str">
        <f>Source!DG41</f>
        <v/>
      </c>
      <c r="H94" s="29">
        <f>Source!AV41</f>
        <v>1.0469999999999999</v>
      </c>
      <c r="I94" s="33">
        <f>ROUND((Source!AF41*Source!AV41)*Source!I41, 2)</f>
        <v>1031.6400000000001</v>
      </c>
      <c r="J94" s="29">
        <f>IF(Source!BA41&lt;&gt; 0, Source!BA41, 1)</f>
        <v>18.11</v>
      </c>
      <c r="K94" s="33">
        <f>Source!S41</f>
        <v>18683.09</v>
      </c>
      <c r="W94">
        <f>I94</f>
        <v>1031.6400000000001</v>
      </c>
    </row>
    <row r="95" spans="1:27" ht="14.25" x14ac:dyDescent="0.2">
      <c r="A95" s="27"/>
      <c r="B95" s="28"/>
      <c r="C95" s="28" t="s">
        <v>493</v>
      </c>
      <c r="D95" s="30"/>
      <c r="E95" s="29"/>
      <c r="F95" s="32">
        <f>Source!AM41</f>
        <v>1715.08</v>
      </c>
      <c r="G95" s="31" t="str">
        <f>Source!DE41</f>
        <v/>
      </c>
      <c r="H95" s="29">
        <f>Source!AV41</f>
        <v>1.0469999999999999</v>
      </c>
      <c r="I95" s="33">
        <f>ROUND(((((Source!ET41)-(Source!EU41))+Source!AE41)*Source!AV41)*Source!I41, 2)</f>
        <v>15379</v>
      </c>
      <c r="J95" s="29">
        <f>IF(Source!BB41&lt;&gt; 0, Source!BB41, 1)</f>
        <v>10.8</v>
      </c>
      <c r="K95" s="33">
        <f>Source!Q41</f>
        <v>166093.17000000001</v>
      </c>
    </row>
    <row r="96" spans="1:27" ht="14.25" x14ac:dyDescent="0.2">
      <c r="A96" s="27"/>
      <c r="B96" s="28"/>
      <c r="C96" s="28" t="s">
        <v>494</v>
      </c>
      <c r="D96" s="30"/>
      <c r="E96" s="29"/>
      <c r="F96" s="32">
        <f>Source!AN41</f>
        <v>349.04</v>
      </c>
      <c r="G96" s="31" t="str">
        <f>Source!DF41</f>
        <v/>
      </c>
      <c r="H96" s="29">
        <f>Source!AV41</f>
        <v>1.0469999999999999</v>
      </c>
      <c r="I96" s="35">
        <f>ROUND((Source!AE41*Source!AV41)*Source!I41, 2)</f>
        <v>3129.82</v>
      </c>
      <c r="J96" s="29">
        <f>IF(Source!BS41&lt;&gt; 0, Source!BS41, 1)</f>
        <v>18.11</v>
      </c>
      <c r="K96" s="35">
        <f>Source!R41</f>
        <v>56680.97</v>
      </c>
      <c r="W96">
        <f>I96</f>
        <v>3129.82</v>
      </c>
    </row>
    <row r="97" spans="1:27" ht="14.25" x14ac:dyDescent="0.2">
      <c r="A97" s="27"/>
      <c r="B97" s="28"/>
      <c r="C97" s="28" t="s">
        <v>501</v>
      </c>
      <c r="D97" s="30"/>
      <c r="E97" s="29"/>
      <c r="F97" s="32">
        <f>Source!AL41</f>
        <v>707</v>
      </c>
      <c r="G97" s="31" t="str">
        <f>Source!DD41</f>
        <v/>
      </c>
      <c r="H97" s="29">
        <f>Source!AW41</f>
        <v>1</v>
      </c>
      <c r="I97" s="33">
        <f>ROUND((Source!AC41*Source!AW41)*Source!I41, 2)</f>
        <v>6055.03</v>
      </c>
      <c r="J97" s="29">
        <f>IF(Source!BC41&lt;&gt; 0, Source!BC41, 1)</f>
        <v>4.24</v>
      </c>
      <c r="K97" s="33">
        <f>Source!P41</f>
        <v>25673.33</v>
      </c>
    </row>
    <row r="98" spans="1:27" ht="14.25" x14ac:dyDescent="0.2">
      <c r="A98" s="27"/>
      <c r="B98" s="28"/>
      <c r="C98" s="28" t="s">
        <v>495</v>
      </c>
      <c r="D98" s="30" t="s">
        <v>496</v>
      </c>
      <c r="E98" s="29">
        <f>Source!DN41</f>
        <v>98</v>
      </c>
      <c r="F98" s="32"/>
      <c r="G98" s="31"/>
      <c r="H98" s="29"/>
      <c r="I98" s="33">
        <f>SUM(Q93:Q97)</f>
        <v>1011.01</v>
      </c>
      <c r="J98" s="29">
        <f>Source!BZ41</f>
        <v>97</v>
      </c>
      <c r="K98" s="33">
        <f>SUM(R93:R97)</f>
        <v>18122.599999999999</v>
      </c>
    </row>
    <row r="99" spans="1:27" ht="14.25" x14ac:dyDescent="0.2">
      <c r="A99" s="27"/>
      <c r="B99" s="28"/>
      <c r="C99" s="28" t="s">
        <v>497</v>
      </c>
      <c r="D99" s="30" t="s">
        <v>496</v>
      </c>
      <c r="E99" s="29">
        <f>Source!DO41</f>
        <v>77</v>
      </c>
      <c r="F99" s="32"/>
      <c r="G99" s="31"/>
      <c r="H99" s="29"/>
      <c r="I99" s="33">
        <f>SUM(S93:S98)</f>
        <v>794.36</v>
      </c>
      <c r="J99" s="29">
        <f>Source!CA41</f>
        <v>54</v>
      </c>
      <c r="K99" s="33">
        <f>SUM(T93:T98)</f>
        <v>10088.870000000001</v>
      </c>
    </row>
    <row r="100" spans="1:27" ht="14.25" x14ac:dyDescent="0.2">
      <c r="A100" s="27"/>
      <c r="B100" s="28"/>
      <c r="C100" s="28" t="s">
        <v>498</v>
      </c>
      <c r="D100" s="30" t="s">
        <v>496</v>
      </c>
      <c r="E100" s="29">
        <f>175</f>
        <v>175</v>
      </c>
      <c r="F100" s="32"/>
      <c r="G100" s="31"/>
      <c r="H100" s="29"/>
      <c r="I100" s="33">
        <f>SUM(U93:U99)</f>
        <v>5477.19</v>
      </c>
      <c r="J100" s="29">
        <f>167</f>
        <v>167</v>
      </c>
      <c r="K100" s="33">
        <f>SUM(V93:V99)</f>
        <v>94657.22</v>
      </c>
    </row>
    <row r="101" spans="1:27" ht="14.25" x14ac:dyDescent="0.2">
      <c r="A101" s="27"/>
      <c r="B101" s="28"/>
      <c r="C101" s="28" t="s">
        <v>499</v>
      </c>
      <c r="D101" s="30" t="s">
        <v>500</v>
      </c>
      <c r="E101" s="29">
        <f>Source!AQ41</f>
        <v>12.2</v>
      </c>
      <c r="F101" s="32"/>
      <c r="G101" s="31" t="str">
        <f>Source!DI41</f>
        <v/>
      </c>
      <c r="H101" s="29">
        <f>Source!AV41</f>
        <v>1.0469999999999999</v>
      </c>
      <c r="I101" s="33">
        <f>Source!U41</f>
        <v>109.39650695999998</v>
      </c>
      <c r="J101" s="29"/>
      <c r="K101" s="33"/>
    </row>
    <row r="102" spans="1:27" ht="15" x14ac:dyDescent="0.25">
      <c r="A102" s="38"/>
      <c r="B102" s="38"/>
      <c r="C102" s="38"/>
      <c r="D102" s="38"/>
      <c r="E102" s="38"/>
      <c r="F102" s="38"/>
      <c r="G102" s="38"/>
      <c r="H102" s="39">
        <f>I94+I95+I97+I98+I99+I100</f>
        <v>29748.229999999996</v>
      </c>
      <c r="I102" s="39"/>
      <c r="J102" s="39">
        <f>K94+K95+K97+K98+K99+K100</f>
        <v>333318.28000000003</v>
      </c>
      <c r="K102" s="39"/>
      <c r="O102" s="36">
        <f>I94+I95+I97+I98+I99+I100</f>
        <v>29748.229999999996</v>
      </c>
      <c r="P102" s="36">
        <f>K94+K95+K97+K98+K99+K100</f>
        <v>333318.28000000003</v>
      </c>
      <c r="X102">
        <f>IF(Source!BI41&lt;=1,I94+I95+I97+I98+I99+I100-0, 0)</f>
        <v>29748.229999999996</v>
      </c>
      <c r="Y102">
        <f>IF(Source!BI41=2,I94+I95+I97+I98+I99+I100-0, 0)</f>
        <v>0</v>
      </c>
      <c r="Z102">
        <f>IF(Source!BI41=3,I94+I95+I97+I98+I99+I100-0, 0)</f>
        <v>0</v>
      </c>
      <c r="AA102">
        <f>IF(Source!BI41=4,I94+I95+I97+I98+I99+I100,0)</f>
        <v>0</v>
      </c>
    </row>
    <row r="103" spans="1:27" ht="42.75" x14ac:dyDescent="0.2">
      <c r="A103" s="27" t="str">
        <f>Source!E42</f>
        <v>10</v>
      </c>
      <c r="B103" s="28" t="str">
        <f>Source!F42</f>
        <v>3.1-53-1</v>
      </c>
      <c r="C103" s="28" t="str">
        <f>Source!G42</f>
        <v>Засыпка вручную траншей, пазух котлованов и ям группа грунтов 1-3 / 10%</v>
      </c>
      <c r="D103" s="30" t="str">
        <f>Source!H42</f>
        <v>100 м3 грунта</v>
      </c>
      <c r="E103" s="29">
        <f>Source!I42</f>
        <v>0.9516</v>
      </c>
      <c r="F103" s="32"/>
      <c r="G103" s="31"/>
      <c r="H103" s="29"/>
      <c r="I103" s="33"/>
      <c r="J103" s="29"/>
      <c r="K103" s="33"/>
      <c r="Q103">
        <f>ROUND((Source!DN42/100)*ROUND((Source!AF42*Source!AV42)*Source!I42, 2), 2)</f>
        <v>1050.27</v>
      </c>
      <c r="R103">
        <f>Source!X42</f>
        <v>16122.01</v>
      </c>
      <c r="S103">
        <f>ROUND((Source!DO42/100)*ROUND((Source!AF42*Source!AV42)*Source!I42, 2), 2)</f>
        <v>770.2</v>
      </c>
      <c r="T103">
        <f>Source!Y42</f>
        <v>7970.43</v>
      </c>
      <c r="U103">
        <f>ROUND((175/100)*ROUND((Source!AE42*Source!AV42)*Source!I42, 2), 2)</f>
        <v>0</v>
      </c>
      <c r="V103">
        <f>ROUND((167/100)*ROUND(Source!CS42*Source!I42, 2), 2)</f>
        <v>0</v>
      </c>
    </row>
    <row r="104" spans="1:27" x14ac:dyDescent="0.2">
      <c r="C104" s="34" t="str">
        <f>"Объем: "&amp;Source!I42&amp;"=951,6*"&amp;"0,1/"&amp;"100"</f>
        <v>Объем: 0,9516=951,6*0,1/100</v>
      </c>
    </row>
    <row r="105" spans="1:27" ht="14.25" x14ac:dyDescent="0.2">
      <c r="A105" s="27"/>
      <c r="B105" s="28"/>
      <c r="C105" s="28" t="s">
        <v>492</v>
      </c>
      <c r="D105" s="30"/>
      <c r="E105" s="29"/>
      <c r="F105" s="32">
        <f>Source!AO42</f>
        <v>1051.1300000000001</v>
      </c>
      <c r="G105" s="31" t="str">
        <f>Source!DG42</f>
        <v/>
      </c>
      <c r="H105" s="29">
        <f>Source!AV42</f>
        <v>1</v>
      </c>
      <c r="I105" s="33">
        <f>ROUND((Source!AF42*Source!AV42)*Source!I42, 2)</f>
        <v>1000.26</v>
      </c>
      <c r="J105" s="29">
        <f>IF(Source!BA42&lt;&gt; 0, Source!BA42, 1)</f>
        <v>18.11</v>
      </c>
      <c r="K105" s="33">
        <f>Source!S42</f>
        <v>18114.62</v>
      </c>
      <c r="W105">
        <f>I105</f>
        <v>1000.26</v>
      </c>
    </row>
    <row r="106" spans="1:27" ht="14.25" x14ac:dyDescent="0.2">
      <c r="A106" s="27"/>
      <c r="B106" s="28"/>
      <c r="C106" s="28" t="s">
        <v>495</v>
      </c>
      <c r="D106" s="30" t="s">
        <v>496</v>
      </c>
      <c r="E106" s="29">
        <f>Source!DN42</f>
        <v>105</v>
      </c>
      <c r="F106" s="32"/>
      <c r="G106" s="31"/>
      <c r="H106" s="29"/>
      <c r="I106" s="33">
        <f>SUM(Q103:Q105)</f>
        <v>1050.27</v>
      </c>
      <c r="J106" s="29">
        <f>Source!BZ42</f>
        <v>89</v>
      </c>
      <c r="K106" s="33">
        <f>SUM(R103:R105)</f>
        <v>16122.01</v>
      </c>
    </row>
    <row r="107" spans="1:27" ht="14.25" x14ac:dyDescent="0.2">
      <c r="A107" s="27"/>
      <c r="B107" s="28"/>
      <c r="C107" s="28" t="s">
        <v>497</v>
      </c>
      <c r="D107" s="30" t="s">
        <v>496</v>
      </c>
      <c r="E107" s="29">
        <f>Source!DO42</f>
        <v>77</v>
      </c>
      <c r="F107" s="32"/>
      <c r="G107" s="31"/>
      <c r="H107" s="29"/>
      <c r="I107" s="33">
        <f>SUM(S103:S106)</f>
        <v>770.2</v>
      </c>
      <c r="J107" s="29">
        <f>Source!CA42</f>
        <v>44</v>
      </c>
      <c r="K107" s="33">
        <f>SUM(T103:T106)</f>
        <v>7970.43</v>
      </c>
    </row>
    <row r="108" spans="1:27" ht="14.25" x14ac:dyDescent="0.2">
      <c r="A108" s="27"/>
      <c r="B108" s="28"/>
      <c r="C108" s="28" t="s">
        <v>499</v>
      </c>
      <c r="D108" s="30" t="s">
        <v>500</v>
      </c>
      <c r="E108" s="29">
        <f>Source!AQ42</f>
        <v>107.04</v>
      </c>
      <c r="F108" s="32"/>
      <c r="G108" s="31" t="str">
        <f>Source!DI42</f>
        <v/>
      </c>
      <c r="H108" s="29">
        <f>Source!AV42</f>
        <v>1</v>
      </c>
      <c r="I108" s="33">
        <f>Source!U42</f>
        <v>101.85926400000001</v>
      </c>
      <c r="J108" s="29"/>
      <c r="K108" s="33"/>
    </row>
    <row r="109" spans="1:27" ht="15" x14ac:dyDescent="0.25">
      <c r="A109" s="38"/>
      <c r="B109" s="38"/>
      <c r="C109" s="38"/>
      <c r="D109" s="38"/>
      <c r="E109" s="38"/>
      <c r="F109" s="38"/>
      <c r="G109" s="38"/>
      <c r="H109" s="39">
        <f>I105+I106+I107</f>
        <v>2820.7299999999996</v>
      </c>
      <c r="I109" s="39"/>
      <c r="J109" s="39">
        <f>K105+K106+K107</f>
        <v>42207.06</v>
      </c>
      <c r="K109" s="39"/>
      <c r="O109" s="36">
        <f>I105+I106+I107</f>
        <v>2820.7299999999996</v>
      </c>
      <c r="P109" s="36">
        <f>K105+K106+K107</f>
        <v>42207.06</v>
      </c>
      <c r="X109">
        <f>IF(Source!BI42&lt;=1,I105+I106+I107-0, 0)</f>
        <v>2820.7299999999996</v>
      </c>
      <c r="Y109">
        <f>IF(Source!BI42=2,I105+I106+I107-0, 0)</f>
        <v>0</v>
      </c>
      <c r="Z109">
        <f>IF(Source!BI42=3,I105+I106+I107-0, 0)</f>
        <v>0</v>
      </c>
      <c r="AA109">
        <f>IF(Source!BI42=4,I105+I106+I107,0)</f>
        <v>0</v>
      </c>
    </row>
    <row r="111" spans="1:27" ht="15" x14ac:dyDescent="0.25">
      <c r="A111" s="42" t="str">
        <f>CONCATENATE("Итого по подразделу: ",IF(Source!G44&lt;&gt;"Новый подраздел", Source!G44, ""))</f>
        <v>Итого по подразделу: Траншея 1.1</v>
      </c>
      <c r="B111" s="42"/>
      <c r="C111" s="42"/>
      <c r="D111" s="42"/>
      <c r="E111" s="42"/>
      <c r="F111" s="42"/>
      <c r="G111" s="42"/>
      <c r="H111" s="37">
        <f>SUM(O28:O110)</f>
        <v>130994.45999999999</v>
      </c>
      <c r="I111" s="41"/>
      <c r="J111" s="37">
        <f>SUM(P28:P110)</f>
        <v>1307022.4000000001</v>
      </c>
      <c r="K111" s="41"/>
    </row>
    <row r="112" spans="1:27" ht="15" hidden="1" x14ac:dyDescent="0.25">
      <c r="A112" s="42" t="s">
        <v>502</v>
      </c>
      <c r="B112" s="42"/>
      <c r="C112" s="42"/>
      <c r="D112" s="42"/>
      <c r="E112" s="42"/>
      <c r="F112" s="42"/>
      <c r="G112" s="42"/>
      <c r="H112" s="37">
        <f>SUM(AC28:AC111)</f>
        <v>0</v>
      </c>
      <c r="I112" s="41"/>
      <c r="J112" s="37">
        <f>SUM(AD28:AD111)</f>
        <v>0</v>
      </c>
      <c r="K112" s="41"/>
    </row>
    <row r="114" spans="1:27" ht="16.5" x14ac:dyDescent="0.25">
      <c r="A114" s="25" t="str">
        <f>CONCATENATE("Подраздел: ",IF(Source!G73&lt;&gt;"Новый подраздел", Source!G73, ""))</f>
        <v>Подраздел: Траншея 1.2</v>
      </c>
      <c r="B114" s="25"/>
      <c r="C114" s="25"/>
      <c r="D114" s="25"/>
      <c r="E114" s="25"/>
      <c r="F114" s="25"/>
      <c r="G114" s="25"/>
      <c r="H114" s="25"/>
      <c r="I114" s="25"/>
      <c r="J114" s="25"/>
      <c r="K114" s="25"/>
    </row>
    <row r="115" spans="1:27" ht="57" x14ac:dyDescent="0.2">
      <c r="A115" s="27" t="str">
        <f>Source!E77</f>
        <v>11</v>
      </c>
      <c r="B115" s="28" t="str">
        <f>Source!F77</f>
        <v>3.1-3-2</v>
      </c>
      <c r="C115" s="28" t="str">
        <f>Source!G77</f>
        <v>Разработка грунта в отвал экскаваторами с ковшом вместимостью 0,25 м3 группа грунтов 1-3 / 90%</v>
      </c>
      <c r="D115" s="30" t="str">
        <f>Source!H77</f>
        <v>100 м3 грунта</v>
      </c>
      <c r="E115" s="29">
        <f>Source!I77</f>
        <v>3.5548199999999999</v>
      </c>
      <c r="F115" s="32"/>
      <c r="G115" s="31"/>
      <c r="H115" s="29"/>
      <c r="I115" s="33"/>
      <c r="J115" s="29"/>
      <c r="K115" s="33"/>
      <c r="Q115">
        <f>ROUND((Source!DN77/100)*ROUND((Source!AF77*Source!AV77)*Source!I77, 2), 2)</f>
        <v>42.37</v>
      </c>
      <c r="R115">
        <f>Source!X77</f>
        <v>759.35</v>
      </c>
      <c r="S115">
        <f>ROUND((Source!DO77/100)*ROUND((Source!AF77*Source!AV77)*Source!I77, 2), 2)</f>
        <v>33.29</v>
      </c>
      <c r="T115">
        <f>Source!Y77</f>
        <v>422.73</v>
      </c>
      <c r="U115">
        <f>ROUND((175/100)*ROUND((Source!AE77*Source!AV77)*Source!I77, 2), 2)</f>
        <v>787.82</v>
      </c>
      <c r="V115">
        <f>ROUND((167/100)*ROUND(Source!CS77*Source!I77, 2), 2)</f>
        <v>13615.18</v>
      </c>
    </row>
    <row r="116" spans="1:27" x14ac:dyDescent="0.2">
      <c r="C116" s="34" t="str">
        <f>"Объем: "&amp;Source!I77&amp;"=(751,68*"&amp;"0,9-"&amp;"321,03)/"&amp;"100"</f>
        <v>Объем: 3,55482=(751,68*0,9-321,03)/100</v>
      </c>
    </row>
    <row r="117" spans="1:27" ht="14.25" x14ac:dyDescent="0.2">
      <c r="A117" s="27"/>
      <c r="B117" s="28"/>
      <c r="C117" s="28" t="s">
        <v>492</v>
      </c>
      <c r="D117" s="30"/>
      <c r="E117" s="29"/>
      <c r="F117" s="32">
        <f>Source!AO77</f>
        <v>12.16</v>
      </c>
      <c r="G117" s="31" t="str">
        <f>Source!DG77</f>
        <v/>
      </c>
      <c r="H117" s="29">
        <f>Source!AV77</f>
        <v>1</v>
      </c>
      <c r="I117" s="33">
        <f>ROUND((Source!AF77*Source!AV77)*Source!I77, 2)</f>
        <v>43.23</v>
      </c>
      <c r="J117" s="29">
        <f>IF(Source!BA77&lt;&gt; 0, Source!BA77, 1)</f>
        <v>18.11</v>
      </c>
      <c r="K117" s="33">
        <f>Source!S77</f>
        <v>782.83</v>
      </c>
      <c r="W117">
        <f>I117</f>
        <v>43.23</v>
      </c>
    </row>
    <row r="118" spans="1:27" ht="14.25" x14ac:dyDescent="0.2">
      <c r="A118" s="27"/>
      <c r="B118" s="28"/>
      <c r="C118" s="28" t="s">
        <v>493</v>
      </c>
      <c r="D118" s="30"/>
      <c r="E118" s="29"/>
      <c r="F118" s="32">
        <f>Source!AM77</f>
        <v>412.41</v>
      </c>
      <c r="G118" s="31" t="str">
        <f>Source!DE77</f>
        <v/>
      </c>
      <c r="H118" s="29">
        <f>Source!AV77</f>
        <v>1</v>
      </c>
      <c r="I118" s="33">
        <f>ROUND(((((Source!ET77)-(Source!EU77))+Source!AE77)*Source!AV77)*Source!I77, 2)</f>
        <v>1466.04</v>
      </c>
      <c r="J118" s="29">
        <f>IF(Source!BB77&lt;&gt; 0, Source!BB77, 1)</f>
        <v>8.26</v>
      </c>
      <c r="K118" s="33">
        <f>Source!Q77</f>
        <v>12109.52</v>
      </c>
    </row>
    <row r="119" spans="1:27" ht="14.25" x14ac:dyDescent="0.2">
      <c r="A119" s="27"/>
      <c r="B119" s="28"/>
      <c r="C119" s="28" t="s">
        <v>494</v>
      </c>
      <c r="D119" s="30"/>
      <c r="E119" s="29"/>
      <c r="F119" s="32">
        <f>Source!AN77</f>
        <v>126.64</v>
      </c>
      <c r="G119" s="31" t="str">
        <f>Source!DF77</f>
        <v/>
      </c>
      <c r="H119" s="29">
        <f>Source!AV77</f>
        <v>1</v>
      </c>
      <c r="I119" s="35">
        <f>ROUND((Source!AE77*Source!AV77)*Source!I77, 2)</f>
        <v>450.18</v>
      </c>
      <c r="J119" s="29">
        <f>IF(Source!BS77&lt;&gt; 0, Source!BS77, 1)</f>
        <v>18.11</v>
      </c>
      <c r="K119" s="35">
        <f>Source!R77</f>
        <v>8152.8</v>
      </c>
      <c r="W119">
        <f>I119</f>
        <v>450.18</v>
      </c>
    </row>
    <row r="120" spans="1:27" ht="14.25" x14ac:dyDescent="0.2">
      <c r="A120" s="27"/>
      <c r="B120" s="28"/>
      <c r="C120" s="28" t="s">
        <v>495</v>
      </c>
      <c r="D120" s="30" t="s">
        <v>496</v>
      </c>
      <c r="E120" s="29">
        <f>Source!DN77</f>
        <v>98</v>
      </c>
      <c r="F120" s="32"/>
      <c r="G120" s="31"/>
      <c r="H120" s="29"/>
      <c r="I120" s="33">
        <f>SUM(Q115:Q119)</f>
        <v>42.37</v>
      </c>
      <c r="J120" s="29">
        <f>Source!BZ77</f>
        <v>97</v>
      </c>
      <c r="K120" s="33">
        <f>SUM(R115:R119)</f>
        <v>759.35</v>
      </c>
    </row>
    <row r="121" spans="1:27" ht="14.25" x14ac:dyDescent="0.2">
      <c r="A121" s="27"/>
      <c r="B121" s="28"/>
      <c r="C121" s="28" t="s">
        <v>497</v>
      </c>
      <c r="D121" s="30" t="s">
        <v>496</v>
      </c>
      <c r="E121" s="29">
        <f>Source!DO77</f>
        <v>77</v>
      </c>
      <c r="F121" s="32"/>
      <c r="G121" s="31"/>
      <c r="H121" s="29"/>
      <c r="I121" s="33">
        <f>SUM(S115:S120)</f>
        <v>33.29</v>
      </c>
      <c r="J121" s="29">
        <f>Source!CA77</f>
        <v>54</v>
      </c>
      <c r="K121" s="33">
        <f>SUM(T115:T120)</f>
        <v>422.73</v>
      </c>
    </row>
    <row r="122" spans="1:27" ht="14.25" x14ac:dyDescent="0.2">
      <c r="A122" s="27"/>
      <c r="B122" s="28"/>
      <c r="C122" s="28" t="s">
        <v>498</v>
      </c>
      <c r="D122" s="30" t="s">
        <v>496</v>
      </c>
      <c r="E122" s="29">
        <f>175</f>
        <v>175</v>
      </c>
      <c r="F122" s="32"/>
      <c r="G122" s="31"/>
      <c r="H122" s="29"/>
      <c r="I122" s="33">
        <f>SUM(U115:U121)</f>
        <v>787.82</v>
      </c>
      <c r="J122" s="29">
        <f>167</f>
        <v>167</v>
      </c>
      <c r="K122" s="33">
        <f>SUM(V115:V121)</f>
        <v>13615.18</v>
      </c>
    </row>
    <row r="123" spans="1:27" ht="14.25" x14ac:dyDescent="0.2">
      <c r="A123" s="27"/>
      <c r="B123" s="28"/>
      <c r="C123" s="28" t="s">
        <v>499</v>
      </c>
      <c r="D123" s="30" t="s">
        <v>500</v>
      </c>
      <c r="E123" s="29">
        <f>Source!AQ77</f>
        <v>1.19</v>
      </c>
      <c r="F123" s="32"/>
      <c r="G123" s="31" t="str">
        <f>Source!DI77</f>
        <v/>
      </c>
      <c r="H123" s="29">
        <f>Source!AV77</f>
        <v>1</v>
      </c>
      <c r="I123" s="33">
        <f>Source!U77</f>
        <v>4.2302358</v>
      </c>
      <c r="J123" s="29"/>
      <c r="K123" s="33"/>
    </row>
    <row r="124" spans="1:27" ht="15" x14ac:dyDescent="0.25">
      <c r="A124" s="38"/>
      <c r="B124" s="38"/>
      <c r="C124" s="38"/>
      <c r="D124" s="38"/>
      <c r="E124" s="38"/>
      <c r="F124" s="38"/>
      <c r="G124" s="38"/>
      <c r="H124" s="39">
        <f>I117+I118+I120+I121+I122</f>
        <v>2372.75</v>
      </c>
      <c r="I124" s="39"/>
      <c r="J124" s="39">
        <f>K117+K118+K120+K121+K122</f>
        <v>27689.61</v>
      </c>
      <c r="K124" s="39"/>
      <c r="O124" s="36">
        <f>I117+I118+I120+I121+I122</f>
        <v>2372.75</v>
      </c>
      <c r="P124" s="36">
        <f>K117+K118+K120+K121+K122</f>
        <v>27689.61</v>
      </c>
      <c r="X124">
        <f>IF(Source!BI77&lt;=1,I117+I118+I120+I121+I122-0, 0)</f>
        <v>2372.75</v>
      </c>
      <c r="Y124">
        <f>IF(Source!BI77=2,I117+I118+I120+I121+I122-0, 0)</f>
        <v>0</v>
      </c>
      <c r="Z124">
        <f>IF(Source!BI77=3,I117+I118+I120+I121+I122-0, 0)</f>
        <v>0</v>
      </c>
      <c r="AA124">
        <f>IF(Source!BI77=4,I117+I118+I120+I121+I122,0)</f>
        <v>0</v>
      </c>
    </row>
    <row r="125" spans="1:27" ht="57" x14ac:dyDescent="0.2">
      <c r="A125" s="27" t="str">
        <f>Source!E78</f>
        <v>12</v>
      </c>
      <c r="B125" s="28" t="str">
        <f>Source!F78</f>
        <v>3.1-7-2</v>
      </c>
      <c r="C125" s="28" t="str">
        <f>Source!G78</f>
        <v>Разработка грунта с погрузкой на автомобили-самосвалы экскаваторами с ковшом вместимостью 0,25 м3 группа грунтов 1-3</v>
      </c>
      <c r="D125" s="30" t="str">
        <f>Source!H78</f>
        <v>100 м3 грунта</v>
      </c>
      <c r="E125" s="29">
        <f>Source!I78</f>
        <v>3.2103000000000002</v>
      </c>
      <c r="F125" s="32"/>
      <c r="G125" s="31"/>
      <c r="H125" s="29"/>
      <c r="I125" s="33"/>
      <c r="J125" s="29"/>
      <c r="K125" s="33"/>
      <c r="Q125">
        <f>ROUND((Source!DN78/100)*ROUND((Source!AF78*Source!AV78)*Source!I78, 2), 2)</f>
        <v>113.06</v>
      </c>
      <c r="R125">
        <f>Source!X78</f>
        <v>2026.75</v>
      </c>
      <c r="S125">
        <f>ROUND((Source!DO78/100)*ROUND((Source!AF78*Source!AV78)*Source!I78, 2), 2)</f>
        <v>88.83</v>
      </c>
      <c r="T125">
        <f>Source!Y78</f>
        <v>1128.29</v>
      </c>
      <c r="U125">
        <f>ROUND((175/100)*ROUND((Source!AE78*Source!AV78)*Source!I78, 2), 2)</f>
        <v>1247.5899999999999</v>
      </c>
      <c r="V125">
        <f>ROUND((167/100)*ROUND(Source!CS78*Source!I78, 2), 2)</f>
        <v>21561.040000000001</v>
      </c>
    </row>
    <row r="126" spans="1:27" x14ac:dyDescent="0.2">
      <c r="C126" s="34" t="str">
        <f>"Объем: "&amp;Source!I78&amp;"=(321,03)/"&amp;"100"</f>
        <v>Объем: 3,2103=(321,03)/100</v>
      </c>
    </row>
    <row r="127" spans="1:27" ht="14.25" x14ac:dyDescent="0.2">
      <c r="A127" s="27"/>
      <c r="B127" s="28"/>
      <c r="C127" s="28" t="s">
        <v>492</v>
      </c>
      <c r="D127" s="30"/>
      <c r="E127" s="29"/>
      <c r="F127" s="32">
        <f>Source!AO78</f>
        <v>30.15</v>
      </c>
      <c r="G127" s="31" t="str">
        <f>Source!DG78</f>
        <v/>
      </c>
      <c r="H127" s="29">
        <f>Source!AV78</f>
        <v>1.1919999999999999</v>
      </c>
      <c r="I127" s="33">
        <f>ROUND((Source!AF78*Source!AV78)*Source!I78, 2)</f>
        <v>115.37</v>
      </c>
      <c r="J127" s="29">
        <f>IF(Source!BA78&lt;&gt; 0, Source!BA78, 1)</f>
        <v>18.11</v>
      </c>
      <c r="K127" s="33">
        <f>Source!S78</f>
        <v>2089.4299999999998</v>
      </c>
      <c r="W127">
        <f>I127</f>
        <v>115.37</v>
      </c>
    </row>
    <row r="128" spans="1:27" ht="14.25" x14ac:dyDescent="0.2">
      <c r="A128" s="27"/>
      <c r="B128" s="28"/>
      <c r="C128" s="28" t="s">
        <v>493</v>
      </c>
      <c r="D128" s="30"/>
      <c r="E128" s="29"/>
      <c r="F128" s="32">
        <f>Source!AM78</f>
        <v>645.20000000000005</v>
      </c>
      <c r="G128" s="31" t="str">
        <f>Source!DE78</f>
        <v/>
      </c>
      <c r="H128" s="29">
        <f>Source!AV78</f>
        <v>1.1919999999999999</v>
      </c>
      <c r="I128" s="33">
        <f>ROUND(((((Source!ET78)-(Source!EU78))+Source!AE78)*Source!AV78)*Source!I78, 2)</f>
        <v>2468.9699999999998</v>
      </c>
      <c r="J128" s="29">
        <f>IF(Source!BB78&lt;&gt; 0, Source!BB78, 1)</f>
        <v>8.1</v>
      </c>
      <c r="K128" s="33">
        <f>Source!Q78</f>
        <v>19998.68</v>
      </c>
    </row>
    <row r="129" spans="1:27" ht="14.25" x14ac:dyDescent="0.2">
      <c r="A129" s="27"/>
      <c r="B129" s="28"/>
      <c r="C129" s="28" t="s">
        <v>494</v>
      </c>
      <c r="D129" s="30"/>
      <c r="E129" s="29"/>
      <c r="F129" s="32">
        <f>Source!AN78</f>
        <v>186.3</v>
      </c>
      <c r="G129" s="31" t="str">
        <f>Source!DF78</f>
        <v/>
      </c>
      <c r="H129" s="29">
        <f>Source!AV78</f>
        <v>1.1919999999999999</v>
      </c>
      <c r="I129" s="35">
        <f>ROUND((Source!AE78*Source!AV78)*Source!I78, 2)</f>
        <v>712.91</v>
      </c>
      <c r="J129" s="29">
        <f>IF(Source!BS78&lt;&gt; 0, Source!BS78, 1)</f>
        <v>18.11</v>
      </c>
      <c r="K129" s="35">
        <f>Source!R78</f>
        <v>12910.8</v>
      </c>
      <c r="W129">
        <f>I129</f>
        <v>712.91</v>
      </c>
    </row>
    <row r="130" spans="1:27" ht="14.25" x14ac:dyDescent="0.2">
      <c r="A130" s="27"/>
      <c r="B130" s="28"/>
      <c r="C130" s="28" t="s">
        <v>495</v>
      </c>
      <c r="D130" s="30" t="s">
        <v>496</v>
      </c>
      <c r="E130" s="29">
        <f>Source!DN78</f>
        <v>98</v>
      </c>
      <c r="F130" s="32"/>
      <c r="G130" s="31"/>
      <c r="H130" s="29"/>
      <c r="I130" s="33">
        <f>SUM(Q125:Q129)</f>
        <v>113.06</v>
      </c>
      <c r="J130" s="29">
        <f>Source!BZ78</f>
        <v>97</v>
      </c>
      <c r="K130" s="33">
        <f>SUM(R125:R129)</f>
        <v>2026.75</v>
      </c>
    </row>
    <row r="131" spans="1:27" ht="14.25" x14ac:dyDescent="0.2">
      <c r="A131" s="27"/>
      <c r="B131" s="28"/>
      <c r="C131" s="28" t="s">
        <v>497</v>
      </c>
      <c r="D131" s="30" t="s">
        <v>496</v>
      </c>
      <c r="E131" s="29">
        <f>Source!DO78</f>
        <v>77</v>
      </c>
      <c r="F131" s="32"/>
      <c r="G131" s="31"/>
      <c r="H131" s="29"/>
      <c r="I131" s="33">
        <f>SUM(S125:S130)</f>
        <v>88.83</v>
      </c>
      <c r="J131" s="29">
        <f>Source!CA78</f>
        <v>54</v>
      </c>
      <c r="K131" s="33">
        <f>SUM(T125:T130)</f>
        <v>1128.29</v>
      </c>
    </row>
    <row r="132" spans="1:27" ht="14.25" x14ac:dyDescent="0.2">
      <c r="A132" s="27"/>
      <c r="B132" s="28"/>
      <c r="C132" s="28" t="s">
        <v>498</v>
      </c>
      <c r="D132" s="30" t="s">
        <v>496</v>
      </c>
      <c r="E132" s="29">
        <f>175</f>
        <v>175</v>
      </c>
      <c r="F132" s="32"/>
      <c r="G132" s="31"/>
      <c r="H132" s="29"/>
      <c r="I132" s="33">
        <f>SUM(U125:U131)</f>
        <v>1247.5899999999999</v>
      </c>
      <c r="J132" s="29">
        <f>167</f>
        <v>167</v>
      </c>
      <c r="K132" s="33">
        <f>SUM(V125:V131)</f>
        <v>21561.040000000001</v>
      </c>
    </row>
    <row r="133" spans="1:27" ht="14.25" x14ac:dyDescent="0.2">
      <c r="A133" s="27"/>
      <c r="B133" s="28"/>
      <c r="C133" s="28" t="s">
        <v>499</v>
      </c>
      <c r="D133" s="30" t="s">
        <v>500</v>
      </c>
      <c r="E133" s="29">
        <f>Source!AQ78</f>
        <v>2.95</v>
      </c>
      <c r="F133" s="32"/>
      <c r="G133" s="31" t="str">
        <f>Source!DI78</f>
        <v/>
      </c>
      <c r="H133" s="29">
        <f>Source!AV78</f>
        <v>1.1919999999999999</v>
      </c>
      <c r="I133" s="33">
        <f>Source!U78</f>
        <v>11.28869892</v>
      </c>
      <c r="J133" s="29"/>
      <c r="K133" s="33"/>
    </row>
    <row r="134" spans="1:27" ht="15" x14ac:dyDescent="0.25">
      <c r="A134" s="38"/>
      <c r="B134" s="38"/>
      <c r="C134" s="38"/>
      <c r="D134" s="38"/>
      <c r="E134" s="38"/>
      <c r="F134" s="38"/>
      <c r="G134" s="38"/>
      <c r="H134" s="39">
        <f>I127+I128+I130+I131+I132</f>
        <v>4033.8199999999997</v>
      </c>
      <c r="I134" s="39"/>
      <c r="J134" s="39">
        <f>K127+K128+K130+K131+K132</f>
        <v>46804.19</v>
      </c>
      <c r="K134" s="39"/>
      <c r="O134" s="36">
        <f>I127+I128+I130+I131+I132</f>
        <v>4033.8199999999997</v>
      </c>
      <c r="P134" s="36">
        <f>K127+K128+K130+K131+K132</f>
        <v>46804.19</v>
      </c>
      <c r="X134">
        <f>IF(Source!BI78&lt;=1,I127+I128+I130+I131+I132-0, 0)</f>
        <v>4033.8199999999997</v>
      </c>
      <c r="Y134">
        <f>IF(Source!BI78=2,I127+I128+I130+I131+I132-0, 0)</f>
        <v>0</v>
      </c>
      <c r="Z134">
        <f>IF(Source!BI78=3,I127+I128+I130+I131+I132-0, 0)</f>
        <v>0</v>
      </c>
      <c r="AA134">
        <f>IF(Source!BI78=4,I127+I128+I130+I131+I132,0)</f>
        <v>0</v>
      </c>
    </row>
    <row r="135" spans="1:27" ht="42.75" x14ac:dyDescent="0.2">
      <c r="A135" s="27" t="str">
        <f>Source!E79</f>
        <v>13</v>
      </c>
      <c r="B135" s="28" t="str">
        <f>Source!F79</f>
        <v>3.1-51-1</v>
      </c>
      <c r="C135" s="28" t="str">
        <f>Source!G79</f>
        <v>Разработка грунта вручную в траншеях глубиной до 2 м без креплений с откосами группа грунтов 1-3 / 10%</v>
      </c>
      <c r="D135" s="30" t="str">
        <f>Source!H79</f>
        <v>100 м3 грунта</v>
      </c>
      <c r="E135" s="29">
        <f>Source!I79</f>
        <v>0.75168000000000001</v>
      </c>
      <c r="F135" s="32"/>
      <c r="G135" s="31"/>
      <c r="H135" s="29"/>
      <c r="I135" s="33"/>
      <c r="J135" s="29"/>
      <c r="K135" s="33"/>
      <c r="Q135">
        <f>ROUND((Source!DN79/100)*ROUND((Source!AF79*Source!AV79)*Source!I79, 2), 2)</f>
        <v>1612.17</v>
      </c>
      <c r="R135">
        <f>Source!X79</f>
        <v>24747.37</v>
      </c>
      <c r="S135">
        <f>ROUND((Source!DO79/100)*ROUND((Source!AF79*Source!AV79)*Source!I79, 2), 2)</f>
        <v>1182.26</v>
      </c>
      <c r="T135">
        <f>Source!Y79</f>
        <v>12234.65</v>
      </c>
      <c r="U135">
        <f>ROUND((175/100)*ROUND((Source!AE79*Source!AV79)*Source!I79, 2), 2)</f>
        <v>0</v>
      </c>
      <c r="V135">
        <f>ROUND((167/100)*ROUND(Source!CS79*Source!I79, 2), 2)</f>
        <v>0</v>
      </c>
    </row>
    <row r="136" spans="1:27" x14ac:dyDescent="0.2">
      <c r="C136" s="34" t="str">
        <f>"Объем: "&amp;Source!I79&amp;"=751,68*"&amp;"0,1/"&amp;"100"</f>
        <v>Объем: 0,75168=751,68*0,1/100</v>
      </c>
    </row>
    <row r="137" spans="1:27" ht="14.25" x14ac:dyDescent="0.2">
      <c r="A137" s="27"/>
      <c r="B137" s="28"/>
      <c r="C137" s="28" t="s">
        <v>492</v>
      </c>
      <c r="D137" s="30"/>
      <c r="E137" s="29"/>
      <c r="F137" s="32">
        <f>Source!AO79</f>
        <v>2042.62</v>
      </c>
      <c r="G137" s="31" t="str">
        <f>Source!DG79</f>
        <v/>
      </c>
      <c r="H137" s="29">
        <f>Source!AV79</f>
        <v>1</v>
      </c>
      <c r="I137" s="33">
        <f>ROUND((Source!AF79*Source!AV79)*Source!I79, 2)</f>
        <v>1535.4</v>
      </c>
      <c r="J137" s="29">
        <f>IF(Source!BA79&lt;&gt; 0, Source!BA79, 1)</f>
        <v>18.11</v>
      </c>
      <c r="K137" s="33">
        <f>Source!S79</f>
        <v>27806.03</v>
      </c>
      <c r="W137">
        <f>I137</f>
        <v>1535.4</v>
      </c>
    </row>
    <row r="138" spans="1:27" ht="14.25" x14ac:dyDescent="0.2">
      <c r="A138" s="27"/>
      <c r="B138" s="28"/>
      <c r="C138" s="28" t="s">
        <v>495</v>
      </c>
      <c r="D138" s="30" t="s">
        <v>496</v>
      </c>
      <c r="E138" s="29">
        <f>Source!DN79</f>
        <v>105</v>
      </c>
      <c r="F138" s="32"/>
      <c r="G138" s="31"/>
      <c r="H138" s="29"/>
      <c r="I138" s="33">
        <f>SUM(Q135:Q137)</f>
        <v>1612.17</v>
      </c>
      <c r="J138" s="29">
        <f>Source!BZ79</f>
        <v>89</v>
      </c>
      <c r="K138" s="33">
        <f>SUM(R135:R137)</f>
        <v>24747.37</v>
      </c>
    </row>
    <row r="139" spans="1:27" ht="14.25" x14ac:dyDescent="0.2">
      <c r="A139" s="27"/>
      <c r="B139" s="28"/>
      <c r="C139" s="28" t="s">
        <v>497</v>
      </c>
      <c r="D139" s="30" t="s">
        <v>496</v>
      </c>
      <c r="E139" s="29">
        <f>Source!DO79</f>
        <v>77</v>
      </c>
      <c r="F139" s="32"/>
      <c r="G139" s="31"/>
      <c r="H139" s="29"/>
      <c r="I139" s="33">
        <f>SUM(S135:S138)</f>
        <v>1182.26</v>
      </c>
      <c r="J139" s="29">
        <f>Source!CA79</f>
        <v>44</v>
      </c>
      <c r="K139" s="33">
        <f>SUM(T135:T138)</f>
        <v>12234.65</v>
      </c>
    </row>
    <row r="140" spans="1:27" ht="14.25" x14ac:dyDescent="0.2">
      <c r="A140" s="27"/>
      <c r="B140" s="28"/>
      <c r="C140" s="28" t="s">
        <v>499</v>
      </c>
      <c r="D140" s="30" t="s">
        <v>500</v>
      </c>
      <c r="E140" s="29">
        <f>Source!AQ79</f>
        <v>192.7</v>
      </c>
      <c r="F140" s="32"/>
      <c r="G140" s="31" t="str">
        <f>Source!DI79</f>
        <v/>
      </c>
      <c r="H140" s="29">
        <f>Source!AV79</f>
        <v>1</v>
      </c>
      <c r="I140" s="33">
        <f>Source!U79</f>
        <v>144.848736</v>
      </c>
      <c r="J140" s="29"/>
      <c r="K140" s="33"/>
    </row>
    <row r="141" spans="1:27" ht="15" x14ac:dyDescent="0.25">
      <c r="A141" s="38"/>
      <c r="B141" s="38"/>
      <c r="C141" s="38"/>
      <c r="D141" s="38"/>
      <c r="E141" s="38"/>
      <c r="F141" s="38"/>
      <c r="G141" s="38"/>
      <c r="H141" s="39">
        <f>I137+I138+I139</f>
        <v>4329.83</v>
      </c>
      <c r="I141" s="39"/>
      <c r="J141" s="39">
        <f>K137+K138+K139</f>
        <v>64788.049999999996</v>
      </c>
      <c r="K141" s="39"/>
      <c r="O141" s="36">
        <f>I137+I138+I139</f>
        <v>4329.83</v>
      </c>
      <c r="P141" s="36">
        <f>K137+K138+K139</f>
        <v>64788.049999999996</v>
      </c>
      <c r="X141">
        <f>IF(Source!BI79&lt;=1,I137+I138+I139-0, 0)</f>
        <v>4329.83</v>
      </c>
      <c r="Y141">
        <f>IF(Source!BI79=2,I137+I138+I139-0, 0)</f>
        <v>0</v>
      </c>
      <c r="Z141">
        <f>IF(Source!BI79=3,I137+I138+I139-0, 0)</f>
        <v>0</v>
      </c>
      <c r="AA141">
        <f>IF(Source!BI79=4,I137+I138+I139,0)</f>
        <v>0</v>
      </c>
    </row>
    <row r="142" spans="1:27" ht="28.5" x14ac:dyDescent="0.2">
      <c r="A142" s="27" t="str">
        <f>Source!E80</f>
        <v>14</v>
      </c>
      <c r="B142" s="28" t="str">
        <f>Source!F80</f>
        <v>4.8-74-1</v>
      </c>
      <c r="C142" s="28" t="str">
        <f>Source!G80</f>
        <v>Устройство постели при одном кабеле в траншее</v>
      </c>
      <c r="D142" s="30" t="str">
        <f>Source!H80</f>
        <v>100 М КАБЕЛЯ</v>
      </c>
      <c r="E142" s="29">
        <f>Source!I80</f>
        <v>7.83</v>
      </c>
      <c r="F142" s="32"/>
      <c r="G142" s="31"/>
      <c r="H142" s="29"/>
      <c r="I142" s="33"/>
      <c r="J142" s="29"/>
      <c r="K142" s="33"/>
      <c r="Q142">
        <f>ROUND((Source!DN80/100)*ROUND((Source!AF80*Source!AV80)*Source!I80, 2), 2)</f>
        <v>701.51</v>
      </c>
      <c r="R142">
        <f>Source!X80</f>
        <v>10775.95</v>
      </c>
      <c r="S142">
        <f>ROUND((Source!DO80/100)*ROUND((Source!AF80*Source!AV80)*Source!I80, 2), 2)</f>
        <v>438.45</v>
      </c>
      <c r="T142">
        <f>Source!Y80</f>
        <v>5217.83</v>
      </c>
      <c r="U142">
        <f>ROUND((175/100)*ROUND((Source!AE80*Source!AV80)*Source!I80, 2), 2)</f>
        <v>1313.66</v>
      </c>
      <c r="V142">
        <f>ROUND((167/100)*ROUND(Source!CS80*Source!I80, 2), 2)</f>
        <v>22702.78</v>
      </c>
    </row>
    <row r="143" spans="1:27" x14ac:dyDescent="0.2">
      <c r="C143" s="34" t="str">
        <f>"Объем: "&amp;Source!I80&amp;"=783/"&amp;"100"</f>
        <v>Объем: 7,83=783/100</v>
      </c>
    </row>
    <row r="144" spans="1:27" ht="14.25" x14ac:dyDescent="0.2">
      <c r="A144" s="27"/>
      <c r="B144" s="28"/>
      <c r="C144" s="28" t="s">
        <v>492</v>
      </c>
      <c r="D144" s="30"/>
      <c r="E144" s="29"/>
      <c r="F144" s="32">
        <f>Source!AO80</f>
        <v>74.97</v>
      </c>
      <c r="G144" s="31" t="str">
        <f>Source!DG80</f>
        <v/>
      </c>
      <c r="H144" s="29">
        <f>Source!AV80</f>
        <v>1.0669999999999999</v>
      </c>
      <c r="I144" s="33">
        <f>ROUND((Source!AF80*Source!AV80)*Source!I80, 2)</f>
        <v>626.35</v>
      </c>
      <c r="J144" s="29">
        <f>IF(Source!BA80&lt;&gt; 0, Source!BA80, 1)</f>
        <v>18.11</v>
      </c>
      <c r="K144" s="33">
        <f>Source!S80</f>
        <v>11343.11</v>
      </c>
      <c r="W144">
        <f>I144</f>
        <v>626.35</v>
      </c>
    </row>
    <row r="145" spans="1:27" ht="14.25" x14ac:dyDescent="0.2">
      <c r="A145" s="27"/>
      <c r="B145" s="28"/>
      <c r="C145" s="28" t="s">
        <v>493</v>
      </c>
      <c r="D145" s="30"/>
      <c r="E145" s="29"/>
      <c r="F145" s="32">
        <f>Source!AM80</f>
        <v>386.9</v>
      </c>
      <c r="G145" s="31" t="str">
        <f>Source!DE80</f>
        <v/>
      </c>
      <c r="H145" s="29">
        <f>Source!AV80</f>
        <v>1.0669999999999999</v>
      </c>
      <c r="I145" s="33">
        <f>ROUND(((((Source!ET80)-(Source!EU80))+Source!AE80)*Source!AV80)*Source!I80, 2)</f>
        <v>3232.4</v>
      </c>
      <c r="J145" s="29">
        <f>IF(Source!BB80&lt;&gt; 0, Source!BB80, 1)</f>
        <v>8.44</v>
      </c>
      <c r="K145" s="33">
        <f>Source!Q80</f>
        <v>27281.439999999999</v>
      </c>
    </row>
    <row r="146" spans="1:27" ht="14.25" x14ac:dyDescent="0.2">
      <c r="A146" s="27"/>
      <c r="B146" s="28"/>
      <c r="C146" s="28" t="s">
        <v>494</v>
      </c>
      <c r="D146" s="30"/>
      <c r="E146" s="29"/>
      <c r="F146" s="32">
        <f>Source!AN80</f>
        <v>89.85</v>
      </c>
      <c r="G146" s="31" t="str">
        <f>Source!DF80</f>
        <v/>
      </c>
      <c r="H146" s="29">
        <f>Source!AV80</f>
        <v>1.0669999999999999</v>
      </c>
      <c r="I146" s="35">
        <f>ROUND((Source!AE80*Source!AV80)*Source!I80, 2)</f>
        <v>750.66</v>
      </c>
      <c r="J146" s="29">
        <f>IF(Source!BS80&lt;&gt; 0, Source!BS80, 1)</f>
        <v>18.11</v>
      </c>
      <c r="K146" s="35">
        <f>Source!R80</f>
        <v>13594.48</v>
      </c>
      <c r="W146">
        <f>I146</f>
        <v>750.66</v>
      </c>
    </row>
    <row r="147" spans="1:27" ht="14.25" x14ac:dyDescent="0.2">
      <c r="A147" s="27"/>
      <c r="B147" s="28"/>
      <c r="C147" s="28" t="s">
        <v>501</v>
      </c>
      <c r="D147" s="30"/>
      <c r="E147" s="29"/>
      <c r="F147" s="32">
        <f>Source!AL80</f>
        <v>0.56000000000000005</v>
      </c>
      <c r="G147" s="31" t="str">
        <f>Source!DD80</f>
        <v/>
      </c>
      <c r="H147" s="29">
        <f>Source!AW80</f>
        <v>1.081</v>
      </c>
      <c r="I147" s="33">
        <f>ROUND((Source!AC80*Source!AW80)*Source!I80, 2)</f>
        <v>4.74</v>
      </c>
      <c r="J147" s="29">
        <f>IF(Source!BC80&lt;&gt; 0, Source!BC80, 1)</f>
        <v>5.07</v>
      </c>
      <c r="K147" s="33">
        <f>Source!P80</f>
        <v>24.03</v>
      </c>
    </row>
    <row r="148" spans="1:27" ht="14.25" x14ac:dyDescent="0.2">
      <c r="A148" s="27"/>
      <c r="B148" s="28"/>
      <c r="C148" s="28" t="s">
        <v>495</v>
      </c>
      <c r="D148" s="30" t="s">
        <v>496</v>
      </c>
      <c r="E148" s="29">
        <f>Source!DN80</f>
        <v>112</v>
      </c>
      <c r="F148" s="32"/>
      <c r="G148" s="31"/>
      <c r="H148" s="29"/>
      <c r="I148" s="33">
        <f>SUM(Q142:Q147)</f>
        <v>701.51</v>
      </c>
      <c r="J148" s="29">
        <f>Source!BZ80</f>
        <v>95</v>
      </c>
      <c r="K148" s="33">
        <f>SUM(R142:R147)</f>
        <v>10775.95</v>
      </c>
    </row>
    <row r="149" spans="1:27" ht="14.25" x14ac:dyDescent="0.2">
      <c r="A149" s="27"/>
      <c r="B149" s="28"/>
      <c r="C149" s="28" t="s">
        <v>497</v>
      </c>
      <c r="D149" s="30" t="s">
        <v>496</v>
      </c>
      <c r="E149" s="29">
        <f>Source!DO80</f>
        <v>70</v>
      </c>
      <c r="F149" s="32"/>
      <c r="G149" s="31"/>
      <c r="H149" s="29"/>
      <c r="I149" s="33">
        <f>SUM(S142:S148)</f>
        <v>438.45</v>
      </c>
      <c r="J149" s="29">
        <f>Source!CA80</f>
        <v>46</v>
      </c>
      <c r="K149" s="33">
        <f>SUM(T142:T148)</f>
        <v>5217.83</v>
      </c>
    </row>
    <row r="150" spans="1:27" ht="14.25" x14ac:dyDescent="0.2">
      <c r="A150" s="27"/>
      <c r="B150" s="28"/>
      <c r="C150" s="28" t="s">
        <v>498</v>
      </c>
      <c r="D150" s="30" t="s">
        <v>496</v>
      </c>
      <c r="E150" s="29">
        <f>175</f>
        <v>175</v>
      </c>
      <c r="F150" s="32"/>
      <c r="G150" s="31"/>
      <c r="H150" s="29"/>
      <c r="I150" s="33">
        <f>SUM(U142:U149)</f>
        <v>1313.66</v>
      </c>
      <c r="J150" s="29">
        <f>167</f>
        <v>167</v>
      </c>
      <c r="K150" s="33">
        <f>SUM(V142:V149)</f>
        <v>22702.78</v>
      </c>
    </row>
    <row r="151" spans="1:27" ht="14.25" x14ac:dyDescent="0.2">
      <c r="A151" s="27"/>
      <c r="B151" s="28"/>
      <c r="C151" s="28" t="s">
        <v>499</v>
      </c>
      <c r="D151" s="30" t="s">
        <v>500</v>
      </c>
      <c r="E151" s="29">
        <f>Source!AQ80</f>
        <v>6.08</v>
      </c>
      <c r="F151" s="32"/>
      <c r="G151" s="31" t="str">
        <f>Source!DI80</f>
        <v/>
      </c>
      <c r="H151" s="29">
        <f>Source!AV80</f>
        <v>1.0669999999999999</v>
      </c>
      <c r="I151" s="33">
        <f>Source!U80</f>
        <v>50.796028800000002</v>
      </c>
      <c r="J151" s="29"/>
      <c r="K151" s="33"/>
    </row>
    <row r="152" spans="1:27" ht="15" x14ac:dyDescent="0.25">
      <c r="A152" s="38"/>
      <c r="B152" s="38"/>
      <c r="C152" s="38"/>
      <c r="D152" s="38"/>
      <c r="E152" s="38"/>
      <c r="F152" s="38"/>
      <c r="G152" s="38"/>
      <c r="H152" s="39">
        <f>I144+I145+I147+I148+I149+I150</f>
        <v>6317.11</v>
      </c>
      <c r="I152" s="39"/>
      <c r="J152" s="39">
        <f>K144+K145+K147+K148+K149+K150</f>
        <v>77345.14</v>
      </c>
      <c r="K152" s="39"/>
      <c r="O152" s="36">
        <f>I144+I145+I147+I148+I149+I150</f>
        <v>6317.11</v>
      </c>
      <c r="P152" s="36">
        <f>K144+K145+K147+K148+K149+K150</f>
        <v>77345.14</v>
      </c>
      <c r="X152">
        <f>IF(Source!BI80&lt;=1,I144+I145+I147+I148+I149+I150-0, 0)</f>
        <v>0</v>
      </c>
      <c r="Y152">
        <f>IF(Source!BI80=2,I144+I145+I147+I148+I149+I150-0, 0)</f>
        <v>6317.11</v>
      </c>
      <c r="Z152">
        <f>IF(Source!BI80=3,I144+I145+I147+I148+I149+I150-0, 0)</f>
        <v>0</v>
      </c>
      <c r="AA152">
        <f>IF(Source!BI80=4,I144+I145+I147+I148+I149+I150,0)</f>
        <v>0</v>
      </c>
    </row>
    <row r="153" spans="1:27" ht="28.5" x14ac:dyDescent="0.2">
      <c r="A153" s="27" t="str">
        <f>Source!E81</f>
        <v>15</v>
      </c>
      <c r="B153" s="28" t="str">
        <f>Source!F81</f>
        <v>1.1-1-766</v>
      </c>
      <c r="C153" s="28" t="str">
        <f>Source!G81</f>
        <v>Песок для строительных работ, рядовой</v>
      </c>
      <c r="D153" s="30" t="str">
        <f>Source!H81</f>
        <v>м3</v>
      </c>
      <c r="E153" s="29">
        <f>Source!I81</f>
        <v>86.13</v>
      </c>
      <c r="F153" s="32">
        <f>Source!AL81</f>
        <v>104.99</v>
      </c>
      <c r="G153" s="31" t="str">
        <f>Source!DD81</f>
        <v/>
      </c>
      <c r="H153" s="29">
        <f>Source!AW81</f>
        <v>1</v>
      </c>
      <c r="I153" s="33">
        <f>ROUND((Source!AC81*Source!AW81)*Source!I81, 2)</f>
        <v>9042.7900000000009</v>
      </c>
      <c r="J153" s="29">
        <f>IF(Source!BC81&lt;&gt; 0, Source!BC81, 1)</f>
        <v>5.27</v>
      </c>
      <c r="K153" s="33">
        <f>Source!P81</f>
        <v>47655.5</v>
      </c>
      <c r="Q153">
        <f>ROUND((Source!DN81/100)*ROUND((Source!AF81*Source!AV81)*Source!I81, 2), 2)</f>
        <v>0</v>
      </c>
      <c r="R153">
        <f>Source!X81</f>
        <v>0</v>
      </c>
      <c r="S153">
        <f>ROUND((Source!DO81/100)*ROUND((Source!AF81*Source!AV81)*Source!I81, 2), 2)</f>
        <v>0</v>
      </c>
      <c r="T153">
        <f>Source!Y81</f>
        <v>0</v>
      </c>
      <c r="U153">
        <f>ROUND((175/100)*ROUND((Source!AE81*Source!AV81)*Source!I81, 2), 2)</f>
        <v>0</v>
      </c>
      <c r="V153">
        <f>ROUND((167/100)*ROUND(Source!CS81*Source!I81, 2), 2)</f>
        <v>0</v>
      </c>
    </row>
    <row r="154" spans="1:27" x14ac:dyDescent="0.2">
      <c r="C154" s="34" t="str">
        <f>"Объем: "&amp;Source!I81&amp;"=78,3*"&amp;"1,1"</f>
        <v>Объем: 86,13=78,3*1,1</v>
      </c>
    </row>
    <row r="155" spans="1:27" ht="15" x14ac:dyDescent="0.25">
      <c r="A155" s="38"/>
      <c r="B155" s="38"/>
      <c r="C155" s="38"/>
      <c r="D155" s="38"/>
      <c r="E155" s="38"/>
      <c r="F155" s="38"/>
      <c r="G155" s="38"/>
      <c r="H155" s="39">
        <f>I153</f>
        <v>9042.7900000000009</v>
      </c>
      <c r="I155" s="39"/>
      <c r="J155" s="39">
        <f>K153</f>
        <v>47655.5</v>
      </c>
      <c r="K155" s="39"/>
      <c r="O155" s="36">
        <f>I153</f>
        <v>9042.7900000000009</v>
      </c>
      <c r="P155" s="36">
        <f>K153</f>
        <v>47655.5</v>
      </c>
      <c r="X155">
        <f>IF(Source!BI81&lt;=1,I153-0, 0)</f>
        <v>9042.7900000000009</v>
      </c>
      <c r="Y155">
        <f>IF(Source!BI81=2,I153-0, 0)</f>
        <v>0</v>
      </c>
      <c r="Z155">
        <f>IF(Source!BI81=3,I153-0, 0)</f>
        <v>0</v>
      </c>
      <c r="AA155">
        <f>IF(Source!BI81=4,I153,0)</f>
        <v>0</v>
      </c>
    </row>
    <row r="156" spans="1:27" ht="57" x14ac:dyDescent="0.2">
      <c r="A156" s="27" t="str">
        <f>Source!E82</f>
        <v>16</v>
      </c>
      <c r="B156" s="28" t="str">
        <f>Source!F82</f>
        <v>3.1-14-1</v>
      </c>
      <c r="C156" s="28" t="str">
        <f>Source!G82</f>
        <v>Засыпка траншей и котлованов бульдозерами мощностью 59 (80) кВт (л.с.) при перемещении грунта до 5 м группа грунтов 1-3</v>
      </c>
      <c r="D156" s="30" t="str">
        <f>Source!H82</f>
        <v>100 м3 грунта</v>
      </c>
      <c r="E156" s="29">
        <f>Source!I82</f>
        <v>2.4272999999999998</v>
      </c>
      <c r="F156" s="32"/>
      <c r="G156" s="31"/>
      <c r="H156" s="29"/>
      <c r="I156" s="33"/>
      <c r="J156" s="29"/>
      <c r="K156" s="33"/>
      <c r="Q156">
        <f>ROUND((Source!DN82/100)*ROUND((Source!AF82*Source!AV82)*Source!I82, 2), 2)</f>
        <v>0</v>
      </c>
      <c r="R156">
        <f>Source!X82</f>
        <v>0</v>
      </c>
      <c r="S156">
        <f>ROUND((Source!DO82/100)*ROUND((Source!AF82*Source!AV82)*Source!I82, 2), 2)</f>
        <v>0</v>
      </c>
      <c r="T156">
        <f>Source!Y82</f>
        <v>0</v>
      </c>
      <c r="U156">
        <f>ROUND((175/100)*ROUND((Source!AE82*Source!AV82)*Source!I82, 2), 2)</f>
        <v>84.28</v>
      </c>
      <c r="V156">
        <f>ROUND((167/100)*ROUND(Source!CS82*Source!I82, 2), 2)</f>
        <v>1456.46</v>
      </c>
    </row>
    <row r="157" spans="1:27" x14ac:dyDescent="0.2">
      <c r="C157" s="34" t="str">
        <f>"Объем: "&amp;Source!I82&amp;"=242,73/"&amp;"100"</f>
        <v>Объем: 2,4273=242,73/100</v>
      </c>
    </row>
    <row r="158" spans="1:27" ht="14.25" x14ac:dyDescent="0.2">
      <c r="A158" s="27"/>
      <c r="B158" s="28"/>
      <c r="C158" s="28" t="s">
        <v>493</v>
      </c>
      <c r="D158" s="30"/>
      <c r="E158" s="29"/>
      <c r="F158" s="32">
        <f>Source!AM82</f>
        <v>84.89</v>
      </c>
      <c r="G158" s="31" t="str">
        <f>Source!DE82</f>
        <v/>
      </c>
      <c r="H158" s="29">
        <f>Source!AV82</f>
        <v>1</v>
      </c>
      <c r="I158" s="33">
        <f>ROUND(((((Source!ET82)-(Source!EU82))+Source!AE82)*Source!AV82)*Source!I82, 2)</f>
        <v>206.05</v>
      </c>
      <c r="J158" s="29">
        <f>IF(Source!BB82&lt;&gt; 0, Source!BB82, 1)</f>
        <v>7.61</v>
      </c>
      <c r="K158" s="33">
        <f>Source!Q82</f>
        <v>1568.07</v>
      </c>
    </row>
    <row r="159" spans="1:27" ht="14.25" x14ac:dyDescent="0.2">
      <c r="A159" s="27"/>
      <c r="B159" s="28"/>
      <c r="C159" s="28" t="s">
        <v>494</v>
      </c>
      <c r="D159" s="30"/>
      <c r="E159" s="29"/>
      <c r="F159" s="32">
        <f>Source!AN82</f>
        <v>19.84</v>
      </c>
      <c r="G159" s="31" t="str">
        <f>Source!DF82</f>
        <v/>
      </c>
      <c r="H159" s="29">
        <f>Source!AV82</f>
        <v>1</v>
      </c>
      <c r="I159" s="35">
        <f>ROUND((Source!AE82*Source!AV82)*Source!I82, 2)</f>
        <v>48.16</v>
      </c>
      <c r="J159" s="29">
        <f>IF(Source!BS82&lt;&gt; 0, Source!BS82, 1)</f>
        <v>18.11</v>
      </c>
      <c r="K159" s="35">
        <f>Source!R82</f>
        <v>872.13</v>
      </c>
      <c r="W159">
        <f>I159</f>
        <v>48.16</v>
      </c>
    </row>
    <row r="160" spans="1:27" ht="28.5" x14ac:dyDescent="0.2">
      <c r="A160" s="27" t="str">
        <f>Source!E83</f>
        <v>16,1</v>
      </c>
      <c r="B160" s="28" t="str">
        <f>Source!F83</f>
        <v>1.1-1-766</v>
      </c>
      <c r="C160" s="28" t="str">
        <f>Source!G83</f>
        <v>Песок для строительных работ, рядовой</v>
      </c>
      <c r="D160" s="30" t="str">
        <f>Source!H83</f>
        <v>м3</v>
      </c>
      <c r="E160" s="29">
        <f>Source!I83</f>
        <v>242.73</v>
      </c>
      <c r="F160" s="32">
        <f>Source!AK83</f>
        <v>104.99</v>
      </c>
      <c r="G160" s="40" t="s">
        <v>3</v>
      </c>
      <c r="H160" s="29">
        <f>Source!AW83</f>
        <v>1</v>
      </c>
      <c r="I160" s="33">
        <f>ROUND((Source!AC83*Source!AW83)*Source!I83, 2)+ROUND(((((Source!ET83)-(Source!EU83))+Source!AE83)*Source!AV83)*Source!I83, 2)+ROUND((Source!AF83*Source!AV83)*Source!I83, 2)</f>
        <v>25484.22</v>
      </c>
      <c r="J160" s="29">
        <f>IF(Source!BC83&lt;&gt; 0, Source!BC83, 1)</f>
        <v>5.27</v>
      </c>
      <c r="K160" s="33">
        <f>Source!O83</f>
        <v>134301.85</v>
      </c>
      <c r="Q160">
        <f>ROUND((Source!DN83/100)*ROUND((Source!AF83*Source!AV83)*Source!I83, 2), 2)</f>
        <v>0</v>
      </c>
      <c r="R160">
        <f>Source!X83</f>
        <v>0</v>
      </c>
      <c r="S160">
        <f>ROUND((Source!DO83/100)*ROUND((Source!AF83*Source!AV83)*Source!I83, 2), 2)</f>
        <v>0</v>
      </c>
      <c r="T160">
        <f>Source!Y83</f>
        <v>0</v>
      </c>
      <c r="U160">
        <f>ROUND((175/100)*ROUND((Source!AE83*Source!AV83)*Source!I83, 2), 2)</f>
        <v>0</v>
      </c>
      <c r="V160">
        <f>ROUND((167/100)*ROUND(Source!CS83*Source!I83, 2), 2)</f>
        <v>0</v>
      </c>
      <c r="X160">
        <f>IF(Source!BI83&lt;=1,I160, 0)</f>
        <v>25484.22</v>
      </c>
      <c r="Y160">
        <f>IF(Source!BI83=2,I160, 0)</f>
        <v>0</v>
      </c>
      <c r="Z160">
        <f>IF(Source!BI83=3,I160, 0)</f>
        <v>0</v>
      </c>
      <c r="AA160">
        <f>IF(Source!BI83=4,I160, 0)</f>
        <v>0</v>
      </c>
    </row>
    <row r="161" spans="1:27" ht="14.25" x14ac:dyDescent="0.2">
      <c r="A161" s="27"/>
      <c r="B161" s="28"/>
      <c r="C161" s="28" t="s">
        <v>498</v>
      </c>
      <c r="D161" s="30" t="s">
        <v>496</v>
      </c>
      <c r="E161" s="29">
        <f>175</f>
        <v>175</v>
      </c>
      <c r="F161" s="32"/>
      <c r="G161" s="31"/>
      <c r="H161" s="29"/>
      <c r="I161" s="33">
        <f>SUM(U156:U160)</f>
        <v>84.28</v>
      </c>
      <c r="J161" s="29">
        <f>167</f>
        <v>167</v>
      </c>
      <c r="K161" s="33">
        <f>SUM(V156:V160)</f>
        <v>1456.46</v>
      </c>
    </row>
    <row r="162" spans="1:27" ht="15" x14ac:dyDescent="0.25">
      <c r="A162" s="38"/>
      <c r="B162" s="38"/>
      <c r="C162" s="38"/>
      <c r="D162" s="38"/>
      <c r="E162" s="38"/>
      <c r="F162" s="38"/>
      <c r="G162" s="38"/>
      <c r="H162" s="39">
        <f>I158+I161+SUM(I160:I160)</f>
        <v>25774.550000000003</v>
      </c>
      <c r="I162" s="39"/>
      <c r="J162" s="39">
        <f>K158+K161+SUM(K160:K160)</f>
        <v>137326.38</v>
      </c>
      <c r="K162" s="39"/>
      <c r="O162" s="36">
        <f>I158+I161+SUM(I160:I160)</f>
        <v>25774.550000000003</v>
      </c>
      <c r="P162" s="36">
        <f>K158+K161+SUM(K160:K160)</f>
        <v>137326.38</v>
      </c>
      <c r="X162">
        <f>IF(Source!BI82&lt;=1,I158+I161-0, 0)</f>
        <v>290.33000000000004</v>
      </c>
      <c r="Y162">
        <f>IF(Source!BI82=2,I158+I161-0, 0)</f>
        <v>0</v>
      </c>
      <c r="Z162">
        <f>IF(Source!BI82=3,I158+I161-0, 0)</f>
        <v>0</v>
      </c>
      <c r="AA162">
        <f>IF(Source!BI82=4,I158+I161,0)</f>
        <v>0</v>
      </c>
    </row>
    <row r="163" spans="1:27" ht="57" x14ac:dyDescent="0.2">
      <c r="A163" s="27" t="str">
        <f>Source!E84</f>
        <v>17</v>
      </c>
      <c r="B163" s="28" t="str">
        <f>Source!F84</f>
        <v>3.1-14-1</v>
      </c>
      <c r="C163" s="28" t="str">
        <f>Source!G84</f>
        <v>Засыпка траншей и котлованов бульдозерами мощностью 59 (80) кВт (л.с.) при перемещении грунта до 5 м группа грунтов 1-3 / 90%</v>
      </c>
      <c r="D163" s="30" t="str">
        <f>Source!H84</f>
        <v>100 м3 грунта</v>
      </c>
      <c r="E163" s="29">
        <f>Source!I84</f>
        <v>3.8758499999999998</v>
      </c>
      <c r="F163" s="32"/>
      <c r="G163" s="31"/>
      <c r="H163" s="29"/>
      <c r="I163" s="33"/>
      <c r="J163" s="29"/>
      <c r="K163" s="33"/>
      <c r="Q163">
        <f>ROUND((Source!DN84/100)*ROUND((Source!AF84*Source!AV84)*Source!I84, 2), 2)</f>
        <v>0</v>
      </c>
      <c r="R163">
        <f>Source!X84</f>
        <v>0</v>
      </c>
      <c r="S163">
        <f>ROUND((Source!DO84/100)*ROUND((Source!AF84*Source!AV84)*Source!I84, 2), 2)</f>
        <v>0</v>
      </c>
      <c r="T163">
        <f>Source!Y84</f>
        <v>0</v>
      </c>
      <c r="U163">
        <f>ROUND((175/100)*ROUND((Source!AE84*Source!AV84)*Source!I84, 2), 2)</f>
        <v>134.58000000000001</v>
      </c>
      <c r="V163">
        <f>ROUND((167/100)*ROUND(Source!CS84*Source!I84, 2), 2)</f>
        <v>2325.64</v>
      </c>
    </row>
    <row r="164" spans="1:27" x14ac:dyDescent="0.2">
      <c r="C164" s="34" t="str">
        <f>"Объем: "&amp;Source!I84&amp;"=430,65*"&amp;"0,9/"&amp;"100"</f>
        <v>Объем: 3,87585=430,65*0,9/100</v>
      </c>
    </row>
    <row r="165" spans="1:27" ht="14.25" x14ac:dyDescent="0.2">
      <c r="A165" s="27"/>
      <c r="B165" s="28"/>
      <c r="C165" s="28" t="s">
        <v>493</v>
      </c>
      <c r="D165" s="30"/>
      <c r="E165" s="29"/>
      <c r="F165" s="32">
        <f>Source!AM84</f>
        <v>84.89</v>
      </c>
      <c r="G165" s="31" t="str">
        <f>Source!DE84</f>
        <v/>
      </c>
      <c r="H165" s="29">
        <f>Source!AV84</f>
        <v>1</v>
      </c>
      <c r="I165" s="33">
        <f>ROUND(((((Source!ET84)-(Source!EU84))+Source!AE84)*Source!AV84)*Source!I84, 2)</f>
        <v>329.02</v>
      </c>
      <c r="J165" s="29">
        <f>IF(Source!BB84&lt;&gt; 0, Source!BB84, 1)</f>
        <v>7.61</v>
      </c>
      <c r="K165" s="33">
        <f>Source!Q84</f>
        <v>2503.85</v>
      </c>
    </row>
    <row r="166" spans="1:27" ht="14.25" x14ac:dyDescent="0.2">
      <c r="A166" s="27"/>
      <c r="B166" s="28"/>
      <c r="C166" s="28" t="s">
        <v>494</v>
      </c>
      <c r="D166" s="30"/>
      <c r="E166" s="29"/>
      <c r="F166" s="32">
        <f>Source!AN84</f>
        <v>19.84</v>
      </c>
      <c r="G166" s="31" t="str">
        <f>Source!DF84</f>
        <v/>
      </c>
      <c r="H166" s="29">
        <f>Source!AV84</f>
        <v>1</v>
      </c>
      <c r="I166" s="35">
        <f>ROUND((Source!AE84*Source!AV84)*Source!I84, 2)</f>
        <v>76.900000000000006</v>
      </c>
      <c r="J166" s="29">
        <f>IF(Source!BS84&lt;&gt; 0, Source!BS84, 1)</f>
        <v>18.11</v>
      </c>
      <c r="K166" s="35">
        <f>Source!R84</f>
        <v>1392.6</v>
      </c>
      <c r="W166">
        <f>I166</f>
        <v>76.900000000000006</v>
      </c>
    </row>
    <row r="167" spans="1:27" ht="14.25" x14ac:dyDescent="0.2">
      <c r="A167" s="27"/>
      <c r="B167" s="28"/>
      <c r="C167" s="28" t="s">
        <v>498</v>
      </c>
      <c r="D167" s="30" t="s">
        <v>496</v>
      </c>
      <c r="E167" s="29">
        <f>175</f>
        <v>175</v>
      </c>
      <c r="F167" s="32"/>
      <c r="G167" s="31"/>
      <c r="H167" s="29"/>
      <c r="I167" s="33">
        <f>SUM(U163:U166)</f>
        <v>134.58000000000001</v>
      </c>
      <c r="J167" s="29">
        <f>167</f>
        <v>167</v>
      </c>
      <c r="K167" s="33">
        <f>SUM(V163:V166)</f>
        <v>2325.64</v>
      </c>
    </row>
    <row r="168" spans="1:27" ht="15" x14ac:dyDescent="0.25">
      <c r="A168" s="38"/>
      <c r="B168" s="38"/>
      <c r="C168" s="38"/>
      <c r="D168" s="38"/>
      <c r="E168" s="38"/>
      <c r="F168" s="38"/>
      <c r="G168" s="38"/>
      <c r="H168" s="39">
        <f>I165+I167</f>
        <v>463.6</v>
      </c>
      <c r="I168" s="39"/>
      <c r="J168" s="39">
        <f>K165+K167</f>
        <v>4829.49</v>
      </c>
      <c r="K168" s="39"/>
      <c r="O168" s="36">
        <f>I165+I167</f>
        <v>463.6</v>
      </c>
      <c r="P168" s="36">
        <f>K165+K167</f>
        <v>4829.49</v>
      </c>
      <c r="X168">
        <f>IF(Source!BI84&lt;=1,I165+I167-0, 0)</f>
        <v>463.6</v>
      </c>
      <c r="Y168">
        <f>IF(Source!BI84=2,I165+I167-0, 0)</f>
        <v>0</v>
      </c>
      <c r="Z168">
        <f>IF(Source!BI84=3,I165+I167-0, 0)</f>
        <v>0</v>
      </c>
      <c r="AA168">
        <f>IF(Source!BI84=4,I165+I167,0)</f>
        <v>0</v>
      </c>
    </row>
    <row r="169" spans="1:27" ht="57" x14ac:dyDescent="0.2">
      <c r="A169" s="27" t="str">
        <f>Source!E85</f>
        <v>18</v>
      </c>
      <c r="B169" s="28" t="str">
        <f>Source!F85</f>
        <v>3.1-30-1</v>
      </c>
      <c r="C169" s="28" t="str">
        <f>Source!G85</f>
        <v>Полив водой уплотняемого грунта насыпей</v>
      </c>
      <c r="D169" s="30" t="str">
        <f>Source!H85</f>
        <v>1000 м3 уплотненного грунта</v>
      </c>
      <c r="E169" s="29">
        <f>Source!I85</f>
        <v>3.8758499999999998</v>
      </c>
      <c r="F169" s="32"/>
      <c r="G169" s="31"/>
      <c r="H169" s="29"/>
      <c r="I169" s="33"/>
      <c r="J169" s="29"/>
      <c r="K169" s="33"/>
      <c r="Q169">
        <f>ROUND((Source!DN85/100)*ROUND((Source!AF85*Source!AV85)*Source!I85, 2), 2)</f>
        <v>457.53</v>
      </c>
      <c r="R169">
        <f>Source!X85</f>
        <v>8201.4500000000007</v>
      </c>
      <c r="S169">
        <f>ROUND((Source!DO85/100)*ROUND((Source!AF85*Source!AV85)*Source!I85, 2), 2)</f>
        <v>359.49</v>
      </c>
      <c r="T169">
        <f>Source!Y85</f>
        <v>4565.75</v>
      </c>
      <c r="U169">
        <f>ROUND((175/100)*ROUND((Source!AE85*Source!AV85)*Source!I85, 2), 2)</f>
        <v>2478.7199999999998</v>
      </c>
      <c r="V169">
        <f>ROUND((167/100)*ROUND(Source!CS85*Source!I85, 2), 2)</f>
        <v>42837.47</v>
      </c>
    </row>
    <row r="170" spans="1:27" ht="14.25" x14ac:dyDescent="0.2">
      <c r="A170" s="27"/>
      <c r="B170" s="28"/>
      <c r="C170" s="28" t="s">
        <v>492</v>
      </c>
      <c r="D170" s="30"/>
      <c r="E170" s="29"/>
      <c r="F170" s="32">
        <f>Source!AO85</f>
        <v>115.05</v>
      </c>
      <c r="G170" s="31" t="str">
        <f>Source!DG85</f>
        <v/>
      </c>
      <c r="H170" s="29">
        <f>Source!AV85</f>
        <v>1.0469999999999999</v>
      </c>
      <c r="I170" s="33">
        <f>ROUND((Source!AF85*Source!AV85)*Source!I85, 2)</f>
        <v>466.87</v>
      </c>
      <c r="J170" s="29">
        <f>IF(Source!BA85&lt;&gt; 0, Source!BA85, 1)</f>
        <v>18.11</v>
      </c>
      <c r="K170" s="33">
        <f>Source!S85</f>
        <v>8455.1</v>
      </c>
      <c r="W170">
        <f>I170</f>
        <v>466.87</v>
      </c>
    </row>
    <row r="171" spans="1:27" ht="14.25" x14ac:dyDescent="0.2">
      <c r="A171" s="27"/>
      <c r="B171" s="28"/>
      <c r="C171" s="28" t="s">
        <v>493</v>
      </c>
      <c r="D171" s="30"/>
      <c r="E171" s="29"/>
      <c r="F171" s="32">
        <f>Source!AM85</f>
        <v>1715.08</v>
      </c>
      <c r="G171" s="31" t="str">
        <f>Source!DE85</f>
        <v/>
      </c>
      <c r="H171" s="29">
        <f>Source!AV85</f>
        <v>1.0469999999999999</v>
      </c>
      <c r="I171" s="33">
        <f>ROUND(((((Source!ET85)-(Source!EU85))+Source!AE85)*Source!AV85)*Source!I85, 2)</f>
        <v>6959.82</v>
      </c>
      <c r="J171" s="29">
        <f>IF(Source!BB85&lt;&gt; 0, Source!BB85, 1)</f>
        <v>10.8</v>
      </c>
      <c r="K171" s="33">
        <f>Source!Q85</f>
        <v>75166.06</v>
      </c>
    </row>
    <row r="172" spans="1:27" ht="14.25" x14ac:dyDescent="0.2">
      <c r="A172" s="27"/>
      <c r="B172" s="28"/>
      <c r="C172" s="28" t="s">
        <v>494</v>
      </c>
      <c r="D172" s="30"/>
      <c r="E172" s="29"/>
      <c r="F172" s="32">
        <f>Source!AN85</f>
        <v>349.04</v>
      </c>
      <c r="G172" s="31" t="str">
        <f>Source!DF85</f>
        <v/>
      </c>
      <c r="H172" s="29">
        <f>Source!AV85</f>
        <v>1.0469999999999999</v>
      </c>
      <c r="I172" s="35">
        <f>ROUND((Source!AE85*Source!AV85)*Source!I85, 2)</f>
        <v>1416.41</v>
      </c>
      <c r="J172" s="29">
        <f>IF(Source!BS85&lt;&gt; 0, Source!BS85, 1)</f>
        <v>18.11</v>
      </c>
      <c r="K172" s="35">
        <f>Source!R85</f>
        <v>25651.18</v>
      </c>
      <c r="W172">
        <f>I172</f>
        <v>1416.41</v>
      </c>
    </row>
    <row r="173" spans="1:27" ht="14.25" x14ac:dyDescent="0.2">
      <c r="A173" s="27"/>
      <c r="B173" s="28"/>
      <c r="C173" s="28" t="s">
        <v>501</v>
      </c>
      <c r="D173" s="30"/>
      <c r="E173" s="29"/>
      <c r="F173" s="32">
        <f>Source!AL85</f>
        <v>707</v>
      </c>
      <c r="G173" s="31" t="str">
        <f>Source!DD85</f>
        <v/>
      </c>
      <c r="H173" s="29">
        <f>Source!AW85</f>
        <v>1</v>
      </c>
      <c r="I173" s="33">
        <f>ROUND((Source!AC85*Source!AW85)*Source!I85, 2)</f>
        <v>2740.23</v>
      </c>
      <c r="J173" s="29">
        <f>IF(Source!BC85&lt;&gt; 0, Source!BC85, 1)</f>
        <v>4.24</v>
      </c>
      <c r="K173" s="33">
        <f>Source!P85</f>
        <v>11618.56</v>
      </c>
    </row>
    <row r="174" spans="1:27" ht="14.25" x14ac:dyDescent="0.2">
      <c r="A174" s="27"/>
      <c r="B174" s="28"/>
      <c r="C174" s="28" t="s">
        <v>495</v>
      </c>
      <c r="D174" s="30" t="s">
        <v>496</v>
      </c>
      <c r="E174" s="29">
        <f>Source!DN85</f>
        <v>98</v>
      </c>
      <c r="F174" s="32"/>
      <c r="G174" s="31"/>
      <c r="H174" s="29"/>
      <c r="I174" s="33">
        <f>SUM(Q169:Q173)</f>
        <v>457.53</v>
      </c>
      <c r="J174" s="29">
        <f>Source!BZ85</f>
        <v>97</v>
      </c>
      <c r="K174" s="33">
        <f>SUM(R169:R173)</f>
        <v>8201.4500000000007</v>
      </c>
    </row>
    <row r="175" spans="1:27" ht="14.25" x14ac:dyDescent="0.2">
      <c r="A175" s="27"/>
      <c r="B175" s="28"/>
      <c r="C175" s="28" t="s">
        <v>497</v>
      </c>
      <c r="D175" s="30" t="s">
        <v>496</v>
      </c>
      <c r="E175" s="29">
        <f>Source!DO85</f>
        <v>77</v>
      </c>
      <c r="F175" s="32"/>
      <c r="G175" s="31"/>
      <c r="H175" s="29"/>
      <c r="I175" s="33">
        <f>SUM(S169:S174)</f>
        <v>359.49</v>
      </c>
      <c r="J175" s="29">
        <f>Source!CA85</f>
        <v>54</v>
      </c>
      <c r="K175" s="33">
        <f>SUM(T169:T174)</f>
        <v>4565.75</v>
      </c>
    </row>
    <row r="176" spans="1:27" ht="14.25" x14ac:dyDescent="0.2">
      <c r="A176" s="27"/>
      <c r="B176" s="28"/>
      <c r="C176" s="28" t="s">
        <v>498</v>
      </c>
      <c r="D176" s="30" t="s">
        <v>496</v>
      </c>
      <c r="E176" s="29">
        <f>175</f>
        <v>175</v>
      </c>
      <c r="F176" s="32"/>
      <c r="G176" s="31"/>
      <c r="H176" s="29"/>
      <c r="I176" s="33">
        <f>SUM(U169:U175)</f>
        <v>2478.7199999999998</v>
      </c>
      <c r="J176" s="29">
        <f>167</f>
        <v>167</v>
      </c>
      <c r="K176" s="33">
        <f>SUM(V169:V175)</f>
        <v>42837.47</v>
      </c>
    </row>
    <row r="177" spans="1:27" ht="14.25" x14ac:dyDescent="0.2">
      <c r="A177" s="27"/>
      <c r="B177" s="28"/>
      <c r="C177" s="28" t="s">
        <v>499</v>
      </c>
      <c r="D177" s="30" t="s">
        <v>500</v>
      </c>
      <c r="E177" s="29">
        <f>Source!AQ85</f>
        <v>12.2</v>
      </c>
      <c r="F177" s="32"/>
      <c r="G177" s="31" t="str">
        <f>Source!DI85</f>
        <v/>
      </c>
      <c r="H177" s="29">
        <f>Source!AV85</f>
        <v>1.0469999999999999</v>
      </c>
      <c r="I177" s="33">
        <f>Source!U85</f>
        <v>49.507782389999996</v>
      </c>
      <c r="J177" s="29"/>
      <c r="K177" s="33"/>
    </row>
    <row r="178" spans="1:27" ht="15" x14ac:dyDescent="0.25">
      <c r="A178" s="38"/>
      <c r="B178" s="38"/>
      <c r="C178" s="38"/>
      <c r="D178" s="38"/>
      <c r="E178" s="38"/>
      <c r="F178" s="38"/>
      <c r="G178" s="38"/>
      <c r="H178" s="39">
        <f>I170+I171+I173+I174+I175+I176</f>
        <v>13462.66</v>
      </c>
      <c r="I178" s="39"/>
      <c r="J178" s="39">
        <f>K170+K171+K173+K174+K175+K176</f>
        <v>150844.39000000001</v>
      </c>
      <c r="K178" s="39"/>
      <c r="O178" s="36">
        <f>I170+I171+I173+I174+I175+I176</f>
        <v>13462.66</v>
      </c>
      <c r="P178" s="36">
        <f>K170+K171+K173+K174+K175+K176</f>
        <v>150844.39000000001</v>
      </c>
      <c r="X178">
        <f>IF(Source!BI85&lt;=1,I170+I171+I173+I174+I175+I176-0, 0)</f>
        <v>13462.66</v>
      </c>
      <c r="Y178">
        <f>IF(Source!BI85=2,I170+I171+I173+I174+I175+I176-0, 0)</f>
        <v>0</v>
      </c>
      <c r="Z178">
        <f>IF(Source!BI85=3,I170+I171+I173+I174+I175+I176-0, 0)</f>
        <v>0</v>
      </c>
      <c r="AA178">
        <f>IF(Source!BI85=4,I170+I171+I173+I174+I175+I176,0)</f>
        <v>0</v>
      </c>
    </row>
    <row r="179" spans="1:27" ht="57" x14ac:dyDescent="0.2">
      <c r="A179" s="27" t="str">
        <f>Source!E86</f>
        <v>19</v>
      </c>
      <c r="B179" s="28" t="str">
        <f>Source!F86</f>
        <v>3.1-29-1</v>
      </c>
      <c r="C179" s="28" t="str">
        <f>Source!G86</f>
        <v>Уплотнение грунта пневматическими трамбовками группа грунтов 1,2</v>
      </c>
      <c r="D179" s="30" t="str">
        <f>Source!H86</f>
        <v>100 м3 уплотненного грунта</v>
      </c>
      <c r="E179" s="29">
        <f>Source!I86</f>
        <v>3.8758499999999998</v>
      </c>
      <c r="F179" s="32"/>
      <c r="G179" s="31"/>
      <c r="H179" s="29"/>
      <c r="I179" s="33"/>
      <c r="J179" s="29"/>
      <c r="K179" s="33"/>
      <c r="Q179">
        <f>ROUND((Source!DN86/100)*ROUND((Source!AF86*Source!AV86)*Source!I86, 2), 2)</f>
        <v>458.61</v>
      </c>
      <c r="R179">
        <f>Source!X86</f>
        <v>8220.69</v>
      </c>
      <c r="S179">
        <f>ROUND((Source!DO86/100)*ROUND((Source!AF86*Source!AV86)*Source!I86, 2), 2)</f>
        <v>360.34</v>
      </c>
      <c r="T179">
        <f>Source!Y86</f>
        <v>4576.47</v>
      </c>
      <c r="U179">
        <f>ROUND((175/100)*ROUND((Source!AE86*Source!AV86)*Source!I86, 2), 2)</f>
        <v>1322.49</v>
      </c>
      <c r="V179">
        <f>ROUND((167/100)*ROUND(Source!CS86*Source!I86, 2), 2)</f>
        <v>22855.57</v>
      </c>
    </row>
    <row r="180" spans="1:27" ht="14.25" x14ac:dyDescent="0.2">
      <c r="A180" s="27"/>
      <c r="B180" s="28"/>
      <c r="C180" s="28" t="s">
        <v>492</v>
      </c>
      <c r="D180" s="30"/>
      <c r="E180" s="29"/>
      <c r="F180" s="32">
        <f>Source!AO86</f>
        <v>120.74</v>
      </c>
      <c r="G180" s="31" t="str">
        <f>Source!DG86</f>
        <v/>
      </c>
      <c r="H180" s="29">
        <f>Source!AV86</f>
        <v>1</v>
      </c>
      <c r="I180" s="33">
        <f>ROUND((Source!AF86*Source!AV86)*Source!I86, 2)</f>
        <v>467.97</v>
      </c>
      <c r="J180" s="29">
        <f>IF(Source!BA86&lt;&gt; 0, Source!BA86, 1)</f>
        <v>18.11</v>
      </c>
      <c r="K180" s="33">
        <f>Source!S86</f>
        <v>8474.94</v>
      </c>
      <c r="W180">
        <f>I180</f>
        <v>467.97</v>
      </c>
    </row>
    <row r="181" spans="1:27" ht="14.25" x14ac:dyDescent="0.2">
      <c r="A181" s="27"/>
      <c r="B181" s="28"/>
      <c r="C181" s="28" t="s">
        <v>493</v>
      </c>
      <c r="D181" s="30"/>
      <c r="E181" s="29"/>
      <c r="F181" s="32">
        <f>Source!AM86</f>
        <v>643.97</v>
      </c>
      <c r="G181" s="31" t="str">
        <f>Source!DE86</f>
        <v/>
      </c>
      <c r="H181" s="29">
        <f>Source!AV86</f>
        <v>1</v>
      </c>
      <c r="I181" s="33">
        <f>ROUND(((((Source!ET86)-(Source!EU86))+Source!AE86)*Source!AV86)*Source!I86, 2)</f>
        <v>2495.9299999999998</v>
      </c>
      <c r="J181" s="29">
        <f>IF(Source!BB86&lt;&gt; 0, Source!BB86, 1)</f>
        <v>9.36</v>
      </c>
      <c r="K181" s="33">
        <f>Source!Q86</f>
        <v>23361.919999999998</v>
      </c>
    </row>
    <row r="182" spans="1:27" ht="14.25" x14ac:dyDescent="0.2">
      <c r="A182" s="27"/>
      <c r="B182" s="28"/>
      <c r="C182" s="28" t="s">
        <v>494</v>
      </c>
      <c r="D182" s="30"/>
      <c r="E182" s="29"/>
      <c r="F182" s="32">
        <f>Source!AN86</f>
        <v>194.98</v>
      </c>
      <c r="G182" s="31" t="str">
        <f>Source!DF86</f>
        <v/>
      </c>
      <c r="H182" s="29">
        <f>Source!AV86</f>
        <v>1</v>
      </c>
      <c r="I182" s="35">
        <f>ROUND((Source!AE86*Source!AV86)*Source!I86, 2)</f>
        <v>755.71</v>
      </c>
      <c r="J182" s="29">
        <f>IF(Source!BS86&lt;&gt; 0, Source!BS86, 1)</f>
        <v>18.11</v>
      </c>
      <c r="K182" s="35">
        <f>Source!R86</f>
        <v>13685.97</v>
      </c>
      <c r="W182">
        <f>I182</f>
        <v>755.71</v>
      </c>
    </row>
    <row r="183" spans="1:27" ht="14.25" x14ac:dyDescent="0.2">
      <c r="A183" s="27"/>
      <c r="B183" s="28"/>
      <c r="C183" s="28" t="s">
        <v>495</v>
      </c>
      <c r="D183" s="30" t="s">
        <v>496</v>
      </c>
      <c r="E183" s="29">
        <f>Source!DN86</f>
        <v>98</v>
      </c>
      <c r="F183" s="32"/>
      <c r="G183" s="31"/>
      <c r="H183" s="29"/>
      <c r="I183" s="33">
        <f>SUM(Q179:Q182)</f>
        <v>458.61</v>
      </c>
      <c r="J183" s="29">
        <f>Source!BZ86</f>
        <v>97</v>
      </c>
      <c r="K183" s="33">
        <f>SUM(R179:R182)</f>
        <v>8220.69</v>
      </c>
    </row>
    <row r="184" spans="1:27" ht="14.25" x14ac:dyDescent="0.2">
      <c r="A184" s="27"/>
      <c r="B184" s="28"/>
      <c r="C184" s="28" t="s">
        <v>497</v>
      </c>
      <c r="D184" s="30" t="s">
        <v>496</v>
      </c>
      <c r="E184" s="29">
        <f>Source!DO86</f>
        <v>77</v>
      </c>
      <c r="F184" s="32"/>
      <c r="G184" s="31"/>
      <c r="H184" s="29"/>
      <c r="I184" s="33">
        <f>SUM(S179:S183)</f>
        <v>360.34</v>
      </c>
      <c r="J184" s="29">
        <f>Source!CA86</f>
        <v>54</v>
      </c>
      <c r="K184" s="33">
        <f>SUM(T179:T183)</f>
        <v>4576.47</v>
      </c>
    </row>
    <row r="185" spans="1:27" ht="14.25" x14ac:dyDescent="0.2">
      <c r="A185" s="27"/>
      <c r="B185" s="28"/>
      <c r="C185" s="28" t="s">
        <v>498</v>
      </c>
      <c r="D185" s="30" t="s">
        <v>496</v>
      </c>
      <c r="E185" s="29">
        <f>175</f>
        <v>175</v>
      </c>
      <c r="F185" s="32"/>
      <c r="G185" s="31"/>
      <c r="H185" s="29"/>
      <c r="I185" s="33">
        <f>SUM(U179:U184)</f>
        <v>1322.49</v>
      </c>
      <c r="J185" s="29">
        <f>167</f>
        <v>167</v>
      </c>
      <c r="K185" s="33">
        <f>SUM(V179:V184)</f>
        <v>22855.57</v>
      </c>
    </row>
    <row r="186" spans="1:27" ht="14.25" x14ac:dyDescent="0.2">
      <c r="A186" s="27"/>
      <c r="B186" s="28"/>
      <c r="C186" s="28" t="s">
        <v>499</v>
      </c>
      <c r="D186" s="30" t="s">
        <v>500</v>
      </c>
      <c r="E186" s="29">
        <f>Source!AQ86</f>
        <v>10.8</v>
      </c>
      <c r="F186" s="32"/>
      <c r="G186" s="31" t="str">
        <f>Source!DI86</f>
        <v/>
      </c>
      <c r="H186" s="29">
        <f>Source!AV86</f>
        <v>1</v>
      </c>
      <c r="I186" s="33">
        <f>Source!U86</f>
        <v>41.859180000000002</v>
      </c>
      <c r="J186" s="29"/>
      <c r="K186" s="33"/>
    </row>
    <row r="187" spans="1:27" ht="15" x14ac:dyDescent="0.25">
      <c r="A187" s="38"/>
      <c r="B187" s="38"/>
      <c r="C187" s="38"/>
      <c r="D187" s="38"/>
      <c r="E187" s="38"/>
      <c r="F187" s="38"/>
      <c r="G187" s="38"/>
      <c r="H187" s="39">
        <f>I180+I181+I183+I184+I185</f>
        <v>5105.34</v>
      </c>
      <c r="I187" s="39"/>
      <c r="J187" s="39">
        <f>K180+K181+K183+K184+K185</f>
        <v>67489.59</v>
      </c>
      <c r="K187" s="39"/>
      <c r="O187" s="36">
        <f>I180+I181+I183+I184+I185</f>
        <v>5105.34</v>
      </c>
      <c r="P187" s="36">
        <f>K180+K181+K183+K184+K185</f>
        <v>67489.59</v>
      </c>
      <c r="X187">
        <f>IF(Source!BI86&lt;=1,I180+I181+I183+I184+I185-0, 0)</f>
        <v>5105.34</v>
      </c>
      <c r="Y187">
        <f>IF(Source!BI86=2,I180+I181+I183+I184+I185-0, 0)</f>
        <v>0</v>
      </c>
      <c r="Z187">
        <f>IF(Source!BI86=3,I180+I181+I183+I184+I185-0, 0)</f>
        <v>0</v>
      </c>
      <c r="AA187">
        <f>IF(Source!BI86=4,I180+I181+I183+I184+I185,0)</f>
        <v>0</v>
      </c>
    </row>
    <row r="188" spans="1:27" ht="42.75" x14ac:dyDescent="0.2">
      <c r="A188" s="27" t="str">
        <f>Source!E87</f>
        <v>20</v>
      </c>
      <c r="B188" s="28" t="str">
        <f>Source!F87</f>
        <v>3.1-53-1</v>
      </c>
      <c r="C188" s="28" t="str">
        <f>Source!G87</f>
        <v>Засыпка вручную траншей, пазух котлованов и ям группа грунтов 1-3 / 10%</v>
      </c>
      <c r="D188" s="30" t="str">
        <f>Source!H87</f>
        <v>100 м3 грунта</v>
      </c>
      <c r="E188" s="29">
        <f>Source!I87</f>
        <v>0.43064999999999998</v>
      </c>
      <c r="F188" s="32"/>
      <c r="G188" s="31"/>
      <c r="H188" s="29"/>
      <c r="I188" s="33"/>
      <c r="J188" s="29"/>
      <c r="K188" s="33"/>
      <c r="Q188">
        <f>ROUND((Source!DN87/100)*ROUND((Source!AF87*Source!AV87)*Source!I87, 2), 2)</f>
        <v>475.3</v>
      </c>
      <c r="R188">
        <f>Source!X87</f>
        <v>7296.08</v>
      </c>
      <c r="S188">
        <f>ROUND((Source!DO87/100)*ROUND((Source!AF87*Source!AV87)*Source!I87, 2), 2)</f>
        <v>348.56</v>
      </c>
      <c r="T188">
        <f>Source!Y87</f>
        <v>3607.05</v>
      </c>
      <c r="U188">
        <f>ROUND((175/100)*ROUND((Source!AE87*Source!AV87)*Source!I87, 2), 2)</f>
        <v>0</v>
      </c>
      <c r="V188">
        <f>ROUND((167/100)*ROUND(Source!CS87*Source!I87, 2), 2)</f>
        <v>0</v>
      </c>
    </row>
    <row r="189" spans="1:27" x14ac:dyDescent="0.2">
      <c r="C189" s="34" t="str">
        <f>"Объем: "&amp;Source!I87&amp;"=430,65*"&amp;"0,1/"&amp;"100"</f>
        <v>Объем: 0,43065=430,65*0,1/100</v>
      </c>
    </row>
    <row r="190" spans="1:27" ht="14.25" x14ac:dyDescent="0.2">
      <c r="A190" s="27"/>
      <c r="B190" s="28"/>
      <c r="C190" s="28" t="s">
        <v>492</v>
      </c>
      <c r="D190" s="30"/>
      <c r="E190" s="29"/>
      <c r="F190" s="32">
        <f>Source!AO87</f>
        <v>1051.1300000000001</v>
      </c>
      <c r="G190" s="31" t="str">
        <f>Source!DG87</f>
        <v/>
      </c>
      <c r="H190" s="29">
        <f>Source!AV87</f>
        <v>1</v>
      </c>
      <c r="I190" s="33">
        <f>ROUND((Source!AF87*Source!AV87)*Source!I87, 2)</f>
        <v>452.67</v>
      </c>
      <c r="J190" s="29">
        <f>IF(Source!BA87&lt;&gt; 0, Source!BA87, 1)</f>
        <v>18.11</v>
      </c>
      <c r="K190" s="33">
        <f>Source!S87</f>
        <v>8197.84</v>
      </c>
      <c r="W190">
        <f>I190</f>
        <v>452.67</v>
      </c>
    </row>
    <row r="191" spans="1:27" ht="14.25" x14ac:dyDescent="0.2">
      <c r="A191" s="27"/>
      <c r="B191" s="28"/>
      <c r="C191" s="28" t="s">
        <v>495</v>
      </c>
      <c r="D191" s="30" t="s">
        <v>496</v>
      </c>
      <c r="E191" s="29">
        <f>Source!DN87</f>
        <v>105</v>
      </c>
      <c r="F191" s="32"/>
      <c r="G191" s="31"/>
      <c r="H191" s="29"/>
      <c r="I191" s="33">
        <f>SUM(Q188:Q190)</f>
        <v>475.3</v>
      </c>
      <c r="J191" s="29">
        <f>Source!BZ87</f>
        <v>89</v>
      </c>
      <c r="K191" s="33">
        <f>SUM(R188:R190)</f>
        <v>7296.08</v>
      </c>
    </row>
    <row r="192" spans="1:27" ht="14.25" x14ac:dyDescent="0.2">
      <c r="A192" s="27"/>
      <c r="B192" s="28"/>
      <c r="C192" s="28" t="s">
        <v>497</v>
      </c>
      <c r="D192" s="30" t="s">
        <v>496</v>
      </c>
      <c r="E192" s="29">
        <f>Source!DO87</f>
        <v>77</v>
      </c>
      <c r="F192" s="32"/>
      <c r="G192" s="31"/>
      <c r="H192" s="29"/>
      <c r="I192" s="33">
        <f>SUM(S188:S191)</f>
        <v>348.56</v>
      </c>
      <c r="J192" s="29">
        <f>Source!CA87</f>
        <v>44</v>
      </c>
      <c r="K192" s="33">
        <f>SUM(T188:T191)</f>
        <v>3607.05</v>
      </c>
    </row>
    <row r="193" spans="1:27" ht="14.25" x14ac:dyDescent="0.2">
      <c r="A193" s="27"/>
      <c r="B193" s="28"/>
      <c r="C193" s="28" t="s">
        <v>499</v>
      </c>
      <c r="D193" s="30" t="s">
        <v>500</v>
      </c>
      <c r="E193" s="29">
        <f>Source!AQ87</f>
        <v>107.04</v>
      </c>
      <c r="F193" s="32"/>
      <c r="G193" s="31" t="str">
        <f>Source!DI87</f>
        <v/>
      </c>
      <c r="H193" s="29">
        <f>Source!AV87</f>
        <v>1</v>
      </c>
      <c r="I193" s="33">
        <f>Source!U87</f>
        <v>46.096775999999998</v>
      </c>
      <c r="J193" s="29"/>
      <c r="K193" s="33"/>
    </row>
    <row r="194" spans="1:27" ht="15" x14ac:dyDescent="0.25">
      <c r="A194" s="38"/>
      <c r="B194" s="38"/>
      <c r="C194" s="38"/>
      <c r="D194" s="38"/>
      <c r="E194" s="38"/>
      <c r="F194" s="38"/>
      <c r="G194" s="38"/>
      <c r="H194" s="39">
        <f>I190+I191+I192</f>
        <v>1276.53</v>
      </c>
      <c r="I194" s="39"/>
      <c r="J194" s="39">
        <f>K190+K191+K192</f>
        <v>19100.97</v>
      </c>
      <c r="K194" s="39"/>
      <c r="O194" s="36">
        <f>I190+I191+I192</f>
        <v>1276.53</v>
      </c>
      <c r="P194" s="36">
        <f>K190+K191+K192</f>
        <v>19100.97</v>
      </c>
      <c r="X194">
        <f>IF(Source!BI87&lt;=1,I190+I191+I192-0, 0)</f>
        <v>1276.53</v>
      </c>
      <c r="Y194">
        <f>IF(Source!BI87=2,I190+I191+I192-0, 0)</f>
        <v>0</v>
      </c>
      <c r="Z194">
        <f>IF(Source!BI87=3,I190+I191+I192-0, 0)</f>
        <v>0</v>
      </c>
      <c r="AA194">
        <f>IF(Source!BI87=4,I190+I191+I192,0)</f>
        <v>0</v>
      </c>
    </row>
    <row r="196" spans="1:27" ht="15" x14ac:dyDescent="0.25">
      <c r="A196" s="42" t="str">
        <f>CONCATENATE("Итого по подразделу: ",IF(Source!G89&lt;&gt;"Новый подраздел", Source!G89, ""))</f>
        <v>Итого по подразделу: Траншея 1.2</v>
      </c>
      <c r="B196" s="42"/>
      <c r="C196" s="42"/>
      <c r="D196" s="42"/>
      <c r="E196" s="42"/>
      <c r="F196" s="42"/>
      <c r="G196" s="42"/>
      <c r="H196" s="37">
        <f>SUM(O114:O195)</f>
        <v>72178.98</v>
      </c>
      <c r="I196" s="41"/>
      <c r="J196" s="37">
        <f>SUM(P114:P195)</f>
        <v>643873.30999999994</v>
      </c>
      <c r="K196" s="41"/>
    </row>
    <row r="197" spans="1:27" ht="15" hidden="1" x14ac:dyDescent="0.25">
      <c r="A197" s="42" t="s">
        <v>502</v>
      </c>
      <c r="B197" s="42"/>
      <c r="C197" s="42"/>
      <c r="D197" s="42"/>
      <c r="E197" s="42"/>
      <c r="F197" s="42"/>
      <c r="G197" s="42"/>
      <c r="H197" s="37">
        <f>SUM(AC114:AC196)</f>
        <v>0</v>
      </c>
      <c r="I197" s="41"/>
      <c r="J197" s="37">
        <f>SUM(AD114:AD196)</f>
        <v>0</v>
      </c>
      <c r="K197" s="41"/>
    </row>
    <row r="199" spans="1:27" ht="16.5" x14ac:dyDescent="0.25">
      <c r="A199" s="25" t="str">
        <f>CONCATENATE("Подраздел: ",IF(Source!G118&lt;&gt;"Новый подраздел", Source!G118, ""))</f>
        <v>Подраздел: 1.3</v>
      </c>
      <c r="B199" s="25"/>
      <c r="C199" s="25"/>
      <c r="D199" s="25"/>
      <c r="E199" s="25"/>
      <c r="F199" s="25"/>
      <c r="G199" s="25"/>
      <c r="H199" s="25"/>
      <c r="I199" s="25"/>
      <c r="J199" s="25"/>
      <c r="K199" s="25"/>
    </row>
    <row r="200" spans="1:27" ht="57" x14ac:dyDescent="0.2">
      <c r="A200" s="27" t="str">
        <f>Source!E122</f>
        <v>21</v>
      </c>
      <c r="B200" s="28" t="str">
        <f>Source!F122</f>
        <v>3.1-35-1</v>
      </c>
      <c r="C200" s="28" t="str">
        <f>Source!G122</f>
        <v>Планировка площадей механизированным способом группа грунтов 1-3 / 90%</v>
      </c>
      <c r="D200" s="30" t="str">
        <f>Source!H122</f>
        <v>1000 м2 спланированной площади</v>
      </c>
      <c r="E200" s="29">
        <f>Source!I122</f>
        <v>7.1181000000000001</v>
      </c>
      <c r="F200" s="32"/>
      <c r="G200" s="31"/>
      <c r="H200" s="29"/>
      <c r="I200" s="33"/>
      <c r="J200" s="29"/>
      <c r="K200" s="33"/>
      <c r="Q200">
        <f>ROUND((Source!DN122/100)*ROUND((Source!AF122*Source!AV122)*Source!I122, 2), 2)</f>
        <v>0</v>
      </c>
      <c r="R200">
        <f>Source!X122</f>
        <v>0</v>
      </c>
      <c r="S200">
        <f>ROUND((Source!DO122/100)*ROUND((Source!AF122*Source!AV122)*Source!I122, 2), 2)</f>
        <v>0</v>
      </c>
      <c r="T200">
        <f>Source!Y122</f>
        <v>0</v>
      </c>
      <c r="U200">
        <f>ROUND((175/100)*ROUND((Source!AE122*Source!AV122)*Source!I122, 2), 2)</f>
        <v>347.92</v>
      </c>
      <c r="V200">
        <f>ROUND((167/100)*ROUND(Source!CS122*Source!I122, 2), 2)</f>
        <v>6012.7</v>
      </c>
    </row>
    <row r="201" spans="1:27" x14ac:dyDescent="0.2">
      <c r="C201" s="34" t="str">
        <f>"Объем: "&amp;Source!I122&amp;"=7909*"&amp;"0,9/"&amp;"1000"</f>
        <v>Объем: 7,1181=7909*0,9/1000</v>
      </c>
    </row>
    <row r="202" spans="1:27" ht="14.25" x14ac:dyDescent="0.2">
      <c r="A202" s="27"/>
      <c r="B202" s="28"/>
      <c r="C202" s="28" t="s">
        <v>493</v>
      </c>
      <c r="D202" s="30"/>
      <c r="E202" s="29"/>
      <c r="F202" s="32">
        <f>Source!AM122</f>
        <v>125.02</v>
      </c>
      <c r="G202" s="31" t="str">
        <f>Source!DE122</f>
        <v/>
      </c>
      <c r="H202" s="29">
        <f>Source!AV122</f>
        <v>1</v>
      </c>
      <c r="I202" s="33">
        <f>ROUND(((((Source!ET122)-(Source!EU122))+Source!AE122)*Source!AV122)*Source!I122, 2)</f>
        <v>889.9</v>
      </c>
      <c r="J202" s="29">
        <f>IF(Source!BB122&lt;&gt; 0, Source!BB122, 1)</f>
        <v>7.94</v>
      </c>
      <c r="K202" s="33">
        <f>Source!Q122</f>
        <v>7065.84</v>
      </c>
    </row>
    <row r="203" spans="1:27" ht="14.25" x14ac:dyDescent="0.2">
      <c r="A203" s="27"/>
      <c r="B203" s="28"/>
      <c r="C203" s="28" t="s">
        <v>494</v>
      </c>
      <c r="D203" s="30"/>
      <c r="E203" s="29"/>
      <c r="F203" s="32">
        <f>Source!AN122</f>
        <v>27.93</v>
      </c>
      <c r="G203" s="31" t="str">
        <f>Source!DF122</f>
        <v/>
      </c>
      <c r="H203" s="29">
        <f>Source!AV122</f>
        <v>1</v>
      </c>
      <c r="I203" s="35">
        <f>ROUND((Source!AE122*Source!AV122)*Source!I122, 2)</f>
        <v>198.81</v>
      </c>
      <c r="J203" s="29">
        <f>IF(Source!BS122&lt;&gt; 0, Source!BS122, 1)</f>
        <v>18.11</v>
      </c>
      <c r="K203" s="35">
        <f>Source!R122</f>
        <v>3600.42</v>
      </c>
      <c r="W203">
        <f>I203</f>
        <v>198.81</v>
      </c>
    </row>
    <row r="204" spans="1:27" ht="14.25" x14ac:dyDescent="0.2">
      <c r="A204" s="27"/>
      <c r="B204" s="28"/>
      <c r="C204" s="28" t="s">
        <v>498</v>
      </c>
      <c r="D204" s="30" t="s">
        <v>496</v>
      </c>
      <c r="E204" s="29">
        <f>175</f>
        <v>175</v>
      </c>
      <c r="F204" s="32"/>
      <c r="G204" s="31"/>
      <c r="H204" s="29"/>
      <c r="I204" s="33">
        <f>SUM(U200:U203)</f>
        <v>347.92</v>
      </c>
      <c r="J204" s="29">
        <f>167</f>
        <v>167</v>
      </c>
      <c r="K204" s="33">
        <f>SUM(V200:V203)</f>
        <v>6012.7</v>
      </c>
    </row>
    <row r="205" spans="1:27" ht="15" x14ac:dyDescent="0.25">
      <c r="A205" s="38"/>
      <c r="B205" s="38"/>
      <c r="C205" s="38"/>
      <c r="D205" s="38"/>
      <c r="E205" s="38"/>
      <c r="F205" s="38"/>
      <c r="G205" s="38"/>
      <c r="H205" s="39">
        <f>I202+I204</f>
        <v>1237.82</v>
      </c>
      <c r="I205" s="39"/>
      <c r="J205" s="39">
        <f>K202+K204</f>
        <v>13078.54</v>
      </c>
      <c r="K205" s="39"/>
      <c r="O205" s="36">
        <f>I202+I204</f>
        <v>1237.82</v>
      </c>
      <c r="P205" s="36">
        <f>K202+K204</f>
        <v>13078.54</v>
      </c>
      <c r="X205">
        <f>IF(Source!BI122&lt;=1,I202+I204-0, 0)</f>
        <v>1237.82</v>
      </c>
      <c r="Y205">
        <f>IF(Source!BI122=2,I202+I204-0, 0)</f>
        <v>0</v>
      </c>
      <c r="Z205">
        <f>IF(Source!BI122=3,I202+I204-0, 0)</f>
        <v>0</v>
      </c>
      <c r="AA205">
        <f>IF(Source!BI122=4,I202+I204,0)</f>
        <v>0</v>
      </c>
    </row>
    <row r="206" spans="1:27" ht="57" x14ac:dyDescent="0.2">
      <c r="A206" s="27" t="str">
        <f>Source!E123</f>
        <v>22</v>
      </c>
      <c r="B206" s="28" t="str">
        <f>Source!F123</f>
        <v>3.1-35-2</v>
      </c>
      <c r="C206" s="28" t="str">
        <f>Source!G123</f>
        <v>Планировка площадей ручным способом группа грунтов 1-3 / 10%</v>
      </c>
      <c r="D206" s="30" t="str">
        <f>Source!H123</f>
        <v>1000 м2 спланированной площади</v>
      </c>
      <c r="E206" s="29">
        <f>Source!I123</f>
        <v>0.79090000000000005</v>
      </c>
      <c r="F206" s="32"/>
      <c r="G206" s="31"/>
      <c r="H206" s="29"/>
      <c r="I206" s="33"/>
      <c r="J206" s="29"/>
      <c r="K206" s="33"/>
      <c r="Q206">
        <f>ROUND((Source!DN123/100)*ROUND((Source!AF123*Source!AV123)*Source!I123, 2), 2)</f>
        <v>1232.04</v>
      </c>
      <c r="R206">
        <f>Source!X123</f>
        <v>18912.28</v>
      </c>
      <c r="S206">
        <f>ROUND((Source!DO123/100)*ROUND((Source!AF123*Source!AV123)*Source!I123, 2), 2)</f>
        <v>903.49</v>
      </c>
      <c r="T206">
        <f>Source!Y123</f>
        <v>9349.89</v>
      </c>
      <c r="U206">
        <f>ROUND((175/100)*ROUND((Source!AE123*Source!AV123)*Source!I123, 2), 2)</f>
        <v>0</v>
      </c>
      <c r="V206">
        <f>ROUND((167/100)*ROUND(Source!CS123*Source!I123, 2), 2)</f>
        <v>0</v>
      </c>
    </row>
    <row r="207" spans="1:27" x14ac:dyDescent="0.2">
      <c r="C207" s="34" t="str">
        <f>"Объем: "&amp;Source!I123&amp;"=7909*"&amp;"0,1/"&amp;"1000"</f>
        <v>Объем: 0,7909=7909*0,1/1000</v>
      </c>
    </row>
    <row r="208" spans="1:27" ht="14.25" x14ac:dyDescent="0.2">
      <c r="A208" s="27"/>
      <c r="B208" s="28"/>
      <c r="C208" s="28" t="s">
        <v>492</v>
      </c>
      <c r="D208" s="30"/>
      <c r="E208" s="29"/>
      <c r="F208" s="32">
        <f>Source!AO123</f>
        <v>1483.59</v>
      </c>
      <c r="G208" s="31" t="str">
        <f>Source!DG123</f>
        <v/>
      </c>
      <c r="H208" s="29">
        <f>Source!AV123</f>
        <v>1</v>
      </c>
      <c r="I208" s="33">
        <f>ROUND((Source!AF123*Source!AV123)*Source!I123, 2)</f>
        <v>1173.3699999999999</v>
      </c>
      <c r="J208" s="29">
        <f>IF(Source!BA123&lt;&gt; 0, Source!BA123, 1)</f>
        <v>18.11</v>
      </c>
      <c r="K208" s="33">
        <f>Source!S123</f>
        <v>21249.75</v>
      </c>
      <c r="W208">
        <f>I208</f>
        <v>1173.3699999999999</v>
      </c>
    </row>
    <row r="209" spans="1:27" ht="14.25" x14ac:dyDescent="0.2">
      <c r="A209" s="27"/>
      <c r="B209" s="28"/>
      <c r="C209" s="28" t="s">
        <v>495</v>
      </c>
      <c r="D209" s="30" t="s">
        <v>496</v>
      </c>
      <c r="E209" s="29">
        <f>Source!DN123</f>
        <v>105</v>
      </c>
      <c r="F209" s="32"/>
      <c r="G209" s="31"/>
      <c r="H209" s="29"/>
      <c r="I209" s="33">
        <f>SUM(Q206:Q208)</f>
        <v>1232.04</v>
      </c>
      <c r="J209" s="29">
        <f>Source!BZ123</f>
        <v>89</v>
      </c>
      <c r="K209" s="33">
        <f>SUM(R206:R208)</f>
        <v>18912.28</v>
      </c>
    </row>
    <row r="210" spans="1:27" ht="14.25" x14ac:dyDescent="0.2">
      <c r="A210" s="27"/>
      <c r="B210" s="28"/>
      <c r="C210" s="28" t="s">
        <v>497</v>
      </c>
      <c r="D210" s="30" t="s">
        <v>496</v>
      </c>
      <c r="E210" s="29">
        <f>Source!DO123</f>
        <v>77</v>
      </c>
      <c r="F210" s="32"/>
      <c r="G210" s="31"/>
      <c r="H210" s="29"/>
      <c r="I210" s="33">
        <f>SUM(S206:S209)</f>
        <v>903.49</v>
      </c>
      <c r="J210" s="29">
        <f>Source!CA123</f>
        <v>44</v>
      </c>
      <c r="K210" s="33">
        <f>SUM(T206:T209)</f>
        <v>9349.89</v>
      </c>
    </row>
    <row r="211" spans="1:27" ht="14.25" x14ac:dyDescent="0.2">
      <c r="A211" s="27"/>
      <c r="B211" s="28"/>
      <c r="C211" s="28" t="s">
        <v>499</v>
      </c>
      <c r="D211" s="30" t="s">
        <v>500</v>
      </c>
      <c r="E211" s="29">
        <f>Source!AQ123</f>
        <v>132.69999999999999</v>
      </c>
      <c r="F211" s="32"/>
      <c r="G211" s="31" t="str">
        <f>Source!DI123</f>
        <v/>
      </c>
      <c r="H211" s="29">
        <f>Source!AV123</f>
        <v>1</v>
      </c>
      <c r="I211" s="33">
        <f>Source!U123</f>
        <v>104.95242999999999</v>
      </c>
      <c r="J211" s="29"/>
      <c r="K211" s="33"/>
    </row>
    <row r="212" spans="1:27" ht="15" x14ac:dyDescent="0.25">
      <c r="A212" s="38"/>
      <c r="B212" s="38"/>
      <c r="C212" s="38"/>
      <c r="D212" s="38"/>
      <c r="E212" s="38"/>
      <c r="F212" s="38"/>
      <c r="G212" s="38"/>
      <c r="H212" s="39">
        <f>I208+I209+I210</f>
        <v>3308.8999999999996</v>
      </c>
      <c r="I212" s="39"/>
      <c r="J212" s="39">
        <f>K208+K209+K210</f>
        <v>49511.92</v>
      </c>
      <c r="K212" s="39"/>
      <c r="O212" s="36">
        <f>I208+I209+I210</f>
        <v>3308.8999999999996</v>
      </c>
      <c r="P212" s="36">
        <f>K208+K209+K210</f>
        <v>49511.92</v>
      </c>
      <c r="X212">
        <f>IF(Source!BI123&lt;=1,I208+I209+I210-0, 0)</f>
        <v>3308.8999999999996</v>
      </c>
      <c r="Y212">
        <f>IF(Source!BI123=2,I208+I209+I210-0, 0)</f>
        <v>0</v>
      </c>
      <c r="Z212">
        <f>IF(Source!BI123=3,I208+I209+I210-0, 0)</f>
        <v>0</v>
      </c>
      <c r="AA212">
        <f>IF(Source!BI123=4,I208+I209+I210,0)</f>
        <v>0</v>
      </c>
    </row>
    <row r="214" spans="1:27" ht="15" x14ac:dyDescent="0.25">
      <c r="A214" s="42" t="str">
        <f>CONCATENATE("Итого по подразделу: ",IF(Source!G125&lt;&gt;"Новый подраздел", Source!G125, ""))</f>
        <v>Итого по подразделу: 1.3</v>
      </c>
      <c r="B214" s="42"/>
      <c r="C214" s="42"/>
      <c r="D214" s="42"/>
      <c r="E214" s="42"/>
      <c r="F214" s="42"/>
      <c r="G214" s="42"/>
      <c r="H214" s="37">
        <f>SUM(O199:O213)</f>
        <v>4546.7199999999993</v>
      </c>
      <c r="I214" s="41"/>
      <c r="J214" s="37">
        <f>SUM(P199:P213)</f>
        <v>62590.46</v>
      </c>
      <c r="K214" s="41"/>
    </row>
    <row r="215" spans="1:27" ht="15" hidden="1" x14ac:dyDescent="0.25">
      <c r="A215" s="42" t="s">
        <v>502</v>
      </c>
      <c r="B215" s="42"/>
      <c r="C215" s="42"/>
      <c r="D215" s="42"/>
      <c r="E215" s="42"/>
      <c r="F215" s="42"/>
      <c r="G215" s="42"/>
      <c r="H215" s="37">
        <f>SUM(AC199:AC214)</f>
        <v>0</v>
      </c>
      <c r="I215" s="41"/>
      <c r="J215" s="37">
        <f>SUM(AD199:AD214)</f>
        <v>0</v>
      </c>
      <c r="K215" s="41"/>
    </row>
    <row r="217" spans="1:27" ht="16.5" x14ac:dyDescent="0.25">
      <c r="A217" s="25" t="str">
        <f>CONCATENATE("Подраздел: ",IF(Source!G154&lt;&gt;"Новый подраздел", Source!G154, ""))</f>
        <v>Подраздел: 3.2</v>
      </c>
      <c r="B217" s="25"/>
      <c r="C217" s="25"/>
      <c r="D217" s="25"/>
      <c r="E217" s="25"/>
      <c r="F217" s="25"/>
      <c r="G217" s="25"/>
      <c r="H217" s="25"/>
      <c r="I217" s="25"/>
      <c r="J217" s="25"/>
      <c r="K217" s="25"/>
    </row>
    <row r="218" spans="1:27" ht="42.75" x14ac:dyDescent="0.2">
      <c r="A218" s="27" t="str">
        <f>Source!E158</f>
        <v>23</v>
      </c>
      <c r="B218" s="28" t="str">
        <f>Source!F158</f>
        <v>3.1-51-1</v>
      </c>
      <c r="C218" s="28" t="str">
        <f>Source!G158</f>
        <v>Разработка грунта вручную в траншеях глубиной до 2 м без креплений с откосами группа грунтов 1-3</v>
      </c>
      <c r="D218" s="30" t="str">
        <f>Source!H158</f>
        <v>100 м3 грунта</v>
      </c>
      <c r="E218" s="29">
        <f>Source!I158</f>
        <v>9.6000000000000002E-2</v>
      </c>
      <c r="F218" s="32"/>
      <c r="G218" s="31"/>
      <c r="H218" s="29"/>
      <c r="I218" s="33"/>
      <c r="J218" s="29"/>
      <c r="K218" s="33"/>
      <c r="Q218">
        <f>ROUND((Source!DN158/100)*ROUND((Source!AF158*Source!AV158)*Source!I158, 2), 2)</f>
        <v>205.89</v>
      </c>
      <c r="R218">
        <f>Source!X158</f>
        <v>3160.59</v>
      </c>
      <c r="S218">
        <f>ROUND((Source!DO158/100)*ROUND((Source!AF158*Source!AV158)*Source!I158, 2), 2)</f>
        <v>150.99</v>
      </c>
      <c r="T218">
        <f>Source!Y158</f>
        <v>1562.54</v>
      </c>
      <c r="U218">
        <f>ROUND((175/100)*ROUND((Source!AE158*Source!AV158)*Source!I158, 2), 2)</f>
        <v>0</v>
      </c>
      <c r="V218">
        <f>ROUND((167/100)*ROUND(Source!CS158*Source!I158, 2), 2)</f>
        <v>0</v>
      </c>
    </row>
    <row r="219" spans="1:27" x14ac:dyDescent="0.2">
      <c r="C219" s="34" t="str">
        <f>"Объем: "&amp;Source!I158&amp;"=9,6/"&amp;"100"</f>
        <v>Объем: 0,096=9,6/100</v>
      </c>
    </row>
    <row r="220" spans="1:27" ht="14.25" x14ac:dyDescent="0.2">
      <c r="A220" s="27"/>
      <c r="B220" s="28"/>
      <c r="C220" s="28" t="s">
        <v>492</v>
      </c>
      <c r="D220" s="30"/>
      <c r="E220" s="29"/>
      <c r="F220" s="32">
        <f>Source!AO158</f>
        <v>2042.62</v>
      </c>
      <c r="G220" s="31" t="str">
        <f>Source!DG158</f>
        <v/>
      </c>
      <c r="H220" s="29">
        <f>Source!AV158</f>
        <v>1</v>
      </c>
      <c r="I220" s="33">
        <f>ROUND((Source!AF158*Source!AV158)*Source!I158, 2)</f>
        <v>196.09</v>
      </c>
      <c r="J220" s="29">
        <f>IF(Source!BA158&lt;&gt; 0, Source!BA158, 1)</f>
        <v>18.11</v>
      </c>
      <c r="K220" s="33">
        <f>Source!S158</f>
        <v>3551.22</v>
      </c>
      <c r="W220">
        <f>I220</f>
        <v>196.09</v>
      </c>
    </row>
    <row r="221" spans="1:27" ht="14.25" x14ac:dyDescent="0.2">
      <c r="A221" s="27"/>
      <c r="B221" s="28"/>
      <c r="C221" s="28" t="s">
        <v>495</v>
      </c>
      <c r="D221" s="30" t="s">
        <v>496</v>
      </c>
      <c r="E221" s="29">
        <f>Source!DN158</f>
        <v>105</v>
      </c>
      <c r="F221" s="32"/>
      <c r="G221" s="31"/>
      <c r="H221" s="29"/>
      <c r="I221" s="33">
        <f>SUM(Q218:Q220)</f>
        <v>205.89</v>
      </c>
      <c r="J221" s="29">
        <f>Source!BZ158</f>
        <v>89</v>
      </c>
      <c r="K221" s="33">
        <f>SUM(R218:R220)</f>
        <v>3160.59</v>
      </c>
    </row>
    <row r="222" spans="1:27" ht="14.25" x14ac:dyDescent="0.2">
      <c r="A222" s="27"/>
      <c r="B222" s="28"/>
      <c r="C222" s="28" t="s">
        <v>497</v>
      </c>
      <c r="D222" s="30" t="s">
        <v>496</v>
      </c>
      <c r="E222" s="29">
        <f>Source!DO158</f>
        <v>77</v>
      </c>
      <c r="F222" s="32"/>
      <c r="G222" s="31"/>
      <c r="H222" s="29"/>
      <c r="I222" s="33">
        <f>SUM(S218:S221)</f>
        <v>150.99</v>
      </c>
      <c r="J222" s="29">
        <f>Source!CA158</f>
        <v>44</v>
      </c>
      <c r="K222" s="33">
        <f>SUM(T218:T221)</f>
        <v>1562.54</v>
      </c>
    </row>
    <row r="223" spans="1:27" ht="14.25" x14ac:dyDescent="0.2">
      <c r="A223" s="27"/>
      <c r="B223" s="28"/>
      <c r="C223" s="28" t="s">
        <v>499</v>
      </c>
      <c r="D223" s="30" t="s">
        <v>500</v>
      </c>
      <c r="E223" s="29">
        <f>Source!AQ158</f>
        <v>192.7</v>
      </c>
      <c r="F223" s="32"/>
      <c r="G223" s="31" t="str">
        <f>Source!DI158</f>
        <v/>
      </c>
      <c r="H223" s="29">
        <f>Source!AV158</f>
        <v>1</v>
      </c>
      <c r="I223" s="33">
        <f>Source!U158</f>
        <v>18.499199999999998</v>
      </c>
      <c r="J223" s="29"/>
      <c r="K223" s="33"/>
    </row>
    <row r="224" spans="1:27" ht="15" x14ac:dyDescent="0.25">
      <c r="A224" s="38"/>
      <c r="B224" s="38"/>
      <c r="C224" s="38"/>
      <c r="D224" s="38"/>
      <c r="E224" s="38"/>
      <c r="F224" s="38"/>
      <c r="G224" s="38"/>
      <c r="H224" s="39">
        <f>I220+I221+I222</f>
        <v>552.97</v>
      </c>
      <c r="I224" s="39"/>
      <c r="J224" s="39">
        <f>K220+K221+K222</f>
        <v>8274.3499999999985</v>
      </c>
      <c r="K224" s="39"/>
      <c r="O224" s="36">
        <f>I220+I221+I222</f>
        <v>552.97</v>
      </c>
      <c r="P224" s="36">
        <f>K220+K221+K222</f>
        <v>8274.3499999999985</v>
      </c>
      <c r="X224">
        <f>IF(Source!BI158&lt;=1,I220+I221+I222-0, 0)</f>
        <v>552.97</v>
      </c>
      <c r="Y224">
        <f>IF(Source!BI158=2,I220+I221+I222-0, 0)</f>
        <v>0</v>
      </c>
      <c r="Z224">
        <f>IF(Source!BI158=3,I220+I221+I222-0, 0)</f>
        <v>0</v>
      </c>
      <c r="AA224">
        <f>IF(Source!BI158=4,I220+I221+I222,0)</f>
        <v>0</v>
      </c>
    </row>
    <row r="225" spans="1:27" ht="28.5" x14ac:dyDescent="0.2">
      <c r="A225" s="27" t="str">
        <f>Source!E159</f>
        <v>24</v>
      </c>
      <c r="B225" s="28" t="str">
        <f>Source!F159</f>
        <v>3.1-53-1</v>
      </c>
      <c r="C225" s="28" t="str">
        <f>Source!G159</f>
        <v>Засыпка вручную траншей, пазух котлованов и ям группа грунтов 1-3</v>
      </c>
      <c r="D225" s="30" t="str">
        <f>Source!H159</f>
        <v>100 м3 грунта</v>
      </c>
      <c r="E225" s="29">
        <f>Source!I159</f>
        <v>9.6000000000000002E-2</v>
      </c>
      <c r="F225" s="32"/>
      <c r="G225" s="31"/>
      <c r="H225" s="29"/>
      <c r="I225" s="33"/>
      <c r="J225" s="29"/>
      <c r="K225" s="33"/>
      <c r="Q225">
        <f>ROUND((Source!DN159/100)*ROUND((Source!AF159*Source!AV159)*Source!I159, 2), 2)</f>
        <v>105.96</v>
      </c>
      <c r="R225">
        <f>Source!X159</f>
        <v>1626.43</v>
      </c>
      <c r="S225">
        <f>ROUND((Source!DO159/100)*ROUND((Source!AF159*Source!AV159)*Source!I159, 2), 2)</f>
        <v>77.7</v>
      </c>
      <c r="T225">
        <f>Source!Y159</f>
        <v>804.08</v>
      </c>
      <c r="U225">
        <f>ROUND((175/100)*ROUND((Source!AE159*Source!AV159)*Source!I159, 2), 2)</f>
        <v>0</v>
      </c>
      <c r="V225">
        <f>ROUND((167/100)*ROUND(Source!CS159*Source!I159, 2), 2)</f>
        <v>0</v>
      </c>
    </row>
    <row r="226" spans="1:27" x14ac:dyDescent="0.2">
      <c r="C226" s="34" t="str">
        <f>"Объем: "&amp;Source!I159&amp;"=9,6/"&amp;"100"</f>
        <v>Объем: 0,096=9,6/100</v>
      </c>
    </row>
    <row r="227" spans="1:27" ht="14.25" x14ac:dyDescent="0.2">
      <c r="A227" s="27"/>
      <c r="B227" s="28"/>
      <c r="C227" s="28" t="s">
        <v>492</v>
      </c>
      <c r="D227" s="30"/>
      <c r="E227" s="29"/>
      <c r="F227" s="32">
        <f>Source!AO159</f>
        <v>1051.1300000000001</v>
      </c>
      <c r="G227" s="31" t="str">
        <f>Source!DG159</f>
        <v/>
      </c>
      <c r="H227" s="29">
        <f>Source!AV159</f>
        <v>1</v>
      </c>
      <c r="I227" s="33">
        <f>ROUND((Source!AF159*Source!AV159)*Source!I159, 2)</f>
        <v>100.91</v>
      </c>
      <c r="J227" s="29">
        <f>IF(Source!BA159&lt;&gt; 0, Source!BA159, 1)</f>
        <v>18.11</v>
      </c>
      <c r="K227" s="33">
        <f>Source!S159</f>
        <v>1827.45</v>
      </c>
      <c r="W227">
        <f>I227</f>
        <v>100.91</v>
      </c>
    </row>
    <row r="228" spans="1:27" ht="14.25" x14ac:dyDescent="0.2">
      <c r="A228" s="27"/>
      <c r="B228" s="28"/>
      <c r="C228" s="28" t="s">
        <v>495</v>
      </c>
      <c r="D228" s="30" t="s">
        <v>496</v>
      </c>
      <c r="E228" s="29">
        <f>Source!DN159</f>
        <v>105</v>
      </c>
      <c r="F228" s="32"/>
      <c r="G228" s="31"/>
      <c r="H228" s="29"/>
      <c r="I228" s="33">
        <f>SUM(Q225:Q227)</f>
        <v>105.96</v>
      </c>
      <c r="J228" s="29">
        <f>Source!BZ159</f>
        <v>89</v>
      </c>
      <c r="K228" s="33">
        <f>SUM(R225:R227)</f>
        <v>1626.43</v>
      </c>
    </row>
    <row r="229" spans="1:27" ht="14.25" x14ac:dyDescent="0.2">
      <c r="A229" s="27"/>
      <c r="B229" s="28"/>
      <c r="C229" s="28" t="s">
        <v>497</v>
      </c>
      <c r="D229" s="30" t="s">
        <v>496</v>
      </c>
      <c r="E229" s="29">
        <f>Source!DO159</f>
        <v>77</v>
      </c>
      <c r="F229" s="32"/>
      <c r="G229" s="31"/>
      <c r="H229" s="29"/>
      <c r="I229" s="33">
        <f>SUM(S225:S228)</f>
        <v>77.7</v>
      </c>
      <c r="J229" s="29">
        <f>Source!CA159</f>
        <v>44</v>
      </c>
      <c r="K229" s="33">
        <f>SUM(T225:T228)</f>
        <v>804.08</v>
      </c>
    </row>
    <row r="230" spans="1:27" ht="14.25" x14ac:dyDescent="0.2">
      <c r="A230" s="27"/>
      <c r="B230" s="28"/>
      <c r="C230" s="28" t="s">
        <v>499</v>
      </c>
      <c r="D230" s="30" t="s">
        <v>500</v>
      </c>
      <c r="E230" s="29">
        <f>Source!AQ159</f>
        <v>107.04</v>
      </c>
      <c r="F230" s="32"/>
      <c r="G230" s="31" t="str">
        <f>Source!DI159</f>
        <v/>
      </c>
      <c r="H230" s="29">
        <f>Source!AV159</f>
        <v>1</v>
      </c>
      <c r="I230" s="33">
        <f>Source!U159</f>
        <v>10.275840000000001</v>
      </c>
      <c r="J230" s="29"/>
      <c r="K230" s="33"/>
    </row>
    <row r="231" spans="1:27" ht="15" x14ac:dyDescent="0.25">
      <c r="A231" s="38"/>
      <c r="B231" s="38"/>
      <c r="C231" s="38"/>
      <c r="D231" s="38"/>
      <c r="E231" s="38"/>
      <c r="F231" s="38"/>
      <c r="G231" s="38"/>
      <c r="H231" s="39">
        <f>I227+I228+I229</f>
        <v>284.57</v>
      </c>
      <c r="I231" s="39"/>
      <c r="J231" s="39">
        <f>K227+K228+K229</f>
        <v>4257.96</v>
      </c>
      <c r="K231" s="39"/>
      <c r="O231" s="36">
        <f>I227+I228+I229</f>
        <v>284.57</v>
      </c>
      <c r="P231" s="36">
        <f>K227+K228+K229</f>
        <v>4257.96</v>
      </c>
      <c r="X231">
        <f>IF(Source!BI159&lt;=1,I227+I228+I229-0, 0)</f>
        <v>284.57</v>
      </c>
      <c r="Y231">
        <f>IF(Source!BI159=2,I227+I228+I229-0, 0)</f>
        <v>0</v>
      </c>
      <c r="Z231">
        <f>IF(Source!BI159=3,I227+I228+I229-0, 0)</f>
        <v>0</v>
      </c>
      <c r="AA231">
        <f>IF(Source!BI159=4,I227+I228+I229,0)</f>
        <v>0</v>
      </c>
    </row>
    <row r="232" spans="1:27" ht="57" x14ac:dyDescent="0.2">
      <c r="A232" s="27" t="str">
        <f>Source!E160</f>
        <v>25</v>
      </c>
      <c r="B232" s="28" t="str">
        <f>Source!F160</f>
        <v>3.1-29-1</v>
      </c>
      <c r="C232" s="28" t="str">
        <f>Source!G160</f>
        <v>Уплотнение грунта пневматическими трамбовками группа грунтов 1,2</v>
      </c>
      <c r="D232" s="30" t="str">
        <f>Source!H160</f>
        <v>100 м3 уплотненного грунта</v>
      </c>
      <c r="E232" s="29">
        <f>Source!I160</f>
        <v>9.6000000000000002E-2</v>
      </c>
      <c r="F232" s="32"/>
      <c r="G232" s="31"/>
      <c r="H232" s="29"/>
      <c r="I232" s="33"/>
      <c r="J232" s="29"/>
      <c r="K232" s="33"/>
      <c r="Q232">
        <f>ROUND((Source!DN160/100)*ROUND((Source!AF160*Source!AV160)*Source!I160, 2), 2)</f>
        <v>11.36</v>
      </c>
      <c r="R232">
        <f>Source!X160</f>
        <v>203.61</v>
      </c>
      <c r="S232">
        <f>ROUND((Source!DO160/100)*ROUND((Source!AF160*Source!AV160)*Source!I160, 2), 2)</f>
        <v>8.92</v>
      </c>
      <c r="T232">
        <f>Source!Y160</f>
        <v>113.35</v>
      </c>
      <c r="U232">
        <f>ROUND((175/100)*ROUND((Source!AE160*Source!AV160)*Source!I160, 2), 2)</f>
        <v>32.76</v>
      </c>
      <c r="V232">
        <f>ROUND((167/100)*ROUND(Source!CS160*Source!I160, 2), 2)</f>
        <v>566.1</v>
      </c>
    </row>
    <row r="233" spans="1:27" x14ac:dyDescent="0.2">
      <c r="C233" s="34" t="str">
        <f>"Объем: "&amp;Source!I160&amp;"=9,6/"&amp;"100"</f>
        <v>Объем: 0,096=9,6/100</v>
      </c>
    </row>
    <row r="234" spans="1:27" ht="14.25" x14ac:dyDescent="0.2">
      <c r="A234" s="27"/>
      <c r="B234" s="28"/>
      <c r="C234" s="28" t="s">
        <v>492</v>
      </c>
      <c r="D234" s="30"/>
      <c r="E234" s="29"/>
      <c r="F234" s="32">
        <f>Source!AO160</f>
        <v>120.74</v>
      </c>
      <c r="G234" s="31" t="str">
        <f>Source!DG160</f>
        <v/>
      </c>
      <c r="H234" s="29">
        <f>Source!AV160</f>
        <v>1</v>
      </c>
      <c r="I234" s="33">
        <f>ROUND((Source!AF160*Source!AV160)*Source!I160, 2)</f>
        <v>11.59</v>
      </c>
      <c r="J234" s="29">
        <f>IF(Source!BA160&lt;&gt; 0, Source!BA160, 1)</f>
        <v>18.11</v>
      </c>
      <c r="K234" s="33">
        <f>Source!S160</f>
        <v>209.91</v>
      </c>
      <c r="W234">
        <f>I234</f>
        <v>11.59</v>
      </c>
    </row>
    <row r="235" spans="1:27" ht="14.25" x14ac:dyDescent="0.2">
      <c r="A235" s="27"/>
      <c r="B235" s="28"/>
      <c r="C235" s="28" t="s">
        <v>493</v>
      </c>
      <c r="D235" s="30"/>
      <c r="E235" s="29"/>
      <c r="F235" s="32">
        <f>Source!AM160</f>
        <v>643.97</v>
      </c>
      <c r="G235" s="31" t="str">
        <f>Source!DE160</f>
        <v/>
      </c>
      <c r="H235" s="29">
        <f>Source!AV160</f>
        <v>1</v>
      </c>
      <c r="I235" s="33">
        <f>ROUND(((((Source!ET160)-(Source!EU160))+Source!AE160)*Source!AV160)*Source!I160, 2)</f>
        <v>61.82</v>
      </c>
      <c r="J235" s="29">
        <f>IF(Source!BB160&lt;&gt; 0, Source!BB160, 1)</f>
        <v>9.36</v>
      </c>
      <c r="K235" s="33">
        <f>Source!Q160</f>
        <v>578.65</v>
      </c>
    </row>
    <row r="236" spans="1:27" ht="14.25" x14ac:dyDescent="0.2">
      <c r="A236" s="27"/>
      <c r="B236" s="28"/>
      <c r="C236" s="28" t="s">
        <v>494</v>
      </c>
      <c r="D236" s="30"/>
      <c r="E236" s="29"/>
      <c r="F236" s="32">
        <f>Source!AN160</f>
        <v>194.98</v>
      </c>
      <c r="G236" s="31" t="str">
        <f>Source!DF160</f>
        <v/>
      </c>
      <c r="H236" s="29">
        <f>Source!AV160</f>
        <v>1</v>
      </c>
      <c r="I236" s="35">
        <f>ROUND((Source!AE160*Source!AV160)*Source!I160, 2)</f>
        <v>18.72</v>
      </c>
      <c r="J236" s="29">
        <f>IF(Source!BS160&lt;&gt; 0, Source!BS160, 1)</f>
        <v>18.11</v>
      </c>
      <c r="K236" s="35">
        <f>Source!R160</f>
        <v>338.98</v>
      </c>
      <c r="W236">
        <f>I236</f>
        <v>18.72</v>
      </c>
    </row>
    <row r="237" spans="1:27" ht="14.25" x14ac:dyDescent="0.2">
      <c r="A237" s="27"/>
      <c r="B237" s="28"/>
      <c r="C237" s="28" t="s">
        <v>495</v>
      </c>
      <c r="D237" s="30" t="s">
        <v>496</v>
      </c>
      <c r="E237" s="29">
        <f>Source!DN160</f>
        <v>98</v>
      </c>
      <c r="F237" s="32"/>
      <c r="G237" s="31"/>
      <c r="H237" s="29"/>
      <c r="I237" s="33">
        <f>SUM(Q232:Q236)</f>
        <v>11.36</v>
      </c>
      <c r="J237" s="29">
        <f>Source!BZ160</f>
        <v>97</v>
      </c>
      <c r="K237" s="33">
        <f>SUM(R232:R236)</f>
        <v>203.61</v>
      </c>
    </row>
    <row r="238" spans="1:27" ht="14.25" x14ac:dyDescent="0.2">
      <c r="A238" s="27"/>
      <c r="B238" s="28"/>
      <c r="C238" s="28" t="s">
        <v>497</v>
      </c>
      <c r="D238" s="30" t="s">
        <v>496</v>
      </c>
      <c r="E238" s="29">
        <f>Source!DO160</f>
        <v>77</v>
      </c>
      <c r="F238" s="32"/>
      <c r="G238" s="31"/>
      <c r="H238" s="29"/>
      <c r="I238" s="33">
        <f>SUM(S232:S237)</f>
        <v>8.92</v>
      </c>
      <c r="J238" s="29">
        <f>Source!CA160</f>
        <v>54</v>
      </c>
      <c r="K238" s="33">
        <f>SUM(T232:T237)</f>
        <v>113.35</v>
      </c>
    </row>
    <row r="239" spans="1:27" ht="14.25" x14ac:dyDescent="0.2">
      <c r="A239" s="27"/>
      <c r="B239" s="28"/>
      <c r="C239" s="28" t="s">
        <v>498</v>
      </c>
      <c r="D239" s="30" t="s">
        <v>496</v>
      </c>
      <c r="E239" s="29">
        <f>175</f>
        <v>175</v>
      </c>
      <c r="F239" s="32"/>
      <c r="G239" s="31"/>
      <c r="H239" s="29"/>
      <c r="I239" s="33">
        <f>SUM(U232:U238)</f>
        <v>32.76</v>
      </c>
      <c r="J239" s="29">
        <f>167</f>
        <v>167</v>
      </c>
      <c r="K239" s="33">
        <f>SUM(V232:V238)</f>
        <v>566.1</v>
      </c>
    </row>
    <row r="240" spans="1:27" ht="14.25" x14ac:dyDescent="0.2">
      <c r="A240" s="27"/>
      <c r="B240" s="28"/>
      <c r="C240" s="28" t="s">
        <v>499</v>
      </c>
      <c r="D240" s="30" t="s">
        <v>500</v>
      </c>
      <c r="E240" s="29">
        <f>Source!AQ160</f>
        <v>10.8</v>
      </c>
      <c r="F240" s="32"/>
      <c r="G240" s="31" t="str">
        <f>Source!DI160</f>
        <v/>
      </c>
      <c r="H240" s="29">
        <f>Source!AV160</f>
        <v>1</v>
      </c>
      <c r="I240" s="33">
        <f>Source!U160</f>
        <v>1.0368000000000002</v>
      </c>
      <c r="J240" s="29"/>
      <c r="K240" s="33"/>
    </row>
    <row r="241" spans="1:27" ht="15" x14ac:dyDescent="0.25">
      <c r="A241" s="38"/>
      <c r="B241" s="38"/>
      <c r="C241" s="38"/>
      <c r="D241" s="38"/>
      <c r="E241" s="38"/>
      <c r="F241" s="38"/>
      <c r="G241" s="38"/>
      <c r="H241" s="39">
        <f>I234+I235+I237+I238+I239</f>
        <v>126.44999999999999</v>
      </c>
      <c r="I241" s="39"/>
      <c r="J241" s="39">
        <f>K234+K235+K237+K238+K239</f>
        <v>1671.62</v>
      </c>
      <c r="K241" s="39"/>
      <c r="O241" s="36">
        <f>I234+I235+I237+I238+I239</f>
        <v>126.44999999999999</v>
      </c>
      <c r="P241" s="36">
        <f>K234+K235+K237+K238+K239</f>
        <v>1671.62</v>
      </c>
      <c r="X241">
        <f>IF(Source!BI160&lt;=1,I234+I235+I237+I238+I239-0, 0)</f>
        <v>126.44999999999999</v>
      </c>
      <c r="Y241">
        <f>IF(Source!BI160=2,I234+I235+I237+I238+I239-0, 0)</f>
        <v>0</v>
      </c>
      <c r="Z241">
        <f>IF(Source!BI160=3,I234+I235+I237+I238+I239-0, 0)</f>
        <v>0</v>
      </c>
      <c r="AA241">
        <f>IF(Source!BI160=4,I234+I235+I237+I238+I239,0)</f>
        <v>0</v>
      </c>
    </row>
    <row r="242" spans="1:27" ht="57" x14ac:dyDescent="0.2">
      <c r="A242" s="27" t="str">
        <f>Source!E161</f>
        <v>26</v>
      </c>
      <c r="B242" s="28" t="str">
        <f>Source!F161</f>
        <v>3.1-35-2</v>
      </c>
      <c r="C242" s="28" t="str">
        <f>Source!G161</f>
        <v>Планировка площадей ручным способом группа грунтов 1-3</v>
      </c>
      <c r="D242" s="30" t="str">
        <f>Source!H161</f>
        <v>1000 м2 спланированной площади</v>
      </c>
      <c r="E242" s="29">
        <f>Source!I161</f>
        <v>4.8000000000000001E-2</v>
      </c>
      <c r="F242" s="32"/>
      <c r="G242" s="31"/>
      <c r="H242" s="29"/>
      <c r="I242" s="33"/>
      <c r="J242" s="29"/>
      <c r="K242" s="33"/>
      <c r="Q242">
        <f>ROUND((Source!DN161/100)*ROUND((Source!AF161*Source!AV161)*Source!I161, 2), 2)</f>
        <v>74.77</v>
      </c>
      <c r="R242">
        <f>Source!X161</f>
        <v>1147.8</v>
      </c>
      <c r="S242">
        <f>ROUND((Source!DO161/100)*ROUND((Source!AF161*Source!AV161)*Source!I161, 2), 2)</f>
        <v>54.83</v>
      </c>
      <c r="T242">
        <f>Source!Y161</f>
        <v>567.45000000000005</v>
      </c>
      <c r="U242">
        <f>ROUND((175/100)*ROUND((Source!AE161*Source!AV161)*Source!I161, 2), 2)</f>
        <v>0</v>
      </c>
      <c r="V242">
        <f>ROUND((167/100)*ROUND(Source!CS161*Source!I161, 2), 2)</f>
        <v>0</v>
      </c>
    </row>
    <row r="243" spans="1:27" x14ac:dyDescent="0.2">
      <c r="C243" s="34" t="str">
        <f>"Объем: "&amp;Source!I161&amp;"=48/"&amp;"1000"</f>
        <v>Объем: 0,048=48/1000</v>
      </c>
    </row>
    <row r="244" spans="1:27" ht="14.25" x14ac:dyDescent="0.2">
      <c r="A244" s="27"/>
      <c r="B244" s="28"/>
      <c r="C244" s="28" t="s">
        <v>492</v>
      </c>
      <c r="D244" s="30"/>
      <c r="E244" s="29"/>
      <c r="F244" s="32">
        <f>Source!AO161</f>
        <v>1483.59</v>
      </c>
      <c r="G244" s="31" t="str">
        <f>Source!DG161</f>
        <v/>
      </c>
      <c r="H244" s="29">
        <f>Source!AV161</f>
        <v>1</v>
      </c>
      <c r="I244" s="33">
        <f>ROUND((Source!AF161*Source!AV161)*Source!I161, 2)</f>
        <v>71.209999999999994</v>
      </c>
      <c r="J244" s="29">
        <f>IF(Source!BA161&lt;&gt; 0, Source!BA161, 1)</f>
        <v>18.11</v>
      </c>
      <c r="K244" s="33">
        <f>Source!S161</f>
        <v>1289.6600000000001</v>
      </c>
      <c r="W244">
        <f>I244</f>
        <v>71.209999999999994</v>
      </c>
    </row>
    <row r="245" spans="1:27" ht="14.25" x14ac:dyDescent="0.2">
      <c r="A245" s="27"/>
      <c r="B245" s="28"/>
      <c r="C245" s="28" t="s">
        <v>495</v>
      </c>
      <c r="D245" s="30" t="s">
        <v>496</v>
      </c>
      <c r="E245" s="29">
        <f>Source!DN161</f>
        <v>105</v>
      </c>
      <c r="F245" s="32"/>
      <c r="G245" s="31"/>
      <c r="H245" s="29"/>
      <c r="I245" s="33">
        <f>SUM(Q242:Q244)</f>
        <v>74.77</v>
      </c>
      <c r="J245" s="29">
        <f>Source!BZ161</f>
        <v>89</v>
      </c>
      <c r="K245" s="33">
        <f>SUM(R242:R244)</f>
        <v>1147.8</v>
      </c>
    </row>
    <row r="246" spans="1:27" ht="14.25" x14ac:dyDescent="0.2">
      <c r="A246" s="27"/>
      <c r="B246" s="28"/>
      <c r="C246" s="28" t="s">
        <v>497</v>
      </c>
      <c r="D246" s="30" t="s">
        <v>496</v>
      </c>
      <c r="E246" s="29">
        <f>Source!DO161</f>
        <v>77</v>
      </c>
      <c r="F246" s="32"/>
      <c r="G246" s="31"/>
      <c r="H246" s="29"/>
      <c r="I246" s="33">
        <f>SUM(S242:S245)</f>
        <v>54.83</v>
      </c>
      <c r="J246" s="29">
        <f>Source!CA161</f>
        <v>44</v>
      </c>
      <c r="K246" s="33">
        <f>SUM(T242:T245)</f>
        <v>567.45000000000005</v>
      </c>
    </row>
    <row r="247" spans="1:27" ht="14.25" x14ac:dyDescent="0.2">
      <c r="A247" s="27"/>
      <c r="B247" s="28"/>
      <c r="C247" s="28" t="s">
        <v>499</v>
      </c>
      <c r="D247" s="30" t="s">
        <v>500</v>
      </c>
      <c r="E247" s="29">
        <f>Source!AQ161</f>
        <v>132.69999999999999</v>
      </c>
      <c r="F247" s="32"/>
      <c r="G247" s="31" t="str">
        <f>Source!DI161</f>
        <v/>
      </c>
      <c r="H247" s="29">
        <f>Source!AV161</f>
        <v>1</v>
      </c>
      <c r="I247" s="33">
        <f>Source!U161</f>
        <v>6.3695999999999993</v>
      </c>
      <c r="J247" s="29"/>
      <c r="K247" s="33"/>
    </row>
    <row r="248" spans="1:27" ht="15" x14ac:dyDescent="0.25">
      <c r="A248" s="38"/>
      <c r="B248" s="38"/>
      <c r="C248" s="38"/>
      <c r="D248" s="38"/>
      <c r="E248" s="38"/>
      <c r="F248" s="38"/>
      <c r="G248" s="38"/>
      <c r="H248" s="39">
        <f>I244+I245+I246</f>
        <v>200.81</v>
      </c>
      <c r="I248" s="39"/>
      <c r="J248" s="39">
        <f>K244+K245+K246</f>
        <v>3004.91</v>
      </c>
      <c r="K248" s="39"/>
      <c r="O248" s="36">
        <f>I244+I245+I246</f>
        <v>200.81</v>
      </c>
      <c r="P248" s="36">
        <f>K244+K245+K246</f>
        <v>3004.91</v>
      </c>
      <c r="X248">
        <f>IF(Source!BI161&lt;=1,I244+I245+I246-0, 0)</f>
        <v>200.81</v>
      </c>
      <c r="Y248">
        <f>IF(Source!BI161=2,I244+I245+I246-0, 0)</f>
        <v>0</v>
      </c>
      <c r="Z248">
        <f>IF(Source!BI161=3,I244+I245+I246-0, 0)</f>
        <v>0</v>
      </c>
      <c r="AA248">
        <f>IF(Source!BI161=4,I244+I245+I246,0)</f>
        <v>0</v>
      </c>
    </row>
    <row r="250" spans="1:27" ht="15" x14ac:dyDescent="0.25">
      <c r="A250" s="42" t="str">
        <f>CONCATENATE("Итого по подразделу: ",IF(Source!G163&lt;&gt;"Новый подраздел", Source!G163, ""))</f>
        <v>Итого по подразделу: 3.2</v>
      </c>
      <c r="B250" s="42"/>
      <c r="C250" s="42"/>
      <c r="D250" s="42"/>
      <c r="E250" s="42"/>
      <c r="F250" s="42"/>
      <c r="G250" s="42"/>
      <c r="H250" s="37">
        <f>SUM(O217:O249)</f>
        <v>1164.8</v>
      </c>
      <c r="I250" s="41"/>
      <c r="J250" s="37">
        <f>SUM(P217:P249)</f>
        <v>17208.839999999997</v>
      </c>
      <c r="K250" s="41"/>
    </row>
    <row r="251" spans="1:27" ht="15" hidden="1" x14ac:dyDescent="0.25">
      <c r="A251" s="42" t="s">
        <v>502</v>
      </c>
      <c r="B251" s="42"/>
      <c r="C251" s="42"/>
      <c r="D251" s="42"/>
      <c r="E251" s="42"/>
      <c r="F251" s="42"/>
      <c r="G251" s="42"/>
      <c r="H251" s="37">
        <f>SUM(AC217:AC250)</f>
        <v>0</v>
      </c>
      <c r="I251" s="41"/>
      <c r="J251" s="37">
        <f>SUM(AD217:AD250)</f>
        <v>0</v>
      </c>
      <c r="K251" s="41"/>
    </row>
    <row r="253" spans="1:27" ht="16.5" x14ac:dyDescent="0.25">
      <c r="A253" s="25" t="str">
        <f>CONCATENATE("Подраздел: ",IF(Source!G192&lt;&gt;"Новый подраздел", Source!G192, ""))</f>
        <v>Подраздел: 2.1 Монтаж кабельной линии</v>
      </c>
      <c r="B253" s="25"/>
      <c r="C253" s="25"/>
      <c r="D253" s="25"/>
      <c r="E253" s="25"/>
      <c r="F253" s="25"/>
      <c r="G253" s="25"/>
      <c r="H253" s="25"/>
      <c r="I253" s="25"/>
      <c r="J253" s="25"/>
      <c r="K253" s="25"/>
    </row>
    <row r="254" spans="1:27" ht="28.5" x14ac:dyDescent="0.2">
      <c r="A254" s="27" t="str">
        <f>Source!E196</f>
        <v>27</v>
      </c>
      <c r="B254" s="28" t="str">
        <f>Source!F196</f>
        <v>4.8-73-4</v>
      </c>
      <c r="C254" s="28" t="str">
        <f>Source!G196</f>
        <v>Кабели до 35 кВ в готовых траншеях без покрытий, кабель массой до 6 кг</v>
      </c>
      <c r="D254" s="30" t="str">
        <f>Source!H196</f>
        <v>100 М КАБЕЛЯ</v>
      </c>
      <c r="E254" s="29">
        <f>Source!I196</f>
        <v>7.22</v>
      </c>
      <c r="F254" s="32"/>
      <c r="G254" s="31"/>
      <c r="H254" s="29"/>
      <c r="I254" s="33"/>
      <c r="J254" s="29"/>
      <c r="K254" s="33"/>
      <c r="Q254">
        <f>ROUND((Source!DN196/100)*ROUND((Source!AF196*Source!AV196)*Source!I196, 2), 2)</f>
        <v>1874.43</v>
      </c>
      <c r="R254">
        <f>Source!X196</f>
        <v>28793.38</v>
      </c>
      <c r="S254">
        <f>ROUND((Source!DO196/100)*ROUND((Source!AF196*Source!AV196)*Source!I196, 2), 2)</f>
        <v>1171.52</v>
      </c>
      <c r="T254">
        <f>Source!Y196</f>
        <v>13942.06</v>
      </c>
      <c r="U254">
        <f>ROUND((175/100)*ROUND((Source!AE196*Source!AV196)*Source!I196, 2), 2)</f>
        <v>1297.6099999999999</v>
      </c>
      <c r="V254">
        <f>ROUND((167/100)*ROUND(Source!CS196*Source!I196, 2), 2)</f>
        <v>22425.53</v>
      </c>
    </row>
    <row r="255" spans="1:27" x14ac:dyDescent="0.2">
      <c r="C255" s="34" t="str">
        <f>"Объем: "&amp;Source!I196&amp;"=722/"&amp;"100"</f>
        <v>Объем: 7,22=722/100</v>
      </c>
    </row>
    <row r="256" spans="1:27" ht="14.25" x14ac:dyDescent="0.2">
      <c r="A256" s="27"/>
      <c r="B256" s="28"/>
      <c r="C256" s="28" t="s">
        <v>492</v>
      </c>
      <c r="D256" s="30"/>
      <c r="E256" s="29"/>
      <c r="F256" s="32">
        <f>Source!AO196</f>
        <v>231.8</v>
      </c>
      <c r="G256" s="31" t="str">
        <f>Source!DG196</f>
        <v/>
      </c>
      <c r="H256" s="29">
        <f>Source!AV196</f>
        <v>1</v>
      </c>
      <c r="I256" s="33">
        <f>ROUND((Source!AF196*Source!AV196)*Source!I196, 2)</f>
        <v>1673.6</v>
      </c>
      <c r="J256" s="29">
        <f>IF(Source!BA196&lt;&gt; 0, Source!BA196, 1)</f>
        <v>18.11</v>
      </c>
      <c r="K256" s="33">
        <f>Source!S196</f>
        <v>30308.82</v>
      </c>
      <c r="W256">
        <f>I256</f>
        <v>1673.6</v>
      </c>
    </row>
    <row r="257" spans="1:27" ht="14.25" x14ac:dyDescent="0.2">
      <c r="A257" s="27"/>
      <c r="B257" s="28"/>
      <c r="C257" s="28" t="s">
        <v>493</v>
      </c>
      <c r="D257" s="30"/>
      <c r="E257" s="29"/>
      <c r="F257" s="32">
        <f>Source!AM196</f>
        <v>601.29</v>
      </c>
      <c r="G257" s="31" t="str">
        <f>Source!DE196</f>
        <v/>
      </c>
      <c r="H257" s="29">
        <f>Source!AV196</f>
        <v>1</v>
      </c>
      <c r="I257" s="33">
        <f>ROUND(((((Source!ET196)-(Source!EU196))+Source!AE196)*Source!AV196)*Source!I196, 2)</f>
        <v>4341.3100000000004</v>
      </c>
      <c r="J257" s="29">
        <f>IF(Source!BB196&lt;&gt; 0, Source!BB196, 1)</f>
        <v>7.66</v>
      </c>
      <c r="K257" s="33">
        <f>Source!Q196</f>
        <v>33254.46</v>
      </c>
    </row>
    <row r="258" spans="1:27" ht="14.25" x14ac:dyDescent="0.2">
      <c r="A258" s="27"/>
      <c r="B258" s="28"/>
      <c r="C258" s="28" t="s">
        <v>494</v>
      </c>
      <c r="D258" s="30"/>
      <c r="E258" s="29"/>
      <c r="F258" s="32">
        <f>Source!AN196</f>
        <v>102.7</v>
      </c>
      <c r="G258" s="31" t="str">
        <f>Source!DF196</f>
        <v/>
      </c>
      <c r="H258" s="29">
        <f>Source!AV196</f>
        <v>1</v>
      </c>
      <c r="I258" s="35">
        <f>ROUND((Source!AE196*Source!AV196)*Source!I196, 2)</f>
        <v>741.49</v>
      </c>
      <c r="J258" s="29">
        <f>IF(Source!BS196&lt;&gt; 0, Source!BS196, 1)</f>
        <v>18.11</v>
      </c>
      <c r="K258" s="35">
        <f>Source!R196</f>
        <v>13428.46</v>
      </c>
      <c r="W258">
        <f>I258</f>
        <v>741.49</v>
      </c>
    </row>
    <row r="259" spans="1:27" ht="14.25" x14ac:dyDescent="0.2">
      <c r="A259" s="27"/>
      <c r="B259" s="28"/>
      <c r="C259" s="28" t="s">
        <v>501</v>
      </c>
      <c r="D259" s="30"/>
      <c r="E259" s="29"/>
      <c r="F259" s="32">
        <f>Source!AL196</f>
        <v>25.83</v>
      </c>
      <c r="G259" s="31" t="str">
        <f>Source!DD196</f>
        <v/>
      </c>
      <c r="H259" s="29">
        <f>Source!AW196</f>
        <v>1</v>
      </c>
      <c r="I259" s="33">
        <f>ROUND((Source!AC196*Source!AW196)*Source!I196, 2)</f>
        <v>186.49</v>
      </c>
      <c r="J259" s="29">
        <f>IF(Source!BC196&lt;&gt; 0, Source!BC196, 1)</f>
        <v>5.07</v>
      </c>
      <c r="K259" s="33">
        <f>Source!P196</f>
        <v>945.52</v>
      </c>
    </row>
    <row r="260" spans="1:27" ht="14.25" x14ac:dyDescent="0.2">
      <c r="A260" s="27"/>
      <c r="B260" s="28"/>
      <c r="C260" s="28" t="s">
        <v>495</v>
      </c>
      <c r="D260" s="30" t="s">
        <v>496</v>
      </c>
      <c r="E260" s="29">
        <f>Source!DN196</f>
        <v>112</v>
      </c>
      <c r="F260" s="32"/>
      <c r="G260" s="31"/>
      <c r="H260" s="29"/>
      <c r="I260" s="33">
        <f>SUM(Q254:Q259)</f>
        <v>1874.43</v>
      </c>
      <c r="J260" s="29">
        <f>Source!BZ196</f>
        <v>95</v>
      </c>
      <c r="K260" s="33">
        <f>SUM(R254:R259)</f>
        <v>28793.38</v>
      </c>
    </row>
    <row r="261" spans="1:27" ht="14.25" x14ac:dyDescent="0.2">
      <c r="A261" s="27"/>
      <c r="B261" s="28"/>
      <c r="C261" s="28" t="s">
        <v>497</v>
      </c>
      <c r="D261" s="30" t="s">
        <v>496</v>
      </c>
      <c r="E261" s="29">
        <f>Source!DO196</f>
        <v>70</v>
      </c>
      <c r="F261" s="32"/>
      <c r="G261" s="31"/>
      <c r="H261" s="29"/>
      <c r="I261" s="33">
        <f>SUM(S254:S260)</f>
        <v>1171.52</v>
      </c>
      <c r="J261" s="29">
        <f>Source!CA196</f>
        <v>46</v>
      </c>
      <c r="K261" s="33">
        <f>SUM(T254:T260)</f>
        <v>13942.06</v>
      </c>
    </row>
    <row r="262" spans="1:27" ht="14.25" x14ac:dyDescent="0.2">
      <c r="A262" s="27"/>
      <c r="B262" s="28"/>
      <c r="C262" s="28" t="s">
        <v>498</v>
      </c>
      <c r="D262" s="30" t="s">
        <v>496</v>
      </c>
      <c r="E262" s="29">
        <f>175</f>
        <v>175</v>
      </c>
      <c r="F262" s="32"/>
      <c r="G262" s="31"/>
      <c r="H262" s="29"/>
      <c r="I262" s="33">
        <f>SUM(U254:U261)</f>
        <v>1297.6099999999999</v>
      </c>
      <c r="J262" s="29">
        <f>167</f>
        <v>167</v>
      </c>
      <c r="K262" s="33">
        <f>SUM(V254:V261)</f>
        <v>22425.53</v>
      </c>
    </row>
    <row r="263" spans="1:27" ht="14.25" x14ac:dyDescent="0.2">
      <c r="A263" s="27"/>
      <c r="B263" s="28"/>
      <c r="C263" s="28" t="s">
        <v>499</v>
      </c>
      <c r="D263" s="30" t="s">
        <v>500</v>
      </c>
      <c r="E263" s="29">
        <f>Source!AQ196</f>
        <v>18.8</v>
      </c>
      <c r="F263" s="32"/>
      <c r="G263" s="31" t="str">
        <f>Source!DI196</f>
        <v/>
      </c>
      <c r="H263" s="29">
        <f>Source!AV196</f>
        <v>1</v>
      </c>
      <c r="I263" s="33">
        <f>Source!U196</f>
        <v>135.73599999999999</v>
      </c>
      <c r="J263" s="29"/>
      <c r="K263" s="33"/>
    </row>
    <row r="264" spans="1:27" ht="15" x14ac:dyDescent="0.25">
      <c r="A264" s="38"/>
      <c r="B264" s="38"/>
      <c r="C264" s="38"/>
      <c r="D264" s="38"/>
      <c r="E264" s="38"/>
      <c r="F264" s="38"/>
      <c r="G264" s="38"/>
      <c r="H264" s="39">
        <f>I256+I257+I259+I260+I261+I262</f>
        <v>10544.960000000001</v>
      </c>
      <c r="I264" s="39"/>
      <c r="J264" s="39">
        <f>K256+K257+K259+K260+K261+K262</f>
        <v>129669.76999999999</v>
      </c>
      <c r="K264" s="39"/>
      <c r="O264" s="36">
        <f>I256+I257+I259+I260+I261+I262</f>
        <v>10544.960000000001</v>
      </c>
      <c r="P264" s="36">
        <f>K256+K257+K259+K260+K261+K262</f>
        <v>129669.76999999999</v>
      </c>
      <c r="X264">
        <f>IF(Source!BI196&lt;=1,I256+I257+I259+I260+I261+I262-0, 0)</f>
        <v>0</v>
      </c>
      <c r="Y264">
        <f>IF(Source!BI196=2,I256+I257+I259+I260+I261+I262-0, 0)</f>
        <v>10544.960000000001</v>
      </c>
      <c r="Z264">
        <f>IF(Source!BI196=3,I256+I257+I259+I260+I261+I262-0, 0)</f>
        <v>0</v>
      </c>
      <c r="AA264">
        <f>IF(Source!BI196=4,I256+I257+I259+I260+I261+I262,0)</f>
        <v>0</v>
      </c>
    </row>
    <row r="265" spans="1:27" ht="28.5" x14ac:dyDescent="0.2">
      <c r="A265" s="27" t="str">
        <f>Source!E197</f>
        <v>28</v>
      </c>
      <c r="B265" s="28" t="str">
        <f>Source!F197</f>
        <v>4.8-80-4</v>
      </c>
      <c r="C265" s="28" t="str">
        <f>Source!G197</f>
        <v>Кабели до 35 кВ в проложенных трубах, кабель, масса 1 м, до 6 кг</v>
      </c>
      <c r="D265" s="30" t="str">
        <f>Source!H197</f>
        <v>100 М КАБЕЛЯ</v>
      </c>
      <c r="E265" s="29">
        <f>Source!I197</f>
        <v>0.82</v>
      </c>
      <c r="F265" s="32"/>
      <c r="G265" s="31"/>
      <c r="H265" s="29"/>
      <c r="I265" s="33"/>
      <c r="J265" s="29"/>
      <c r="K265" s="33"/>
      <c r="Q265">
        <f>ROUND((Source!DN197/100)*ROUND((Source!AF197*Source!AV197)*Source!I197, 2), 2)</f>
        <v>280.83</v>
      </c>
      <c r="R265">
        <f>Source!X197</f>
        <v>4313.8500000000004</v>
      </c>
      <c r="S265">
        <f>ROUND((Source!DO197/100)*ROUND((Source!AF197*Source!AV197)*Source!I197, 2), 2)</f>
        <v>175.52</v>
      </c>
      <c r="T265">
        <f>Source!Y197</f>
        <v>2088.81</v>
      </c>
      <c r="U265">
        <f>ROUND((175/100)*ROUND((Source!AE197*Source!AV197)*Source!I197, 2), 2)</f>
        <v>42.75</v>
      </c>
      <c r="V265">
        <f>ROUND((167/100)*ROUND(Source!CS197*Source!I197, 2), 2)</f>
        <v>738.79</v>
      </c>
    </row>
    <row r="266" spans="1:27" x14ac:dyDescent="0.2">
      <c r="C266" s="34" t="str">
        <f>"Объем: "&amp;Source!I197&amp;"=82/"&amp;"100"</f>
        <v>Объем: 0,82=82/100</v>
      </c>
    </row>
    <row r="267" spans="1:27" ht="14.25" x14ac:dyDescent="0.2">
      <c r="A267" s="27"/>
      <c r="B267" s="28"/>
      <c r="C267" s="28" t="s">
        <v>492</v>
      </c>
      <c r="D267" s="30"/>
      <c r="E267" s="29"/>
      <c r="F267" s="32">
        <f>Source!AO197</f>
        <v>305.77999999999997</v>
      </c>
      <c r="G267" s="31" t="str">
        <f>Source!DG197</f>
        <v/>
      </c>
      <c r="H267" s="29">
        <f>Source!AV197</f>
        <v>1</v>
      </c>
      <c r="I267" s="33">
        <f>ROUND((Source!AF197*Source!AV197)*Source!I197, 2)</f>
        <v>250.74</v>
      </c>
      <c r="J267" s="29">
        <f>IF(Source!BA197&lt;&gt; 0, Source!BA197, 1)</f>
        <v>18.11</v>
      </c>
      <c r="K267" s="33">
        <f>Source!S197</f>
        <v>4540.8900000000003</v>
      </c>
      <c r="W267">
        <f>I267</f>
        <v>250.74</v>
      </c>
    </row>
    <row r="268" spans="1:27" ht="14.25" x14ac:dyDescent="0.2">
      <c r="A268" s="27"/>
      <c r="B268" s="28"/>
      <c r="C268" s="28" t="s">
        <v>493</v>
      </c>
      <c r="D268" s="30"/>
      <c r="E268" s="29"/>
      <c r="F268" s="32">
        <f>Source!AM197</f>
        <v>130.57</v>
      </c>
      <c r="G268" s="31" t="str">
        <f>Source!DE197</f>
        <v/>
      </c>
      <c r="H268" s="29">
        <f>Source!AV197</f>
        <v>1</v>
      </c>
      <c r="I268" s="33">
        <f>ROUND(((((Source!ET197)-(Source!EU197))+Source!AE197)*Source!AV197)*Source!I197, 2)</f>
        <v>107.07</v>
      </c>
      <c r="J268" s="29">
        <f>IF(Source!BB197&lt;&gt; 0, Source!BB197, 1)</f>
        <v>8.3800000000000008</v>
      </c>
      <c r="K268" s="33">
        <f>Source!Q197</f>
        <v>897.22</v>
      </c>
    </row>
    <row r="269" spans="1:27" ht="14.25" x14ac:dyDescent="0.2">
      <c r="A269" s="27"/>
      <c r="B269" s="28"/>
      <c r="C269" s="28" t="s">
        <v>494</v>
      </c>
      <c r="D269" s="30"/>
      <c r="E269" s="29"/>
      <c r="F269" s="32">
        <f>Source!AN197</f>
        <v>29.79</v>
      </c>
      <c r="G269" s="31" t="str">
        <f>Source!DF197</f>
        <v/>
      </c>
      <c r="H269" s="29">
        <f>Source!AV197</f>
        <v>1</v>
      </c>
      <c r="I269" s="35">
        <f>ROUND((Source!AE197*Source!AV197)*Source!I197, 2)</f>
        <v>24.43</v>
      </c>
      <c r="J269" s="29">
        <f>IF(Source!BS197&lt;&gt; 0, Source!BS197, 1)</f>
        <v>18.11</v>
      </c>
      <c r="K269" s="35">
        <f>Source!R197</f>
        <v>442.39</v>
      </c>
      <c r="W269">
        <f>I269</f>
        <v>24.43</v>
      </c>
    </row>
    <row r="270" spans="1:27" ht="14.25" x14ac:dyDescent="0.2">
      <c r="A270" s="27"/>
      <c r="B270" s="28"/>
      <c r="C270" s="28" t="s">
        <v>501</v>
      </c>
      <c r="D270" s="30"/>
      <c r="E270" s="29"/>
      <c r="F270" s="32">
        <f>Source!AL197</f>
        <v>36.19</v>
      </c>
      <c r="G270" s="31" t="str">
        <f>Source!DD197</f>
        <v/>
      </c>
      <c r="H270" s="29">
        <f>Source!AW197</f>
        <v>1</v>
      </c>
      <c r="I270" s="33">
        <f>ROUND((Source!AC197*Source!AW197)*Source!I197, 2)</f>
        <v>29.68</v>
      </c>
      <c r="J270" s="29">
        <f>IF(Source!BC197&lt;&gt; 0, Source!BC197, 1)</f>
        <v>5.07</v>
      </c>
      <c r="K270" s="33">
        <f>Source!P197</f>
        <v>150.46</v>
      </c>
    </row>
    <row r="271" spans="1:27" ht="14.25" x14ac:dyDescent="0.2">
      <c r="A271" s="27"/>
      <c r="B271" s="28"/>
      <c r="C271" s="28" t="s">
        <v>495</v>
      </c>
      <c r="D271" s="30" t="s">
        <v>496</v>
      </c>
      <c r="E271" s="29">
        <f>Source!DN197</f>
        <v>112</v>
      </c>
      <c r="F271" s="32"/>
      <c r="G271" s="31"/>
      <c r="H271" s="29"/>
      <c r="I271" s="33">
        <f>SUM(Q265:Q270)</f>
        <v>280.83</v>
      </c>
      <c r="J271" s="29">
        <f>Source!BZ197</f>
        <v>95</v>
      </c>
      <c r="K271" s="33">
        <f>SUM(R265:R270)</f>
        <v>4313.8500000000004</v>
      </c>
    </row>
    <row r="272" spans="1:27" ht="14.25" x14ac:dyDescent="0.2">
      <c r="A272" s="27"/>
      <c r="B272" s="28"/>
      <c r="C272" s="28" t="s">
        <v>497</v>
      </c>
      <c r="D272" s="30" t="s">
        <v>496</v>
      </c>
      <c r="E272" s="29">
        <f>Source!DO197</f>
        <v>70</v>
      </c>
      <c r="F272" s="32"/>
      <c r="G272" s="31"/>
      <c r="H272" s="29"/>
      <c r="I272" s="33">
        <f>SUM(S265:S271)</f>
        <v>175.52</v>
      </c>
      <c r="J272" s="29">
        <f>Source!CA197</f>
        <v>46</v>
      </c>
      <c r="K272" s="33">
        <f>SUM(T265:T271)</f>
        <v>2088.81</v>
      </c>
    </row>
    <row r="273" spans="1:27" ht="14.25" x14ac:dyDescent="0.2">
      <c r="A273" s="27"/>
      <c r="B273" s="28"/>
      <c r="C273" s="28" t="s">
        <v>498</v>
      </c>
      <c r="D273" s="30" t="s">
        <v>496</v>
      </c>
      <c r="E273" s="29">
        <f>175</f>
        <v>175</v>
      </c>
      <c r="F273" s="32"/>
      <c r="G273" s="31"/>
      <c r="H273" s="29"/>
      <c r="I273" s="33">
        <f>SUM(U265:U272)</f>
        <v>42.75</v>
      </c>
      <c r="J273" s="29">
        <f>167</f>
        <v>167</v>
      </c>
      <c r="K273" s="33">
        <f>SUM(V265:V272)</f>
        <v>738.79</v>
      </c>
    </row>
    <row r="274" spans="1:27" ht="14.25" x14ac:dyDescent="0.2">
      <c r="A274" s="27"/>
      <c r="B274" s="28"/>
      <c r="C274" s="28" t="s">
        <v>499</v>
      </c>
      <c r="D274" s="30" t="s">
        <v>500</v>
      </c>
      <c r="E274" s="29">
        <f>Source!AQ197</f>
        <v>24.8</v>
      </c>
      <c r="F274" s="32"/>
      <c r="G274" s="31" t="str">
        <f>Source!DI197</f>
        <v/>
      </c>
      <c r="H274" s="29">
        <f>Source!AV197</f>
        <v>1</v>
      </c>
      <c r="I274" s="33">
        <f>Source!U197</f>
        <v>20.335999999999999</v>
      </c>
      <c r="J274" s="29"/>
      <c r="K274" s="33"/>
    </row>
    <row r="275" spans="1:27" ht="15" x14ac:dyDescent="0.25">
      <c r="A275" s="38"/>
      <c r="B275" s="38"/>
      <c r="C275" s="38"/>
      <c r="D275" s="38"/>
      <c r="E275" s="38"/>
      <c r="F275" s="38"/>
      <c r="G275" s="38"/>
      <c r="H275" s="39">
        <f>I267+I268+I270+I271+I272+I273</f>
        <v>886.58999999999992</v>
      </c>
      <c r="I275" s="39"/>
      <c r="J275" s="39">
        <f>K267+K268+K270+K271+K272+K273</f>
        <v>12730.02</v>
      </c>
      <c r="K275" s="39"/>
      <c r="O275" s="36">
        <f>I267+I268+I270+I271+I272+I273</f>
        <v>886.58999999999992</v>
      </c>
      <c r="P275" s="36">
        <f>K267+K268+K270+K271+K272+K273</f>
        <v>12730.02</v>
      </c>
      <c r="X275">
        <f>IF(Source!BI197&lt;=1,I267+I268+I270+I271+I272+I273-0, 0)</f>
        <v>0</v>
      </c>
      <c r="Y275">
        <f>IF(Source!BI197=2,I267+I268+I270+I271+I272+I273-0, 0)</f>
        <v>886.58999999999992</v>
      </c>
      <c r="Z275">
        <f>IF(Source!BI197=3,I267+I268+I270+I271+I272+I273-0, 0)</f>
        <v>0</v>
      </c>
      <c r="AA275">
        <f>IF(Source!BI197=4,I267+I268+I270+I271+I272+I273,0)</f>
        <v>0</v>
      </c>
    </row>
    <row r="276" spans="1:27" ht="57" x14ac:dyDescent="0.2">
      <c r="A276" s="27" t="str">
        <f>Source!E198</f>
        <v>29</v>
      </c>
      <c r="B276" s="28" t="str">
        <f>Source!F198</f>
        <v>4.8-79-13</v>
      </c>
      <c r="C276" s="28" t="str">
        <f>Source!G198</f>
        <v>Кабели до 35 кВ, прокладываемые по установленным конструкциям и лоткам, кабель с креплением по всей длине, масса 1 м, до 6 кг</v>
      </c>
      <c r="D276" s="30" t="str">
        <f>Source!H198</f>
        <v>100 М КАБЕЛЯ</v>
      </c>
      <c r="E276" s="29">
        <f>Source!I198</f>
        <v>0.1</v>
      </c>
      <c r="F276" s="32"/>
      <c r="G276" s="31"/>
      <c r="H276" s="29"/>
      <c r="I276" s="33"/>
      <c r="J276" s="29"/>
      <c r="K276" s="33"/>
      <c r="Q276">
        <f>ROUND((Source!DN198/100)*ROUND((Source!AF198*Source!AV198)*Source!I198, 2), 2)</f>
        <v>47.15</v>
      </c>
      <c r="R276">
        <f>Source!X198</f>
        <v>724.3</v>
      </c>
      <c r="S276">
        <f>ROUND((Source!DO198/100)*ROUND((Source!AF198*Source!AV198)*Source!I198, 2), 2)</f>
        <v>29.47</v>
      </c>
      <c r="T276">
        <f>Source!Y198</f>
        <v>350.71</v>
      </c>
      <c r="U276">
        <f>ROUND((175/100)*ROUND((Source!AE198*Source!AV198)*Source!I198, 2), 2)</f>
        <v>27.88</v>
      </c>
      <c r="V276">
        <f>ROUND((167/100)*ROUND(Source!CS198*Source!I198, 2), 2)</f>
        <v>481.69</v>
      </c>
    </row>
    <row r="277" spans="1:27" x14ac:dyDescent="0.2">
      <c r="C277" s="34" t="str">
        <f>"Объем: "&amp;Source!I198&amp;"=(10)/"&amp;"100"</f>
        <v>Объем: 0,1=(10)/100</v>
      </c>
    </row>
    <row r="278" spans="1:27" ht="14.25" x14ac:dyDescent="0.2">
      <c r="A278" s="27"/>
      <c r="B278" s="28"/>
      <c r="C278" s="28" t="s">
        <v>492</v>
      </c>
      <c r="D278" s="30"/>
      <c r="E278" s="29"/>
      <c r="F278" s="32">
        <f>Source!AO198</f>
        <v>394.56</v>
      </c>
      <c r="G278" s="31" t="str">
        <f>Source!DG198</f>
        <v/>
      </c>
      <c r="H278" s="29">
        <f>Source!AV198</f>
        <v>1.0669999999999999</v>
      </c>
      <c r="I278" s="33">
        <f>ROUND((Source!AF198*Source!AV198)*Source!I198, 2)</f>
        <v>42.1</v>
      </c>
      <c r="J278" s="29">
        <f>IF(Source!BA198&lt;&gt; 0, Source!BA198, 1)</f>
        <v>18.11</v>
      </c>
      <c r="K278" s="33">
        <f>Source!S198</f>
        <v>762.42</v>
      </c>
      <c r="W278">
        <f>I278</f>
        <v>42.1</v>
      </c>
    </row>
    <row r="279" spans="1:27" ht="14.25" x14ac:dyDescent="0.2">
      <c r="A279" s="27"/>
      <c r="B279" s="28"/>
      <c r="C279" s="28" t="s">
        <v>493</v>
      </c>
      <c r="D279" s="30"/>
      <c r="E279" s="29"/>
      <c r="F279" s="32">
        <f>Source!AM198</f>
        <v>919.5</v>
      </c>
      <c r="G279" s="31" t="str">
        <f>Source!DE198</f>
        <v/>
      </c>
      <c r="H279" s="29">
        <f>Source!AV198</f>
        <v>1.0669999999999999</v>
      </c>
      <c r="I279" s="33">
        <f>ROUND(((((Source!ET198)-(Source!EU198))+Source!AE198)*Source!AV198)*Source!I198, 2)</f>
        <v>98.11</v>
      </c>
      <c r="J279" s="29">
        <f>IF(Source!BB198&lt;&gt; 0, Source!BB198, 1)</f>
        <v>7.56</v>
      </c>
      <c r="K279" s="33">
        <f>Source!Q198</f>
        <v>741.72</v>
      </c>
    </row>
    <row r="280" spans="1:27" ht="14.25" x14ac:dyDescent="0.2">
      <c r="A280" s="27"/>
      <c r="B280" s="28"/>
      <c r="C280" s="28" t="s">
        <v>494</v>
      </c>
      <c r="D280" s="30"/>
      <c r="E280" s="29"/>
      <c r="F280" s="32">
        <f>Source!AN198</f>
        <v>149.27000000000001</v>
      </c>
      <c r="G280" s="31" t="str">
        <f>Source!DF198</f>
        <v/>
      </c>
      <c r="H280" s="29">
        <f>Source!AV198</f>
        <v>1.0669999999999999</v>
      </c>
      <c r="I280" s="35">
        <f>ROUND((Source!AE198*Source!AV198)*Source!I198, 2)</f>
        <v>15.93</v>
      </c>
      <c r="J280" s="29">
        <f>IF(Source!BS198&lt;&gt; 0, Source!BS198, 1)</f>
        <v>18.11</v>
      </c>
      <c r="K280" s="35">
        <f>Source!R198</f>
        <v>288.44</v>
      </c>
      <c r="W280">
        <f>I280</f>
        <v>15.93</v>
      </c>
    </row>
    <row r="281" spans="1:27" ht="14.25" x14ac:dyDescent="0.2">
      <c r="A281" s="27"/>
      <c r="B281" s="28"/>
      <c r="C281" s="28" t="s">
        <v>501</v>
      </c>
      <c r="D281" s="30"/>
      <c r="E281" s="29"/>
      <c r="F281" s="32">
        <f>Source!AL198</f>
        <v>39.619999999999997</v>
      </c>
      <c r="G281" s="31" t="str">
        <f>Source!DD198</f>
        <v/>
      </c>
      <c r="H281" s="29">
        <f>Source!AW198</f>
        <v>1.081</v>
      </c>
      <c r="I281" s="33">
        <f>ROUND((Source!AC198*Source!AW198)*Source!I198, 2)</f>
        <v>4.28</v>
      </c>
      <c r="J281" s="29">
        <f>IF(Source!BC198&lt;&gt; 0, Source!BC198, 1)</f>
        <v>5.07</v>
      </c>
      <c r="K281" s="33">
        <f>Source!P198</f>
        <v>21.71</v>
      </c>
    </row>
    <row r="282" spans="1:27" ht="14.25" x14ac:dyDescent="0.2">
      <c r="A282" s="27"/>
      <c r="B282" s="28"/>
      <c r="C282" s="28" t="s">
        <v>495</v>
      </c>
      <c r="D282" s="30" t="s">
        <v>496</v>
      </c>
      <c r="E282" s="29">
        <f>Source!DN198</f>
        <v>112</v>
      </c>
      <c r="F282" s="32"/>
      <c r="G282" s="31"/>
      <c r="H282" s="29"/>
      <c r="I282" s="33">
        <f>SUM(Q276:Q281)</f>
        <v>47.15</v>
      </c>
      <c r="J282" s="29">
        <f>Source!BZ198</f>
        <v>95</v>
      </c>
      <c r="K282" s="33">
        <f>SUM(R276:R281)</f>
        <v>724.3</v>
      </c>
    </row>
    <row r="283" spans="1:27" ht="14.25" x14ac:dyDescent="0.2">
      <c r="A283" s="27"/>
      <c r="B283" s="28"/>
      <c r="C283" s="28" t="s">
        <v>497</v>
      </c>
      <c r="D283" s="30" t="s">
        <v>496</v>
      </c>
      <c r="E283" s="29">
        <f>Source!DO198</f>
        <v>70</v>
      </c>
      <c r="F283" s="32"/>
      <c r="G283" s="31"/>
      <c r="H283" s="29"/>
      <c r="I283" s="33">
        <f>SUM(S276:S282)</f>
        <v>29.47</v>
      </c>
      <c r="J283" s="29">
        <f>Source!CA198</f>
        <v>46</v>
      </c>
      <c r="K283" s="33">
        <f>SUM(T276:T282)</f>
        <v>350.71</v>
      </c>
    </row>
    <row r="284" spans="1:27" ht="14.25" x14ac:dyDescent="0.2">
      <c r="A284" s="27"/>
      <c r="B284" s="28"/>
      <c r="C284" s="28" t="s">
        <v>498</v>
      </c>
      <c r="D284" s="30" t="s">
        <v>496</v>
      </c>
      <c r="E284" s="29">
        <f>175</f>
        <v>175</v>
      </c>
      <c r="F284" s="32"/>
      <c r="G284" s="31"/>
      <c r="H284" s="29"/>
      <c r="I284" s="33">
        <f>SUM(U276:U283)</f>
        <v>27.88</v>
      </c>
      <c r="J284" s="29">
        <f>167</f>
        <v>167</v>
      </c>
      <c r="K284" s="33">
        <f>SUM(V276:V283)</f>
        <v>481.69</v>
      </c>
    </row>
    <row r="285" spans="1:27" ht="14.25" x14ac:dyDescent="0.2">
      <c r="A285" s="27"/>
      <c r="B285" s="28"/>
      <c r="C285" s="28" t="s">
        <v>499</v>
      </c>
      <c r="D285" s="30" t="s">
        <v>500</v>
      </c>
      <c r="E285" s="29">
        <f>Source!AQ198</f>
        <v>32</v>
      </c>
      <c r="F285" s="32"/>
      <c r="G285" s="31" t="str">
        <f>Source!DI198</f>
        <v/>
      </c>
      <c r="H285" s="29">
        <f>Source!AV198</f>
        <v>1.0669999999999999</v>
      </c>
      <c r="I285" s="33">
        <f>Source!U198</f>
        <v>3.4144000000000001</v>
      </c>
      <c r="J285" s="29"/>
      <c r="K285" s="33"/>
    </row>
    <row r="286" spans="1:27" ht="15" x14ac:dyDescent="0.25">
      <c r="A286" s="38"/>
      <c r="B286" s="38"/>
      <c r="C286" s="38"/>
      <c r="D286" s="38"/>
      <c r="E286" s="38"/>
      <c r="F286" s="38"/>
      <c r="G286" s="38"/>
      <c r="H286" s="39">
        <f>I278+I279+I281+I282+I283+I284</f>
        <v>248.99</v>
      </c>
      <c r="I286" s="39"/>
      <c r="J286" s="39">
        <f>K278+K279+K281+K282+K283+K284</f>
        <v>3082.5499999999997</v>
      </c>
      <c r="K286" s="39"/>
      <c r="O286" s="36">
        <f>I278+I279+I281+I282+I283+I284</f>
        <v>248.99</v>
      </c>
      <c r="P286" s="36">
        <f>K278+K279+K281+K282+K283+K284</f>
        <v>3082.5499999999997</v>
      </c>
      <c r="X286">
        <f>IF(Source!BI198&lt;=1,I278+I279+I281+I282+I283+I284-0, 0)</f>
        <v>0</v>
      </c>
      <c r="Y286">
        <f>IF(Source!BI198=2,I278+I279+I281+I282+I283+I284-0, 0)</f>
        <v>248.99</v>
      </c>
      <c r="Z286">
        <f>IF(Source!BI198=3,I278+I279+I281+I282+I283+I284-0, 0)</f>
        <v>0</v>
      </c>
      <c r="AA286">
        <f>IF(Source!BI198=4,I278+I279+I281+I282+I283+I284,0)</f>
        <v>0</v>
      </c>
    </row>
    <row r="287" spans="1:27" ht="85.5" x14ac:dyDescent="0.2">
      <c r="A287" s="27" t="str">
        <f>Source!E199</f>
        <v>30</v>
      </c>
      <c r="B287" s="28" t="str">
        <f>Source!F199</f>
        <v>1.23-7-582</v>
      </c>
      <c r="C287" s="28" t="str">
        <f>Source!G199</f>
        <v>Кабели силовые с алюминиевыми жилами с изоляцией из силанольносшитого полиэтилена, защитный покров типа БбШп, напряжение 1000 В, марка АПвБбШп, число жил и сечение 4х185 мн</v>
      </c>
      <c r="D287" s="30" t="str">
        <f>Source!H199</f>
        <v>км</v>
      </c>
      <c r="E287" s="29">
        <f>Source!I199</f>
        <v>0.83028000000000002</v>
      </c>
      <c r="F287" s="32">
        <f>Source!AL199</f>
        <v>311764.73</v>
      </c>
      <c r="G287" s="31" t="str">
        <f>Source!DD199</f>
        <v/>
      </c>
      <c r="H287" s="29">
        <f>Source!AW199</f>
        <v>1</v>
      </c>
      <c r="I287" s="33">
        <f>ROUND((Source!AC199*Source!AW199)*Source!I199, 2)</f>
        <v>258852.02</v>
      </c>
      <c r="J287" s="29">
        <f>IF(Source!BC199&lt;&gt; 0, Source!BC199, 1)</f>
        <v>1.82</v>
      </c>
      <c r="K287" s="33">
        <f>Source!P199</f>
        <v>471110.68</v>
      </c>
      <c r="Q287">
        <f>ROUND((Source!DN199/100)*ROUND((Source!AF199*Source!AV199)*Source!I199, 2), 2)</f>
        <v>0</v>
      </c>
      <c r="R287">
        <f>Source!X199</f>
        <v>0</v>
      </c>
      <c r="S287">
        <f>ROUND((Source!DO199/100)*ROUND((Source!AF199*Source!AV199)*Source!I199, 2), 2)</f>
        <v>0</v>
      </c>
      <c r="T287">
        <f>Source!Y199</f>
        <v>0</v>
      </c>
      <c r="U287">
        <f>ROUND((175/100)*ROUND((Source!AE199*Source!AV199)*Source!I199, 2), 2)</f>
        <v>0</v>
      </c>
      <c r="V287">
        <f>ROUND((167/100)*ROUND(Source!CS199*Source!I199, 2), 2)</f>
        <v>0</v>
      </c>
    </row>
    <row r="288" spans="1:27" x14ac:dyDescent="0.2">
      <c r="C288" s="34" t="str">
        <f>"Объем: "&amp;Source!I199&amp;"=0,814*"&amp;"1,02"</f>
        <v>Объем: 0,83028=0,814*1,02</v>
      </c>
    </row>
    <row r="289" spans="1:27" ht="15" x14ac:dyDescent="0.25">
      <c r="A289" s="38"/>
      <c r="B289" s="38"/>
      <c r="C289" s="38"/>
      <c r="D289" s="38"/>
      <c r="E289" s="38"/>
      <c r="F289" s="38"/>
      <c r="G289" s="38"/>
      <c r="H289" s="39">
        <f>I287</f>
        <v>258852.02</v>
      </c>
      <c r="I289" s="39"/>
      <c r="J289" s="39">
        <f>K287</f>
        <v>471110.68</v>
      </c>
      <c r="K289" s="39"/>
      <c r="O289" s="36">
        <f>I287</f>
        <v>258852.02</v>
      </c>
      <c r="P289" s="36">
        <f>K287</f>
        <v>471110.68</v>
      </c>
      <c r="X289">
        <f>IF(Source!BI199&lt;=1,I287-0, 0)</f>
        <v>0</v>
      </c>
      <c r="Y289">
        <f>IF(Source!BI199=2,I287-0, 0)</f>
        <v>258852.02</v>
      </c>
      <c r="Z289">
        <f>IF(Source!BI199=3,I287-0, 0)</f>
        <v>0</v>
      </c>
      <c r="AA289">
        <f>IF(Source!BI199=4,I287,0)</f>
        <v>0</v>
      </c>
    </row>
    <row r="290" spans="1:27" ht="28.5" x14ac:dyDescent="0.2">
      <c r="A290" s="27" t="str">
        <f>Source!E200</f>
        <v>31</v>
      </c>
      <c r="B290" s="28" t="str">
        <f>Source!F200</f>
        <v>4.8-73-4</v>
      </c>
      <c r="C290" s="28" t="str">
        <f>Source!G200</f>
        <v>Кабели до 35 кВ в готовых траншеях без покрытий, кабель массой до 6 кг</v>
      </c>
      <c r="D290" s="30" t="str">
        <f>Source!H200</f>
        <v>100 М КАБЕЛЯ</v>
      </c>
      <c r="E290" s="29">
        <f>Source!I200</f>
        <v>11.02</v>
      </c>
      <c r="F290" s="32"/>
      <c r="G290" s="31"/>
      <c r="H290" s="29"/>
      <c r="I290" s="33"/>
      <c r="J290" s="29"/>
      <c r="K290" s="33"/>
      <c r="Q290">
        <f>ROUND((Source!DN200/100)*ROUND((Source!AF200*Source!AV200)*Source!I200, 2), 2)</f>
        <v>2860.97</v>
      </c>
      <c r="R290">
        <f>Source!X200</f>
        <v>43947.8</v>
      </c>
      <c r="S290">
        <f>ROUND((Source!DO200/100)*ROUND((Source!AF200*Source!AV200)*Source!I200, 2), 2)</f>
        <v>1788.11</v>
      </c>
      <c r="T290">
        <f>Source!Y200</f>
        <v>21279.99</v>
      </c>
      <c r="U290">
        <f>ROUND((175/100)*ROUND((Source!AE200*Source!AV200)*Source!I200, 2), 2)</f>
        <v>1980.56</v>
      </c>
      <c r="V290">
        <f>ROUND((167/100)*ROUND(Source!CS200*Source!I200, 2), 2)</f>
        <v>34228.42</v>
      </c>
    </row>
    <row r="291" spans="1:27" x14ac:dyDescent="0.2">
      <c r="C291" s="34" t="str">
        <f>"Объем: "&amp;Source!I200&amp;"=1102/"&amp;"100"</f>
        <v>Объем: 11,02=1102/100</v>
      </c>
    </row>
    <row r="292" spans="1:27" ht="14.25" x14ac:dyDescent="0.2">
      <c r="A292" s="27"/>
      <c r="B292" s="28"/>
      <c r="C292" s="28" t="s">
        <v>492</v>
      </c>
      <c r="D292" s="30"/>
      <c r="E292" s="29"/>
      <c r="F292" s="32">
        <f>Source!AO200</f>
        <v>231.8</v>
      </c>
      <c r="G292" s="31" t="str">
        <f>Source!DG200</f>
        <v/>
      </c>
      <c r="H292" s="29">
        <f>Source!AV200</f>
        <v>1</v>
      </c>
      <c r="I292" s="33">
        <f>ROUND((Source!AF200*Source!AV200)*Source!I200, 2)</f>
        <v>2554.44</v>
      </c>
      <c r="J292" s="29">
        <f>IF(Source!BA200&lt;&gt; 0, Source!BA200, 1)</f>
        <v>18.11</v>
      </c>
      <c r="K292" s="33">
        <f>Source!S200</f>
        <v>46260.84</v>
      </c>
      <c r="W292">
        <f>I292</f>
        <v>2554.44</v>
      </c>
    </row>
    <row r="293" spans="1:27" ht="14.25" x14ac:dyDescent="0.2">
      <c r="A293" s="27"/>
      <c r="B293" s="28"/>
      <c r="C293" s="28" t="s">
        <v>493</v>
      </c>
      <c r="D293" s="30"/>
      <c r="E293" s="29"/>
      <c r="F293" s="32">
        <f>Source!AM200</f>
        <v>601.29</v>
      </c>
      <c r="G293" s="31" t="str">
        <f>Source!DE200</f>
        <v/>
      </c>
      <c r="H293" s="29">
        <f>Source!AV200</f>
        <v>1</v>
      </c>
      <c r="I293" s="33">
        <f>ROUND(((((Source!ET200)-(Source!EU200))+Source!AE200)*Source!AV200)*Source!I200, 2)</f>
        <v>6626.22</v>
      </c>
      <c r="J293" s="29">
        <f>IF(Source!BB200&lt;&gt; 0, Source!BB200, 1)</f>
        <v>7.66</v>
      </c>
      <c r="K293" s="33">
        <f>Source!Q200</f>
        <v>50756.81</v>
      </c>
    </row>
    <row r="294" spans="1:27" ht="14.25" x14ac:dyDescent="0.2">
      <c r="A294" s="27"/>
      <c r="B294" s="28"/>
      <c r="C294" s="28" t="s">
        <v>494</v>
      </c>
      <c r="D294" s="30"/>
      <c r="E294" s="29"/>
      <c r="F294" s="32">
        <f>Source!AN200</f>
        <v>102.7</v>
      </c>
      <c r="G294" s="31" t="str">
        <f>Source!DF200</f>
        <v/>
      </c>
      <c r="H294" s="29">
        <f>Source!AV200</f>
        <v>1</v>
      </c>
      <c r="I294" s="35">
        <f>ROUND((Source!AE200*Source!AV200)*Source!I200, 2)</f>
        <v>1131.75</v>
      </c>
      <c r="J294" s="29">
        <f>IF(Source!BS200&lt;&gt; 0, Source!BS200, 1)</f>
        <v>18.11</v>
      </c>
      <c r="K294" s="35">
        <f>Source!R200</f>
        <v>20496.060000000001</v>
      </c>
      <c r="W294">
        <f>I294</f>
        <v>1131.75</v>
      </c>
    </row>
    <row r="295" spans="1:27" ht="14.25" x14ac:dyDescent="0.2">
      <c r="A295" s="27"/>
      <c r="B295" s="28"/>
      <c r="C295" s="28" t="s">
        <v>501</v>
      </c>
      <c r="D295" s="30"/>
      <c r="E295" s="29"/>
      <c r="F295" s="32">
        <f>Source!AL200</f>
        <v>25.83</v>
      </c>
      <c r="G295" s="31" t="str">
        <f>Source!DD200</f>
        <v/>
      </c>
      <c r="H295" s="29">
        <f>Source!AW200</f>
        <v>1</v>
      </c>
      <c r="I295" s="33">
        <f>ROUND((Source!AC200*Source!AW200)*Source!I200, 2)</f>
        <v>284.64999999999998</v>
      </c>
      <c r="J295" s="29">
        <f>IF(Source!BC200&lt;&gt; 0, Source!BC200, 1)</f>
        <v>5.07</v>
      </c>
      <c r="K295" s="33">
        <f>Source!P200</f>
        <v>1443.16</v>
      </c>
    </row>
    <row r="296" spans="1:27" ht="14.25" x14ac:dyDescent="0.2">
      <c r="A296" s="27"/>
      <c r="B296" s="28"/>
      <c r="C296" s="28" t="s">
        <v>495</v>
      </c>
      <c r="D296" s="30" t="s">
        <v>496</v>
      </c>
      <c r="E296" s="29">
        <f>Source!DN200</f>
        <v>112</v>
      </c>
      <c r="F296" s="32"/>
      <c r="G296" s="31"/>
      <c r="H296" s="29"/>
      <c r="I296" s="33">
        <f>SUM(Q290:Q295)</f>
        <v>2860.97</v>
      </c>
      <c r="J296" s="29">
        <f>Source!BZ200</f>
        <v>95</v>
      </c>
      <c r="K296" s="33">
        <f>SUM(R290:R295)</f>
        <v>43947.8</v>
      </c>
    </row>
    <row r="297" spans="1:27" ht="14.25" x14ac:dyDescent="0.2">
      <c r="A297" s="27"/>
      <c r="B297" s="28"/>
      <c r="C297" s="28" t="s">
        <v>497</v>
      </c>
      <c r="D297" s="30" t="s">
        <v>496</v>
      </c>
      <c r="E297" s="29">
        <f>Source!DO200</f>
        <v>70</v>
      </c>
      <c r="F297" s="32"/>
      <c r="G297" s="31"/>
      <c r="H297" s="29"/>
      <c r="I297" s="33">
        <f>SUM(S290:S296)</f>
        <v>1788.11</v>
      </c>
      <c r="J297" s="29">
        <f>Source!CA200</f>
        <v>46</v>
      </c>
      <c r="K297" s="33">
        <f>SUM(T290:T296)</f>
        <v>21279.99</v>
      </c>
    </row>
    <row r="298" spans="1:27" ht="14.25" x14ac:dyDescent="0.2">
      <c r="A298" s="27"/>
      <c r="B298" s="28"/>
      <c r="C298" s="28" t="s">
        <v>498</v>
      </c>
      <c r="D298" s="30" t="s">
        <v>496</v>
      </c>
      <c r="E298" s="29">
        <f>175</f>
        <v>175</v>
      </c>
      <c r="F298" s="32"/>
      <c r="G298" s="31"/>
      <c r="H298" s="29"/>
      <c r="I298" s="33">
        <f>SUM(U290:U297)</f>
        <v>1980.56</v>
      </c>
      <c r="J298" s="29">
        <f>167</f>
        <v>167</v>
      </c>
      <c r="K298" s="33">
        <f>SUM(V290:V297)</f>
        <v>34228.42</v>
      </c>
    </row>
    <row r="299" spans="1:27" ht="14.25" x14ac:dyDescent="0.2">
      <c r="A299" s="27"/>
      <c r="B299" s="28"/>
      <c r="C299" s="28" t="s">
        <v>499</v>
      </c>
      <c r="D299" s="30" t="s">
        <v>500</v>
      </c>
      <c r="E299" s="29">
        <f>Source!AQ200</f>
        <v>18.8</v>
      </c>
      <c r="F299" s="32"/>
      <c r="G299" s="31" t="str">
        <f>Source!DI200</f>
        <v/>
      </c>
      <c r="H299" s="29">
        <f>Source!AV200</f>
        <v>1</v>
      </c>
      <c r="I299" s="33">
        <f>Source!U200</f>
        <v>207.17599999999999</v>
      </c>
      <c r="J299" s="29"/>
      <c r="K299" s="33"/>
    </row>
    <row r="300" spans="1:27" ht="15" x14ac:dyDescent="0.25">
      <c r="A300" s="38"/>
      <c r="B300" s="38"/>
      <c r="C300" s="38"/>
      <c r="D300" s="38"/>
      <c r="E300" s="38"/>
      <c r="F300" s="38"/>
      <c r="G300" s="38"/>
      <c r="H300" s="39">
        <f>I292+I293+I295+I296+I297+I298</f>
        <v>16094.949999999999</v>
      </c>
      <c r="I300" s="39"/>
      <c r="J300" s="39">
        <f>K292+K293+K295+K296+K297+K298</f>
        <v>197917.01999999996</v>
      </c>
      <c r="K300" s="39"/>
      <c r="O300" s="36">
        <f>I292+I293+I295+I296+I297+I298</f>
        <v>16094.949999999999</v>
      </c>
      <c r="P300" s="36">
        <f>K292+K293+K295+K296+K297+K298</f>
        <v>197917.01999999996</v>
      </c>
      <c r="X300">
        <f>IF(Source!BI200&lt;=1,I292+I293+I295+I296+I297+I298-0, 0)</f>
        <v>0</v>
      </c>
      <c r="Y300">
        <f>IF(Source!BI200=2,I292+I293+I295+I296+I297+I298-0, 0)</f>
        <v>16094.949999999999</v>
      </c>
      <c r="Z300">
        <f>IF(Source!BI200=3,I292+I293+I295+I296+I297+I298-0, 0)</f>
        <v>0</v>
      </c>
      <c r="AA300">
        <f>IF(Source!BI200=4,I292+I293+I295+I296+I297+I298,0)</f>
        <v>0</v>
      </c>
    </row>
    <row r="301" spans="1:27" ht="42.75" x14ac:dyDescent="0.2">
      <c r="A301" s="27" t="str">
        <f>Source!E201</f>
        <v>32</v>
      </c>
      <c r="B301" s="28" t="str">
        <f>Source!F201</f>
        <v>4.8-80-4</v>
      </c>
      <c r="C301" s="28" t="str">
        <f>Source!G201</f>
        <v>Кабели до 35 кВ в проложенных трубах, блоках и коробах, кабель, масса 1 м, до 6 кг</v>
      </c>
      <c r="D301" s="30" t="str">
        <f>Source!H201</f>
        <v>100 М КАБЕЛЯ</v>
      </c>
      <c r="E301" s="29">
        <f>Source!I201</f>
        <v>3.99</v>
      </c>
      <c r="F301" s="32"/>
      <c r="G301" s="31"/>
      <c r="H301" s="29"/>
      <c r="I301" s="33"/>
      <c r="J301" s="29"/>
      <c r="K301" s="33"/>
      <c r="Q301">
        <f>ROUND((Source!DN201/100)*ROUND((Source!AF201*Source!AV201)*Source!I201, 2), 2)</f>
        <v>1366.47</v>
      </c>
      <c r="R301">
        <f>Source!X201</f>
        <v>20990.560000000001</v>
      </c>
      <c r="S301">
        <f>ROUND((Source!DO201/100)*ROUND((Source!AF201*Source!AV201)*Source!I201, 2), 2)</f>
        <v>854.04</v>
      </c>
      <c r="T301">
        <f>Source!Y201</f>
        <v>10163.85</v>
      </c>
      <c r="U301">
        <f>ROUND((175/100)*ROUND((Source!AE201*Source!AV201)*Source!I201, 2), 2)</f>
        <v>208.01</v>
      </c>
      <c r="V301">
        <f>ROUND((167/100)*ROUND(Source!CS201*Source!I201, 2), 2)</f>
        <v>3594.83</v>
      </c>
    </row>
    <row r="302" spans="1:27" x14ac:dyDescent="0.2">
      <c r="C302" s="34" t="str">
        <f>"Объем: "&amp;Source!I201&amp;"=399/"&amp;"100"</f>
        <v>Объем: 3,99=399/100</v>
      </c>
    </row>
    <row r="303" spans="1:27" ht="14.25" x14ac:dyDescent="0.2">
      <c r="A303" s="27"/>
      <c r="B303" s="28"/>
      <c r="C303" s="28" t="s">
        <v>492</v>
      </c>
      <c r="D303" s="30"/>
      <c r="E303" s="29"/>
      <c r="F303" s="32">
        <f>Source!AO201</f>
        <v>305.77999999999997</v>
      </c>
      <c r="G303" s="31" t="str">
        <f>Source!DG201</f>
        <v/>
      </c>
      <c r="H303" s="29">
        <f>Source!AV201</f>
        <v>1</v>
      </c>
      <c r="I303" s="33">
        <f>ROUND((Source!AF201*Source!AV201)*Source!I201, 2)</f>
        <v>1220.06</v>
      </c>
      <c r="J303" s="29">
        <f>IF(Source!BA201&lt;&gt; 0, Source!BA201, 1)</f>
        <v>18.11</v>
      </c>
      <c r="K303" s="33">
        <f>Source!S201</f>
        <v>22095.33</v>
      </c>
      <c r="W303">
        <f>I303</f>
        <v>1220.06</v>
      </c>
    </row>
    <row r="304" spans="1:27" ht="14.25" x14ac:dyDescent="0.2">
      <c r="A304" s="27"/>
      <c r="B304" s="28"/>
      <c r="C304" s="28" t="s">
        <v>493</v>
      </c>
      <c r="D304" s="30"/>
      <c r="E304" s="29"/>
      <c r="F304" s="32">
        <f>Source!AM201</f>
        <v>130.57</v>
      </c>
      <c r="G304" s="31" t="str">
        <f>Source!DE201</f>
        <v/>
      </c>
      <c r="H304" s="29">
        <f>Source!AV201</f>
        <v>1</v>
      </c>
      <c r="I304" s="33">
        <f>ROUND(((((Source!ET201)-(Source!EU201))+Source!AE201)*Source!AV201)*Source!I201, 2)</f>
        <v>520.97</v>
      </c>
      <c r="J304" s="29">
        <f>IF(Source!BB201&lt;&gt; 0, Source!BB201, 1)</f>
        <v>8.3800000000000008</v>
      </c>
      <c r="K304" s="33">
        <f>Source!Q201</f>
        <v>4365.76</v>
      </c>
    </row>
    <row r="305" spans="1:27" ht="14.25" x14ac:dyDescent="0.2">
      <c r="A305" s="27"/>
      <c r="B305" s="28"/>
      <c r="C305" s="28" t="s">
        <v>494</v>
      </c>
      <c r="D305" s="30"/>
      <c r="E305" s="29"/>
      <c r="F305" s="32">
        <f>Source!AN201</f>
        <v>29.79</v>
      </c>
      <c r="G305" s="31" t="str">
        <f>Source!DF201</f>
        <v/>
      </c>
      <c r="H305" s="29">
        <f>Source!AV201</f>
        <v>1</v>
      </c>
      <c r="I305" s="35">
        <f>ROUND((Source!AE201*Source!AV201)*Source!I201, 2)</f>
        <v>118.86</v>
      </c>
      <c r="J305" s="29">
        <f>IF(Source!BS201&lt;&gt; 0, Source!BS201, 1)</f>
        <v>18.11</v>
      </c>
      <c r="K305" s="35">
        <f>Source!R201</f>
        <v>2152.59</v>
      </c>
      <c r="W305">
        <f>I305</f>
        <v>118.86</v>
      </c>
    </row>
    <row r="306" spans="1:27" ht="14.25" x14ac:dyDescent="0.2">
      <c r="A306" s="27"/>
      <c r="B306" s="28"/>
      <c r="C306" s="28" t="s">
        <v>501</v>
      </c>
      <c r="D306" s="30"/>
      <c r="E306" s="29"/>
      <c r="F306" s="32">
        <f>Source!AL201</f>
        <v>36.19</v>
      </c>
      <c r="G306" s="31" t="str">
        <f>Source!DD201</f>
        <v/>
      </c>
      <c r="H306" s="29">
        <f>Source!AW201</f>
        <v>1</v>
      </c>
      <c r="I306" s="33">
        <f>ROUND((Source!AC201*Source!AW201)*Source!I201, 2)</f>
        <v>144.4</v>
      </c>
      <c r="J306" s="29">
        <f>IF(Source!BC201&lt;&gt; 0, Source!BC201, 1)</f>
        <v>5.07</v>
      </c>
      <c r="K306" s="33">
        <f>Source!P201</f>
        <v>732.1</v>
      </c>
    </row>
    <row r="307" spans="1:27" ht="14.25" x14ac:dyDescent="0.2">
      <c r="A307" s="27"/>
      <c r="B307" s="28"/>
      <c r="C307" s="28" t="s">
        <v>495</v>
      </c>
      <c r="D307" s="30" t="s">
        <v>496</v>
      </c>
      <c r="E307" s="29">
        <f>Source!DN201</f>
        <v>112</v>
      </c>
      <c r="F307" s="32"/>
      <c r="G307" s="31"/>
      <c r="H307" s="29"/>
      <c r="I307" s="33">
        <f>SUM(Q301:Q306)</f>
        <v>1366.47</v>
      </c>
      <c r="J307" s="29">
        <f>Source!BZ201</f>
        <v>95</v>
      </c>
      <c r="K307" s="33">
        <f>SUM(R301:R306)</f>
        <v>20990.560000000001</v>
      </c>
    </row>
    <row r="308" spans="1:27" ht="14.25" x14ac:dyDescent="0.2">
      <c r="A308" s="27"/>
      <c r="B308" s="28"/>
      <c r="C308" s="28" t="s">
        <v>497</v>
      </c>
      <c r="D308" s="30" t="s">
        <v>496</v>
      </c>
      <c r="E308" s="29">
        <f>Source!DO201</f>
        <v>70</v>
      </c>
      <c r="F308" s="32"/>
      <c r="G308" s="31"/>
      <c r="H308" s="29"/>
      <c r="I308" s="33">
        <f>SUM(S301:S307)</f>
        <v>854.04</v>
      </c>
      <c r="J308" s="29">
        <f>Source!CA201</f>
        <v>46</v>
      </c>
      <c r="K308" s="33">
        <f>SUM(T301:T307)</f>
        <v>10163.85</v>
      </c>
    </row>
    <row r="309" spans="1:27" ht="14.25" x14ac:dyDescent="0.2">
      <c r="A309" s="27"/>
      <c r="B309" s="28"/>
      <c r="C309" s="28" t="s">
        <v>498</v>
      </c>
      <c r="D309" s="30" t="s">
        <v>496</v>
      </c>
      <c r="E309" s="29">
        <f>175</f>
        <v>175</v>
      </c>
      <c r="F309" s="32"/>
      <c r="G309" s="31"/>
      <c r="H309" s="29"/>
      <c r="I309" s="33">
        <f>SUM(U301:U308)</f>
        <v>208.01</v>
      </c>
      <c r="J309" s="29">
        <f>167</f>
        <v>167</v>
      </c>
      <c r="K309" s="33">
        <f>SUM(V301:V308)</f>
        <v>3594.83</v>
      </c>
    </row>
    <row r="310" spans="1:27" ht="14.25" x14ac:dyDescent="0.2">
      <c r="A310" s="27"/>
      <c r="B310" s="28"/>
      <c r="C310" s="28" t="s">
        <v>499</v>
      </c>
      <c r="D310" s="30" t="s">
        <v>500</v>
      </c>
      <c r="E310" s="29">
        <f>Source!AQ201</f>
        <v>24.8</v>
      </c>
      <c r="F310" s="32"/>
      <c r="G310" s="31" t="str">
        <f>Source!DI201</f>
        <v/>
      </c>
      <c r="H310" s="29">
        <f>Source!AV201</f>
        <v>1</v>
      </c>
      <c r="I310" s="33">
        <f>Source!U201</f>
        <v>98.952000000000012</v>
      </c>
      <c r="J310" s="29"/>
      <c r="K310" s="33"/>
    </row>
    <row r="311" spans="1:27" ht="15" x14ac:dyDescent="0.25">
      <c r="A311" s="38"/>
      <c r="B311" s="38"/>
      <c r="C311" s="38"/>
      <c r="D311" s="38"/>
      <c r="E311" s="38"/>
      <c r="F311" s="38"/>
      <c r="G311" s="38"/>
      <c r="H311" s="39">
        <f>I303+I304+I306+I307+I308+I309</f>
        <v>4313.9500000000007</v>
      </c>
      <c r="I311" s="39"/>
      <c r="J311" s="39">
        <f>K303+K304+K306+K307+K308+K309</f>
        <v>61942.43</v>
      </c>
      <c r="K311" s="39"/>
      <c r="O311" s="36">
        <f>I303+I304+I306+I307+I308+I309</f>
        <v>4313.9500000000007</v>
      </c>
      <c r="P311" s="36">
        <f>K303+K304+K306+K307+K308+K309</f>
        <v>61942.43</v>
      </c>
      <c r="X311">
        <f>IF(Source!BI201&lt;=1,I303+I304+I306+I307+I308+I309-0, 0)</f>
        <v>0</v>
      </c>
      <c r="Y311">
        <f>IF(Source!BI201=2,I303+I304+I306+I307+I308+I309-0, 0)</f>
        <v>4313.9500000000007</v>
      </c>
      <c r="Z311">
        <f>IF(Source!BI201=3,I303+I304+I306+I307+I308+I309-0, 0)</f>
        <v>0</v>
      </c>
      <c r="AA311">
        <f>IF(Source!BI201=4,I303+I304+I306+I307+I308+I309,0)</f>
        <v>0</v>
      </c>
    </row>
    <row r="312" spans="1:27" ht="57" x14ac:dyDescent="0.2">
      <c r="A312" s="27" t="str">
        <f>Source!E202</f>
        <v>33</v>
      </c>
      <c r="B312" s="28" t="str">
        <f>Source!F202</f>
        <v>4.8-79-13</v>
      </c>
      <c r="C312" s="28" t="str">
        <f>Source!G202</f>
        <v>Кабели до 35 кВ, прокладываемые по установленным конструкциям и лоткам, кабель с креплением по всей длине, масса 1 м, до 6 кг</v>
      </c>
      <c r="D312" s="30" t="str">
        <f>Source!H202</f>
        <v>100 М КАБЕЛЯ</v>
      </c>
      <c r="E312" s="29">
        <f>Source!I202</f>
        <v>0.95</v>
      </c>
      <c r="F312" s="32"/>
      <c r="G312" s="31"/>
      <c r="H312" s="29"/>
      <c r="I312" s="33"/>
      <c r="J312" s="29"/>
      <c r="K312" s="33"/>
      <c r="Q312">
        <f>ROUND((Source!DN202/100)*ROUND((Source!AF202*Source!AV202)*Source!I202, 2), 2)</f>
        <v>447.94</v>
      </c>
      <c r="R312">
        <f>Source!X202</f>
        <v>6880.87</v>
      </c>
      <c r="S312">
        <f>ROUND((Source!DO202/100)*ROUND((Source!AF202*Source!AV202)*Source!I202, 2), 2)</f>
        <v>279.97000000000003</v>
      </c>
      <c r="T312">
        <f>Source!Y202</f>
        <v>3331.79</v>
      </c>
      <c r="U312">
        <f>ROUND((175/100)*ROUND((Source!AE202*Source!AV202)*Source!I202, 2), 2)</f>
        <v>264.79000000000002</v>
      </c>
      <c r="V312">
        <f>ROUND((167/100)*ROUND(Source!CS202*Source!I202, 2), 2)</f>
        <v>4576.1000000000004</v>
      </c>
    </row>
    <row r="313" spans="1:27" x14ac:dyDescent="0.2">
      <c r="C313" s="34" t="str">
        <f>"Объем: "&amp;Source!I202&amp;"=95/"&amp;"100"</f>
        <v>Объем: 0,95=95/100</v>
      </c>
    </row>
    <row r="314" spans="1:27" ht="14.25" x14ac:dyDescent="0.2">
      <c r="A314" s="27"/>
      <c r="B314" s="28"/>
      <c r="C314" s="28" t="s">
        <v>492</v>
      </c>
      <c r="D314" s="30"/>
      <c r="E314" s="29"/>
      <c r="F314" s="32">
        <f>Source!AO202</f>
        <v>394.56</v>
      </c>
      <c r="G314" s="31" t="str">
        <f>Source!DG202</f>
        <v/>
      </c>
      <c r="H314" s="29">
        <f>Source!AV202</f>
        <v>1.0669999999999999</v>
      </c>
      <c r="I314" s="33">
        <f>ROUND((Source!AF202*Source!AV202)*Source!I202, 2)</f>
        <v>399.95</v>
      </c>
      <c r="J314" s="29">
        <f>IF(Source!BA202&lt;&gt; 0, Source!BA202, 1)</f>
        <v>18.11</v>
      </c>
      <c r="K314" s="33">
        <f>Source!S202</f>
        <v>7243.02</v>
      </c>
      <c r="W314">
        <f>I314</f>
        <v>399.95</v>
      </c>
    </row>
    <row r="315" spans="1:27" ht="14.25" x14ac:dyDescent="0.2">
      <c r="A315" s="27"/>
      <c r="B315" s="28"/>
      <c r="C315" s="28" t="s">
        <v>493</v>
      </c>
      <c r="D315" s="30"/>
      <c r="E315" s="29"/>
      <c r="F315" s="32">
        <f>Source!AM202</f>
        <v>919.5</v>
      </c>
      <c r="G315" s="31" t="str">
        <f>Source!DE202</f>
        <v/>
      </c>
      <c r="H315" s="29">
        <f>Source!AV202</f>
        <v>1.0669999999999999</v>
      </c>
      <c r="I315" s="33">
        <f>ROUND(((((Source!ET202)-(Source!EU202))+Source!AE202)*Source!AV202)*Source!I202, 2)</f>
        <v>932.05</v>
      </c>
      <c r="J315" s="29">
        <f>IF(Source!BB202&lt;&gt; 0, Source!BB202, 1)</f>
        <v>7.56</v>
      </c>
      <c r="K315" s="33">
        <f>Source!Q202</f>
        <v>7046.31</v>
      </c>
    </row>
    <row r="316" spans="1:27" ht="14.25" x14ac:dyDescent="0.2">
      <c r="A316" s="27"/>
      <c r="B316" s="28"/>
      <c r="C316" s="28" t="s">
        <v>494</v>
      </c>
      <c r="D316" s="30"/>
      <c r="E316" s="29"/>
      <c r="F316" s="32">
        <f>Source!AN202</f>
        <v>149.27000000000001</v>
      </c>
      <c r="G316" s="31" t="str">
        <f>Source!DF202</f>
        <v/>
      </c>
      <c r="H316" s="29">
        <f>Source!AV202</f>
        <v>1.0669999999999999</v>
      </c>
      <c r="I316" s="35">
        <f>ROUND((Source!AE202*Source!AV202)*Source!I202, 2)</f>
        <v>151.31</v>
      </c>
      <c r="J316" s="29">
        <f>IF(Source!BS202&lt;&gt; 0, Source!BS202, 1)</f>
        <v>18.11</v>
      </c>
      <c r="K316" s="35">
        <f>Source!R202</f>
        <v>2740.18</v>
      </c>
      <c r="W316">
        <f>I316</f>
        <v>151.31</v>
      </c>
    </row>
    <row r="317" spans="1:27" ht="14.25" x14ac:dyDescent="0.2">
      <c r="A317" s="27"/>
      <c r="B317" s="28"/>
      <c r="C317" s="28" t="s">
        <v>501</v>
      </c>
      <c r="D317" s="30"/>
      <c r="E317" s="29"/>
      <c r="F317" s="32">
        <f>Source!AL202</f>
        <v>39.619999999999997</v>
      </c>
      <c r="G317" s="31" t="str">
        <f>Source!DD202</f>
        <v/>
      </c>
      <c r="H317" s="29">
        <f>Source!AW202</f>
        <v>1.081</v>
      </c>
      <c r="I317" s="33">
        <f>ROUND((Source!AC202*Source!AW202)*Source!I202, 2)</f>
        <v>40.69</v>
      </c>
      <c r="J317" s="29">
        <f>IF(Source!BC202&lt;&gt; 0, Source!BC202, 1)</f>
        <v>5.07</v>
      </c>
      <c r="K317" s="33">
        <f>Source!P202</f>
        <v>206.29</v>
      </c>
    </row>
    <row r="318" spans="1:27" ht="14.25" x14ac:dyDescent="0.2">
      <c r="A318" s="27"/>
      <c r="B318" s="28"/>
      <c r="C318" s="28" t="s">
        <v>495</v>
      </c>
      <c r="D318" s="30" t="s">
        <v>496</v>
      </c>
      <c r="E318" s="29">
        <f>Source!DN202</f>
        <v>112</v>
      </c>
      <c r="F318" s="32"/>
      <c r="G318" s="31"/>
      <c r="H318" s="29"/>
      <c r="I318" s="33">
        <f>SUM(Q312:Q317)</f>
        <v>447.94</v>
      </c>
      <c r="J318" s="29">
        <f>Source!BZ202</f>
        <v>95</v>
      </c>
      <c r="K318" s="33">
        <f>SUM(R312:R317)</f>
        <v>6880.87</v>
      </c>
    </row>
    <row r="319" spans="1:27" ht="14.25" x14ac:dyDescent="0.2">
      <c r="A319" s="27"/>
      <c r="B319" s="28"/>
      <c r="C319" s="28" t="s">
        <v>497</v>
      </c>
      <c r="D319" s="30" t="s">
        <v>496</v>
      </c>
      <c r="E319" s="29">
        <f>Source!DO202</f>
        <v>70</v>
      </c>
      <c r="F319" s="32"/>
      <c r="G319" s="31"/>
      <c r="H319" s="29"/>
      <c r="I319" s="33">
        <f>SUM(S312:S318)</f>
        <v>279.97000000000003</v>
      </c>
      <c r="J319" s="29">
        <f>Source!CA202</f>
        <v>46</v>
      </c>
      <c r="K319" s="33">
        <f>SUM(T312:T318)</f>
        <v>3331.79</v>
      </c>
    </row>
    <row r="320" spans="1:27" ht="14.25" x14ac:dyDescent="0.2">
      <c r="A320" s="27"/>
      <c r="B320" s="28"/>
      <c r="C320" s="28" t="s">
        <v>498</v>
      </c>
      <c r="D320" s="30" t="s">
        <v>496</v>
      </c>
      <c r="E320" s="29">
        <f>175</f>
        <v>175</v>
      </c>
      <c r="F320" s="32"/>
      <c r="G320" s="31"/>
      <c r="H320" s="29"/>
      <c r="I320" s="33">
        <f>SUM(U312:U319)</f>
        <v>264.79000000000002</v>
      </c>
      <c r="J320" s="29">
        <f>167</f>
        <v>167</v>
      </c>
      <c r="K320" s="33">
        <f>SUM(V312:V319)</f>
        <v>4576.1000000000004</v>
      </c>
    </row>
    <row r="321" spans="1:27" ht="14.25" x14ac:dyDescent="0.2">
      <c r="A321" s="27"/>
      <c r="B321" s="28"/>
      <c r="C321" s="28" t="s">
        <v>499</v>
      </c>
      <c r="D321" s="30" t="s">
        <v>500</v>
      </c>
      <c r="E321" s="29">
        <f>Source!AQ202</f>
        <v>32</v>
      </c>
      <c r="F321" s="32"/>
      <c r="G321" s="31" t="str">
        <f>Source!DI202</f>
        <v/>
      </c>
      <c r="H321" s="29">
        <f>Source!AV202</f>
        <v>1.0669999999999999</v>
      </c>
      <c r="I321" s="33">
        <f>Source!U202</f>
        <v>32.436799999999998</v>
      </c>
      <c r="J321" s="29"/>
      <c r="K321" s="33"/>
    </row>
    <row r="322" spans="1:27" ht="15" x14ac:dyDescent="0.25">
      <c r="A322" s="38"/>
      <c r="B322" s="38"/>
      <c r="C322" s="38"/>
      <c r="D322" s="38"/>
      <c r="E322" s="38"/>
      <c r="F322" s="38"/>
      <c r="G322" s="38"/>
      <c r="H322" s="39">
        <f>I314+I315+I317+I318+I319+I320</f>
        <v>2365.3900000000003</v>
      </c>
      <c r="I322" s="39"/>
      <c r="J322" s="39">
        <f>K314+K315+K317+K318+K319+K320</f>
        <v>29284.380000000005</v>
      </c>
      <c r="K322" s="39"/>
      <c r="O322" s="36">
        <f>I314+I315+I317+I318+I319+I320</f>
        <v>2365.3900000000003</v>
      </c>
      <c r="P322" s="36">
        <f>K314+K315+K317+K318+K319+K320</f>
        <v>29284.380000000005</v>
      </c>
      <c r="X322">
        <f>IF(Source!BI202&lt;=1,I314+I315+I317+I318+I319+I320-0, 0)</f>
        <v>0</v>
      </c>
      <c r="Y322">
        <f>IF(Source!BI202=2,I314+I315+I317+I318+I319+I320-0, 0)</f>
        <v>2365.3900000000003</v>
      </c>
      <c r="Z322">
        <f>IF(Source!BI202=3,I314+I315+I317+I318+I319+I320-0, 0)</f>
        <v>0</v>
      </c>
      <c r="AA322">
        <f>IF(Source!BI202=4,I314+I315+I317+I318+I319+I320,0)</f>
        <v>0</v>
      </c>
    </row>
    <row r="323" spans="1:27" ht="85.5" x14ac:dyDescent="0.2">
      <c r="A323" s="27" t="str">
        <f>Source!E203</f>
        <v>34</v>
      </c>
      <c r="B323" s="28" t="str">
        <f>Source!F203</f>
        <v>1.23-7-578</v>
      </c>
      <c r="C323" s="28" t="str">
        <f>Source!G203</f>
        <v>Кабели силовые с алюминиевыми жилами с изоляцией из силанольносшитого полиэтилена, защитный покров типа БбШп, напряжение 1000 В, марка АПвБбШп, число жил и сечение 4х120 мн мм2</v>
      </c>
      <c r="D323" s="30" t="str">
        <f>Source!H203</f>
        <v>км</v>
      </c>
      <c r="E323" s="29">
        <f>Source!I203</f>
        <v>1.62792</v>
      </c>
      <c r="F323" s="32">
        <f>Source!AL203</f>
        <v>216415.27</v>
      </c>
      <c r="G323" s="31" t="str">
        <f>Source!DD203</f>
        <v/>
      </c>
      <c r="H323" s="29">
        <f>Source!AW203</f>
        <v>1</v>
      </c>
      <c r="I323" s="33">
        <f>ROUND((Source!AC203*Source!AW203)*Source!I203, 2)</f>
        <v>352306.75</v>
      </c>
      <c r="J323" s="29">
        <f>IF(Source!BC203&lt;&gt; 0, Source!BC203, 1)</f>
        <v>1.76</v>
      </c>
      <c r="K323" s="33">
        <f>Source!P203</f>
        <v>620059.87</v>
      </c>
      <c r="Q323">
        <f>ROUND((Source!DN203/100)*ROUND((Source!AF203*Source!AV203)*Source!I203, 2), 2)</f>
        <v>0</v>
      </c>
      <c r="R323">
        <f>Source!X203</f>
        <v>0</v>
      </c>
      <c r="S323">
        <f>ROUND((Source!DO203/100)*ROUND((Source!AF203*Source!AV203)*Source!I203, 2), 2)</f>
        <v>0</v>
      </c>
      <c r="T323">
        <f>Source!Y203</f>
        <v>0</v>
      </c>
      <c r="U323">
        <f>ROUND((175/100)*ROUND((Source!AE203*Source!AV203)*Source!I203, 2), 2)</f>
        <v>0</v>
      </c>
      <c r="V323">
        <f>ROUND((167/100)*ROUND(Source!CS203*Source!I203, 2), 2)</f>
        <v>0</v>
      </c>
    </row>
    <row r="324" spans="1:27" x14ac:dyDescent="0.2">
      <c r="C324" s="34" t="str">
        <f>"Объем: "&amp;Source!I203&amp;"=1,596*"&amp;"1,02"</f>
        <v>Объем: 1,62792=1,596*1,02</v>
      </c>
    </row>
    <row r="325" spans="1:27" ht="15" x14ac:dyDescent="0.25">
      <c r="A325" s="38"/>
      <c r="B325" s="38"/>
      <c r="C325" s="38"/>
      <c r="D325" s="38"/>
      <c r="E325" s="38"/>
      <c r="F325" s="38"/>
      <c r="G325" s="38"/>
      <c r="H325" s="39">
        <f>I323</f>
        <v>352306.75</v>
      </c>
      <c r="I325" s="39"/>
      <c r="J325" s="39">
        <f>K323</f>
        <v>620059.87</v>
      </c>
      <c r="K325" s="39"/>
      <c r="O325" s="36">
        <f>I323</f>
        <v>352306.75</v>
      </c>
      <c r="P325" s="36">
        <f>K323</f>
        <v>620059.87</v>
      </c>
      <c r="X325">
        <f>IF(Source!BI203&lt;=1,I323-0, 0)</f>
        <v>0</v>
      </c>
      <c r="Y325">
        <f>IF(Source!BI203=2,I323-0, 0)</f>
        <v>352306.75</v>
      </c>
      <c r="Z325">
        <f>IF(Source!BI203=3,I323-0, 0)</f>
        <v>0</v>
      </c>
      <c r="AA325">
        <f>IF(Source!BI203=4,I323,0)</f>
        <v>0</v>
      </c>
    </row>
    <row r="326" spans="1:27" ht="28.5" x14ac:dyDescent="0.2">
      <c r="A326" s="27" t="str">
        <f>Source!E204</f>
        <v>35</v>
      </c>
      <c r="B326" s="28" t="str">
        <f>Source!F204</f>
        <v>4.8-73-2</v>
      </c>
      <c r="C326" s="28" t="str">
        <f>Source!G204</f>
        <v>Кабели до 35 кВ в готовых траншеях без покрытий, кабель массой до 2 кг</v>
      </c>
      <c r="D326" s="30" t="str">
        <f>Source!H204</f>
        <v>100 М КАБЕЛЯ</v>
      </c>
      <c r="E326" s="29">
        <f>Source!I204</f>
        <v>2.7</v>
      </c>
      <c r="F326" s="32"/>
      <c r="G326" s="31"/>
      <c r="H326" s="29"/>
      <c r="I326" s="33"/>
      <c r="J326" s="29"/>
      <c r="K326" s="33"/>
      <c r="Q326">
        <f>ROUND((Source!DN204/100)*ROUND((Source!AF204*Source!AV204)*Source!I204, 2), 2)</f>
        <v>439.96</v>
      </c>
      <c r="R326">
        <f>Source!X204</f>
        <v>6758.32</v>
      </c>
      <c r="S326">
        <f>ROUND((Source!DO204/100)*ROUND((Source!AF204*Source!AV204)*Source!I204, 2), 2)</f>
        <v>274.97000000000003</v>
      </c>
      <c r="T326">
        <f>Source!Y204</f>
        <v>3272.45</v>
      </c>
      <c r="U326">
        <f>ROUND((175/100)*ROUND((Source!AE204*Source!AV204)*Source!I204, 2), 2)</f>
        <v>271.16000000000003</v>
      </c>
      <c r="V326">
        <f>ROUND((167/100)*ROUND(Source!CS204*Source!I204, 2), 2)</f>
        <v>4686.3500000000004</v>
      </c>
    </row>
    <row r="327" spans="1:27" x14ac:dyDescent="0.2">
      <c r="C327" s="34" t="str">
        <f>"Объем: "&amp;Source!I204&amp;"=270/"&amp;"100"</f>
        <v>Объем: 2,7=270/100</v>
      </c>
    </row>
    <row r="328" spans="1:27" ht="14.25" x14ac:dyDescent="0.2">
      <c r="A328" s="27"/>
      <c r="B328" s="28"/>
      <c r="C328" s="28" t="s">
        <v>492</v>
      </c>
      <c r="D328" s="30"/>
      <c r="E328" s="29"/>
      <c r="F328" s="32">
        <f>Source!AO204</f>
        <v>145.49</v>
      </c>
      <c r="G328" s="31" t="str">
        <f>Source!DG204</f>
        <v/>
      </c>
      <c r="H328" s="29">
        <f>Source!AV204</f>
        <v>1</v>
      </c>
      <c r="I328" s="33">
        <f>ROUND((Source!AF204*Source!AV204)*Source!I204, 2)</f>
        <v>392.82</v>
      </c>
      <c r="J328" s="29">
        <f>IF(Source!BA204&lt;&gt; 0, Source!BA204, 1)</f>
        <v>18.11</v>
      </c>
      <c r="K328" s="33">
        <f>Source!S204</f>
        <v>7114.02</v>
      </c>
      <c r="W328">
        <f>I328</f>
        <v>392.82</v>
      </c>
    </row>
    <row r="329" spans="1:27" ht="14.25" x14ac:dyDescent="0.2">
      <c r="A329" s="27"/>
      <c r="B329" s="28"/>
      <c r="C329" s="28" t="s">
        <v>493</v>
      </c>
      <c r="D329" s="30"/>
      <c r="E329" s="29"/>
      <c r="F329" s="32">
        <f>Source!AM204</f>
        <v>350.31</v>
      </c>
      <c r="G329" s="31" t="str">
        <f>Source!DE204</f>
        <v/>
      </c>
      <c r="H329" s="29">
        <f>Source!AV204</f>
        <v>1</v>
      </c>
      <c r="I329" s="33">
        <f>ROUND(((((Source!ET204)-(Source!EU204))+Source!AE204)*Source!AV204)*Source!I204, 2)</f>
        <v>945.84</v>
      </c>
      <c r="J329" s="29">
        <f>IF(Source!BB204&lt;&gt; 0, Source!BB204, 1)</f>
        <v>7.57</v>
      </c>
      <c r="K329" s="33">
        <f>Source!Q204</f>
        <v>7159.99</v>
      </c>
    </row>
    <row r="330" spans="1:27" ht="14.25" x14ac:dyDescent="0.2">
      <c r="A330" s="27"/>
      <c r="B330" s="28"/>
      <c r="C330" s="28" t="s">
        <v>494</v>
      </c>
      <c r="D330" s="30"/>
      <c r="E330" s="29"/>
      <c r="F330" s="32">
        <f>Source!AN204</f>
        <v>57.39</v>
      </c>
      <c r="G330" s="31" t="str">
        <f>Source!DF204</f>
        <v/>
      </c>
      <c r="H330" s="29">
        <f>Source!AV204</f>
        <v>1</v>
      </c>
      <c r="I330" s="35">
        <f>ROUND((Source!AE204*Source!AV204)*Source!I204, 2)</f>
        <v>154.94999999999999</v>
      </c>
      <c r="J330" s="29">
        <f>IF(Source!BS204&lt;&gt; 0, Source!BS204, 1)</f>
        <v>18.11</v>
      </c>
      <c r="K330" s="35">
        <f>Source!R204</f>
        <v>2806.2</v>
      </c>
      <c r="W330">
        <f>I330</f>
        <v>154.94999999999999</v>
      </c>
    </row>
    <row r="331" spans="1:27" ht="14.25" x14ac:dyDescent="0.2">
      <c r="A331" s="27"/>
      <c r="B331" s="28"/>
      <c r="C331" s="28" t="s">
        <v>501</v>
      </c>
      <c r="D331" s="30"/>
      <c r="E331" s="29"/>
      <c r="F331" s="32">
        <f>Source!AL204</f>
        <v>24.92</v>
      </c>
      <c r="G331" s="31" t="str">
        <f>Source!DD204</f>
        <v/>
      </c>
      <c r="H331" s="29">
        <f>Source!AW204</f>
        <v>1</v>
      </c>
      <c r="I331" s="33">
        <f>ROUND((Source!AC204*Source!AW204)*Source!I204, 2)</f>
        <v>67.28</v>
      </c>
      <c r="J331" s="29">
        <f>IF(Source!BC204&lt;&gt; 0, Source!BC204, 1)</f>
        <v>5.07</v>
      </c>
      <c r="K331" s="33">
        <f>Source!P204</f>
        <v>341.13</v>
      </c>
    </row>
    <row r="332" spans="1:27" ht="14.25" x14ac:dyDescent="0.2">
      <c r="A332" s="27"/>
      <c r="B332" s="28"/>
      <c r="C332" s="28" t="s">
        <v>495</v>
      </c>
      <c r="D332" s="30" t="s">
        <v>496</v>
      </c>
      <c r="E332" s="29">
        <f>Source!DN204</f>
        <v>112</v>
      </c>
      <c r="F332" s="32"/>
      <c r="G332" s="31"/>
      <c r="H332" s="29"/>
      <c r="I332" s="33">
        <f>SUM(Q326:Q331)</f>
        <v>439.96</v>
      </c>
      <c r="J332" s="29">
        <f>Source!BZ204</f>
        <v>95</v>
      </c>
      <c r="K332" s="33">
        <f>SUM(R326:R331)</f>
        <v>6758.32</v>
      </c>
    </row>
    <row r="333" spans="1:27" ht="14.25" x14ac:dyDescent="0.2">
      <c r="A333" s="27"/>
      <c r="B333" s="28"/>
      <c r="C333" s="28" t="s">
        <v>497</v>
      </c>
      <c r="D333" s="30" t="s">
        <v>496</v>
      </c>
      <c r="E333" s="29">
        <f>Source!DO204</f>
        <v>70</v>
      </c>
      <c r="F333" s="32"/>
      <c r="G333" s="31"/>
      <c r="H333" s="29"/>
      <c r="I333" s="33">
        <f>SUM(S326:S332)</f>
        <v>274.97000000000003</v>
      </c>
      <c r="J333" s="29">
        <f>Source!CA204</f>
        <v>46</v>
      </c>
      <c r="K333" s="33">
        <f>SUM(T326:T332)</f>
        <v>3272.45</v>
      </c>
    </row>
    <row r="334" spans="1:27" ht="14.25" x14ac:dyDescent="0.2">
      <c r="A334" s="27"/>
      <c r="B334" s="28"/>
      <c r="C334" s="28" t="s">
        <v>498</v>
      </c>
      <c r="D334" s="30" t="s">
        <v>496</v>
      </c>
      <c r="E334" s="29">
        <f>175</f>
        <v>175</v>
      </c>
      <c r="F334" s="32"/>
      <c r="G334" s="31"/>
      <c r="H334" s="29"/>
      <c r="I334" s="33">
        <f>SUM(U326:U333)</f>
        <v>271.16000000000003</v>
      </c>
      <c r="J334" s="29">
        <f>167</f>
        <v>167</v>
      </c>
      <c r="K334" s="33">
        <f>SUM(V326:V333)</f>
        <v>4686.3500000000004</v>
      </c>
    </row>
    <row r="335" spans="1:27" ht="14.25" x14ac:dyDescent="0.2">
      <c r="A335" s="27"/>
      <c r="B335" s="28"/>
      <c r="C335" s="28" t="s">
        <v>499</v>
      </c>
      <c r="D335" s="30" t="s">
        <v>500</v>
      </c>
      <c r="E335" s="29">
        <f>Source!AQ204</f>
        <v>11.8</v>
      </c>
      <c r="F335" s="32"/>
      <c r="G335" s="31" t="str">
        <f>Source!DI204</f>
        <v/>
      </c>
      <c r="H335" s="29">
        <f>Source!AV204</f>
        <v>1</v>
      </c>
      <c r="I335" s="33">
        <f>Source!U204</f>
        <v>31.860000000000003</v>
      </c>
      <c r="J335" s="29"/>
      <c r="K335" s="33"/>
    </row>
    <row r="336" spans="1:27" ht="15" x14ac:dyDescent="0.25">
      <c r="A336" s="38"/>
      <c r="B336" s="38"/>
      <c r="C336" s="38"/>
      <c r="D336" s="38"/>
      <c r="E336" s="38"/>
      <c r="F336" s="38"/>
      <c r="G336" s="38"/>
      <c r="H336" s="39">
        <f>I328+I329+I331+I332+I333+I334</f>
        <v>2392.0299999999997</v>
      </c>
      <c r="I336" s="39"/>
      <c r="J336" s="39">
        <f>K328+K329+K331+K332+K333+K334</f>
        <v>29332.260000000002</v>
      </c>
      <c r="K336" s="39"/>
      <c r="O336" s="36">
        <f>I328+I329+I331+I332+I333+I334</f>
        <v>2392.0299999999997</v>
      </c>
      <c r="P336" s="36">
        <f>K328+K329+K331+K332+K333+K334</f>
        <v>29332.260000000002</v>
      </c>
      <c r="X336">
        <f>IF(Source!BI204&lt;=1,I328+I329+I331+I332+I333+I334-0, 0)</f>
        <v>0</v>
      </c>
      <c r="Y336">
        <f>IF(Source!BI204=2,I328+I329+I331+I332+I333+I334-0, 0)</f>
        <v>2392.0299999999997</v>
      </c>
      <c r="Z336">
        <f>IF(Source!BI204=3,I328+I329+I331+I332+I333+I334-0, 0)</f>
        <v>0</v>
      </c>
      <c r="AA336">
        <f>IF(Source!BI204=4,I328+I329+I331+I332+I333+I334,0)</f>
        <v>0</v>
      </c>
    </row>
    <row r="337" spans="1:27" ht="42.75" x14ac:dyDescent="0.2">
      <c r="A337" s="27" t="str">
        <f>Source!E205</f>
        <v>36</v>
      </c>
      <c r="B337" s="28" t="str">
        <f>Source!F205</f>
        <v>4.8-80-2</v>
      </c>
      <c r="C337" s="28" t="str">
        <f>Source!G205</f>
        <v>Кабели до 35 кВ в проложенных трубах, блоках и коробах, кабель, масса 1 м, до 2 кг</v>
      </c>
      <c r="D337" s="30" t="str">
        <f>Source!H205</f>
        <v>100 М КАБЕЛЯ</v>
      </c>
      <c r="E337" s="29">
        <f>Source!I205</f>
        <v>0.5</v>
      </c>
      <c r="F337" s="32"/>
      <c r="G337" s="31"/>
      <c r="H337" s="29"/>
      <c r="I337" s="33"/>
      <c r="J337" s="29"/>
      <c r="K337" s="33"/>
      <c r="Q337">
        <f>ROUND((Source!DN205/100)*ROUND((Source!AF205*Source!AV205)*Source!I205, 2), 2)</f>
        <v>109.1</v>
      </c>
      <c r="R337">
        <f>Source!X205</f>
        <v>1675.8</v>
      </c>
      <c r="S337">
        <f>ROUND((Source!DO205/100)*ROUND((Source!AF205*Source!AV205)*Source!I205, 2), 2)</f>
        <v>68.19</v>
      </c>
      <c r="T337">
        <f>Source!Y205</f>
        <v>811.44</v>
      </c>
      <c r="U337">
        <f>ROUND((175/100)*ROUND((Source!AE205*Source!AV205)*Source!I205, 2), 2)</f>
        <v>9.07</v>
      </c>
      <c r="V337">
        <f>ROUND((167/100)*ROUND(Source!CS205*Source!I205, 2), 2)</f>
        <v>156.66</v>
      </c>
    </row>
    <row r="338" spans="1:27" x14ac:dyDescent="0.2">
      <c r="C338" s="34" t="str">
        <f>"Объем: "&amp;Source!I205&amp;"=50/"&amp;"100"</f>
        <v>Объем: 0,5=50/100</v>
      </c>
    </row>
    <row r="339" spans="1:27" ht="14.25" x14ac:dyDescent="0.2">
      <c r="A339" s="27"/>
      <c r="B339" s="28"/>
      <c r="C339" s="28" t="s">
        <v>492</v>
      </c>
      <c r="D339" s="30"/>
      <c r="E339" s="29"/>
      <c r="F339" s="32">
        <f>Source!AO205</f>
        <v>194.81</v>
      </c>
      <c r="G339" s="31" t="str">
        <f>Source!DG205</f>
        <v/>
      </c>
      <c r="H339" s="29">
        <f>Source!AV205</f>
        <v>1</v>
      </c>
      <c r="I339" s="33">
        <f>ROUND((Source!AF205*Source!AV205)*Source!I205, 2)</f>
        <v>97.41</v>
      </c>
      <c r="J339" s="29">
        <f>IF(Source!BA205&lt;&gt; 0, Source!BA205, 1)</f>
        <v>18.11</v>
      </c>
      <c r="K339" s="33">
        <f>Source!S205</f>
        <v>1764</v>
      </c>
      <c r="W339">
        <f>I339</f>
        <v>97.41</v>
      </c>
    </row>
    <row r="340" spans="1:27" ht="14.25" x14ac:dyDescent="0.2">
      <c r="A340" s="27"/>
      <c r="B340" s="28"/>
      <c r="C340" s="28" t="s">
        <v>493</v>
      </c>
      <c r="D340" s="30"/>
      <c r="E340" s="29"/>
      <c r="F340" s="32">
        <f>Source!AM205</f>
        <v>46.11</v>
      </c>
      <c r="G340" s="31" t="str">
        <f>Source!DE205</f>
        <v/>
      </c>
      <c r="H340" s="29">
        <f>Source!AV205</f>
        <v>1</v>
      </c>
      <c r="I340" s="33">
        <f>ROUND(((((Source!ET205)-(Source!EU205))+Source!AE205)*Source!AV205)*Source!I205, 2)</f>
        <v>23.06</v>
      </c>
      <c r="J340" s="29">
        <f>IF(Source!BB205&lt;&gt; 0, Source!BB205, 1)</f>
        <v>8.34</v>
      </c>
      <c r="K340" s="33">
        <f>Source!Q205</f>
        <v>192.28</v>
      </c>
    </row>
    <row r="341" spans="1:27" ht="14.25" x14ac:dyDescent="0.2">
      <c r="A341" s="27"/>
      <c r="B341" s="28"/>
      <c r="C341" s="28" t="s">
        <v>494</v>
      </c>
      <c r="D341" s="30"/>
      <c r="E341" s="29"/>
      <c r="F341" s="32">
        <f>Source!AN205</f>
        <v>10.36</v>
      </c>
      <c r="G341" s="31" t="str">
        <f>Source!DF205</f>
        <v/>
      </c>
      <c r="H341" s="29">
        <f>Source!AV205</f>
        <v>1</v>
      </c>
      <c r="I341" s="35">
        <f>ROUND((Source!AE205*Source!AV205)*Source!I205, 2)</f>
        <v>5.18</v>
      </c>
      <c r="J341" s="29">
        <f>IF(Source!BS205&lt;&gt; 0, Source!BS205, 1)</f>
        <v>18.11</v>
      </c>
      <c r="K341" s="35">
        <f>Source!R205</f>
        <v>93.81</v>
      </c>
      <c r="W341">
        <f>I341</f>
        <v>5.18</v>
      </c>
    </row>
    <row r="342" spans="1:27" ht="14.25" x14ac:dyDescent="0.2">
      <c r="A342" s="27"/>
      <c r="B342" s="28"/>
      <c r="C342" s="28" t="s">
        <v>501</v>
      </c>
      <c r="D342" s="30"/>
      <c r="E342" s="29"/>
      <c r="F342" s="32">
        <f>Source!AL205</f>
        <v>36.049999999999997</v>
      </c>
      <c r="G342" s="31" t="str">
        <f>Source!DD205</f>
        <v/>
      </c>
      <c r="H342" s="29">
        <f>Source!AW205</f>
        <v>1</v>
      </c>
      <c r="I342" s="33">
        <f>ROUND((Source!AC205*Source!AW205)*Source!I205, 2)</f>
        <v>18.03</v>
      </c>
      <c r="J342" s="29">
        <f>IF(Source!BC205&lt;&gt; 0, Source!BC205, 1)</f>
        <v>5.07</v>
      </c>
      <c r="K342" s="33">
        <f>Source!P205</f>
        <v>91.39</v>
      </c>
    </row>
    <row r="343" spans="1:27" ht="14.25" x14ac:dyDescent="0.2">
      <c r="A343" s="27"/>
      <c r="B343" s="28"/>
      <c r="C343" s="28" t="s">
        <v>495</v>
      </c>
      <c r="D343" s="30" t="s">
        <v>496</v>
      </c>
      <c r="E343" s="29">
        <f>Source!DN205</f>
        <v>112</v>
      </c>
      <c r="F343" s="32"/>
      <c r="G343" s="31"/>
      <c r="H343" s="29"/>
      <c r="I343" s="33">
        <f>SUM(Q337:Q342)</f>
        <v>109.1</v>
      </c>
      <c r="J343" s="29">
        <f>Source!BZ205</f>
        <v>95</v>
      </c>
      <c r="K343" s="33">
        <f>SUM(R337:R342)</f>
        <v>1675.8</v>
      </c>
    </row>
    <row r="344" spans="1:27" ht="14.25" x14ac:dyDescent="0.2">
      <c r="A344" s="27"/>
      <c r="B344" s="28"/>
      <c r="C344" s="28" t="s">
        <v>497</v>
      </c>
      <c r="D344" s="30" t="s">
        <v>496</v>
      </c>
      <c r="E344" s="29">
        <f>Source!DO205</f>
        <v>70</v>
      </c>
      <c r="F344" s="32"/>
      <c r="G344" s="31"/>
      <c r="H344" s="29"/>
      <c r="I344" s="33">
        <f>SUM(S337:S343)</f>
        <v>68.19</v>
      </c>
      <c r="J344" s="29">
        <f>Source!CA205</f>
        <v>46</v>
      </c>
      <c r="K344" s="33">
        <f>SUM(T337:T343)</f>
        <v>811.44</v>
      </c>
    </row>
    <row r="345" spans="1:27" ht="14.25" x14ac:dyDescent="0.2">
      <c r="A345" s="27"/>
      <c r="B345" s="28"/>
      <c r="C345" s="28" t="s">
        <v>498</v>
      </c>
      <c r="D345" s="30" t="s">
        <v>496</v>
      </c>
      <c r="E345" s="29">
        <f>175</f>
        <v>175</v>
      </c>
      <c r="F345" s="32"/>
      <c r="G345" s="31"/>
      <c r="H345" s="29"/>
      <c r="I345" s="33">
        <f>SUM(U337:U344)</f>
        <v>9.07</v>
      </c>
      <c r="J345" s="29">
        <f>167</f>
        <v>167</v>
      </c>
      <c r="K345" s="33">
        <f>SUM(V337:V344)</f>
        <v>156.66</v>
      </c>
    </row>
    <row r="346" spans="1:27" ht="14.25" x14ac:dyDescent="0.2">
      <c r="A346" s="27"/>
      <c r="B346" s="28"/>
      <c r="C346" s="28" t="s">
        <v>499</v>
      </c>
      <c r="D346" s="30" t="s">
        <v>500</v>
      </c>
      <c r="E346" s="29">
        <f>Source!AQ205</f>
        <v>15.8</v>
      </c>
      <c r="F346" s="32"/>
      <c r="G346" s="31" t="str">
        <f>Source!DI205</f>
        <v/>
      </c>
      <c r="H346" s="29">
        <f>Source!AV205</f>
        <v>1</v>
      </c>
      <c r="I346" s="33">
        <f>Source!U205</f>
        <v>7.9</v>
      </c>
      <c r="J346" s="29"/>
      <c r="K346" s="33"/>
    </row>
    <row r="347" spans="1:27" ht="15" x14ac:dyDescent="0.25">
      <c r="A347" s="38"/>
      <c r="B347" s="38"/>
      <c r="C347" s="38"/>
      <c r="D347" s="38"/>
      <c r="E347" s="38"/>
      <c r="F347" s="38"/>
      <c r="G347" s="38"/>
      <c r="H347" s="39">
        <f>I339+I340+I342+I343+I344+I345</f>
        <v>324.85999999999996</v>
      </c>
      <c r="I347" s="39"/>
      <c r="J347" s="39">
        <f>K339+K340+K342+K343+K344+K345</f>
        <v>4691.57</v>
      </c>
      <c r="K347" s="39"/>
      <c r="O347" s="36">
        <f>I339+I340+I342+I343+I344+I345</f>
        <v>324.85999999999996</v>
      </c>
      <c r="P347" s="36">
        <f>K339+K340+K342+K343+K344+K345</f>
        <v>4691.57</v>
      </c>
      <c r="X347">
        <f>IF(Source!BI205&lt;=1,I339+I340+I342+I343+I344+I345-0, 0)</f>
        <v>0</v>
      </c>
      <c r="Y347">
        <f>IF(Source!BI205=2,I339+I340+I342+I343+I344+I345-0, 0)</f>
        <v>324.85999999999996</v>
      </c>
      <c r="Z347">
        <f>IF(Source!BI205=3,I339+I340+I342+I343+I344+I345-0, 0)</f>
        <v>0</v>
      </c>
      <c r="AA347">
        <f>IF(Source!BI205=4,I339+I340+I342+I343+I344+I345,0)</f>
        <v>0</v>
      </c>
    </row>
    <row r="348" spans="1:27" ht="57" x14ac:dyDescent="0.2">
      <c r="A348" s="27" t="str">
        <f>Source!E206</f>
        <v>37</v>
      </c>
      <c r="B348" s="28" t="str">
        <f>Source!F206</f>
        <v>4.8-79-11</v>
      </c>
      <c r="C348" s="28" t="str">
        <f>Source!G206</f>
        <v>Кабели до 35 кВ, прокладываемые по установленным конструкциям и лоткам, кабель с креплением по всей длине, масса 1 м, до 2 кг</v>
      </c>
      <c r="D348" s="30" t="str">
        <f>Source!H206</f>
        <v>100 М КАБЕЛЯ</v>
      </c>
      <c r="E348" s="29">
        <f>Source!I206</f>
        <v>0.2</v>
      </c>
      <c r="F348" s="32"/>
      <c r="G348" s="31"/>
      <c r="H348" s="29"/>
      <c r="I348" s="33"/>
      <c r="J348" s="29"/>
      <c r="K348" s="33"/>
      <c r="Q348">
        <f>ROUND((Source!DN206/100)*ROUND((Source!AF206*Source!AV206)*Source!I206, 2), 2)</f>
        <v>54.81</v>
      </c>
      <c r="R348">
        <f>Source!X206</f>
        <v>842</v>
      </c>
      <c r="S348">
        <f>ROUND((Source!DO206/100)*ROUND((Source!AF206*Source!AV206)*Source!I206, 2), 2)</f>
        <v>34.26</v>
      </c>
      <c r="T348">
        <f>Source!Y206</f>
        <v>407.71</v>
      </c>
      <c r="U348">
        <f>ROUND((175/100)*ROUND((Source!AE206*Source!AV206)*Source!I206, 2), 2)</f>
        <v>30.77</v>
      </c>
      <c r="V348">
        <f>ROUND((167/100)*ROUND(Source!CS206*Source!I206, 2), 2)</f>
        <v>531.74</v>
      </c>
    </row>
    <row r="349" spans="1:27" x14ac:dyDescent="0.2">
      <c r="C349" s="34" t="str">
        <f>"Объем: "&amp;Source!I206&amp;"=20/"&amp;"100"</f>
        <v>Объем: 0,2=20/100</v>
      </c>
    </row>
    <row r="350" spans="1:27" ht="14.25" x14ac:dyDescent="0.2">
      <c r="A350" s="27"/>
      <c r="B350" s="28"/>
      <c r="C350" s="28" t="s">
        <v>492</v>
      </c>
      <c r="D350" s="30"/>
      <c r="E350" s="29"/>
      <c r="F350" s="32">
        <f>Source!AO206</f>
        <v>229.34</v>
      </c>
      <c r="G350" s="31" t="str">
        <f>Source!DG206</f>
        <v/>
      </c>
      <c r="H350" s="29">
        <f>Source!AV206</f>
        <v>1.0669999999999999</v>
      </c>
      <c r="I350" s="33">
        <f>ROUND((Source!AF206*Source!AV206)*Source!I206, 2)</f>
        <v>48.94</v>
      </c>
      <c r="J350" s="29">
        <f>IF(Source!BA206&lt;&gt; 0, Source!BA206, 1)</f>
        <v>18.11</v>
      </c>
      <c r="K350" s="33">
        <f>Source!S206</f>
        <v>886.32</v>
      </c>
      <c r="W350">
        <f>I350</f>
        <v>48.94</v>
      </c>
    </row>
    <row r="351" spans="1:27" ht="14.25" x14ac:dyDescent="0.2">
      <c r="A351" s="27"/>
      <c r="B351" s="28"/>
      <c r="C351" s="28" t="s">
        <v>493</v>
      </c>
      <c r="D351" s="30"/>
      <c r="E351" s="29"/>
      <c r="F351" s="32">
        <f>Source!AM206</f>
        <v>517.55999999999995</v>
      </c>
      <c r="G351" s="31" t="str">
        <f>Source!DE206</f>
        <v/>
      </c>
      <c r="H351" s="29">
        <f>Source!AV206</f>
        <v>1.0669999999999999</v>
      </c>
      <c r="I351" s="33">
        <f>ROUND(((((Source!ET206)-(Source!EU206))+Source!AE206)*Source!AV206)*Source!I206, 2)</f>
        <v>110.45</v>
      </c>
      <c r="J351" s="29">
        <f>IF(Source!BB206&lt;&gt; 0, Source!BB206, 1)</f>
        <v>7.52</v>
      </c>
      <c r="K351" s="33">
        <f>Source!Q206</f>
        <v>830.56</v>
      </c>
    </row>
    <row r="352" spans="1:27" ht="14.25" x14ac:dyDescent="0.2">
      <c r="A352" s="27"/>
      <c r="B352" s="28"/>
      <c r="C352" s="28" t="s">
        <v>494</v>
      </c>
      <c r="D352" s="30"/>
      <c r="E352" s="29"/>
      <c r="F352" s="32">
        <f>Source!AN206</f>
        <v>82.39</v>
      </c>
      <c r="G352" s="31" t="str">
        <f>Source!DF206</f>
        <v/>
      </c>
      <c r="H352" s="29">
        <f>Source!AV206</f>
        <v>1.0669999999999999</v>
      </c>
      <c r="I352" s="35">
        <f>ROUND((Source!AE206*Source!AV206)*Source!I206, 2)</f>
        <v>17.579999999999998</v>
      </c>
      <c r="J352" s="29">
        <f>IF(Source!BS206&lt;&gt; 0, Source!BS206, 1)</f>
        <v>18.11</v>
      </c>
      <c r="K352" s="35">
        <f>Source!R206</f>
        <v>318.41000000000003</v>
      </c>
      <c r="W352">
        <f>I352</f>
        <v>17.579999999999998</v>
      </c>
    </row>
    <row r="353" spans="1:27" ht="14.25" x14ac:dyDescent="0.2">
      <c r="A353" s="27"/>
      <c r="B353" s="28"/>
      <c r="C353" s="28" t="s">
        <v>501</v>
      </c>
      <c r="D353" s="30"/>
      <c r="E353" s="29"/>
      <c r="F353" s="32">
        <f>Source!AL206</f>
        <v>38.08</v>
      </c>
      <c r="G353" s="31" t="str">
        <f>Source!DD206</f>
        <v/>
      </c>
      <c r="H353" s="29">
        <f>Source!AW206</f>
        <v>1.081</v>
      </c>
      <c r="I353" s="33">
        <f>ROUND((Source!AC206*Source!AW206)*Source!I206, 2)</f>
        <v>8.23</v>
      </c>
      <c r="J353" s="29">
        <f>IF(Source!BC206&lt;&gt; 0, Source!BC206, 1)</f>
        <v>5.07</v>
      </c>
      <c r="K353" s="33">
        <f>Source!P206</f>
        <v>41.74</v>
      </c>
    </row>
    <row r="354" spans="1:27" ht="14.25" x14ac:dyDescent="0.2">
      <c r="A354" s="27"/>
      <c r="B354" s="28"/>
      <c r="C354" s="28" t="s">
        <v>495</v>
      </c>
      <c r="D354" s="30" t="s">
        <v>496</v>
      </c>
      <c r="E354" s="29">
        <f>Source!DN206</f>
        <v>112</v>
      </c>
      <c r="F354" s="32"/>
      <c r="G354" s="31"/>
      <c r="H354" s="29"/>
      <c r="I354" s="33">
        <f>SUM(Q348:Q353)</f>
        <v>54.81</v>
      </c>
      <c r="J354" s="29">
        <f>Source!BZ206</f>
        <v>95</v>
      </c>
      <c r="K354" s="33">
        <f>SUM(R348:R353)</f>
        <v>842</v>
      </c>
    </row>
    <row r="355" spans="1:27" ht="14.25" x14ac:dyDescent="0.2">
      <c r="A355" s="27"/>
      <c r="B355" s="28"/>
      <c r="C355" s="28" t="s">
        <v>497</v>
      </c>
      <c r="D355" s="30" t="s">
        <v>496</v>
      </c>
      <c r="E355" s="29">
        <f>Source!DO206</f>
        <v>70</v>
      </c>
      <c r="F355" s="32"/>
      <c r="G355" s="31"/>
      <c r="H355" s="29"/>
      <c r="I355" s="33">
        <f>SUM(S348:S354)</f>
        <v>34.26</v>
      </c>
      <c r="J355" s="29">
        <f>Source!CA206</f>
        <v>46</v>
      </c>
      <c r="K355" s="33">
        <f>SUM(T348:T354)</f>
        <v>407.71</v>
      </c>
    </row>
    <row r="356" spans="1:27" ht="14.25" x14ac:dyDescent="0.2">
      <c r="A356" s="27"/>
      <c r="B356" s="28"/>
      <c r="C356" s="28" t="s">
        <v>498</v>
      </c>
      <c r="D356" s="30" t="s">
        <v>496</v>
      </c>
      <c r="E356" s="29">
        <f>175</f>
        <v>175</v>
      </c>
      <c r="F356" s="32"/>
      <c r="G356" s="31"/>
      <c r="H356" s="29"/>
      <c r="I356" s="33">
        <f>SUM(U348:U355)</f>
        <v>30.77</v>
      </c>
      <c r="J356" s="29">
        <f>167</f>
        <v>167</v>
      </c>
      <c r="K356" s="33">
        <f>SUM(V348:V355)</f>
        <v>531.74</v>
      </c>
    </row>
    <row r="357" spans="1:27" ht="14.25" x14ac:dyDescent="0.2">
      <c r="A357" s="27"/>
      <c r="B357" s="28"/>
      <c r="C357" s="28" t="s">
        <v>499</v>
      </c>
      <c r="D357" s="30" t="s">
        <v>500</v>
      </c>
      <c r="E357" s="29">
        <f>Source!AQ206</f>
        <v>18.600000000000001</v>
      </c>
      <c r="F357" s="32"/>
      <c r="G357" s="31" t="str">
        <f>Source!DI206</f>
        <v/>
      </c>
      <c r="H357" s="29">
        <f>Source!AV206</f>
        <v>1.0669999999999999</v>
      </c>
      <c r="I357" s="33">
        <f>Source!U206</f>
        <v>3.9692400000000001</v>
      </c>
      <c r="J357" s="29"/>
      <c r="K357" s="33"/>
    </row>
    <row r="358" spans="1:27" ht="15" x14ac:dyDescent="0.25">
      <c r="A358" s="38"/>
      <c r="B358" s="38"/>
      <c r="C358" s="38"/>
      <c r="D358" s="38"/>
      <c r="E358" s="38"/>
      <c r="F358" s="38"/>
      <c r="G358" s="38"/>
      <c r="H358" s="39">
        <f>I350+I351+I353+I354+I355+I356</f>
        <v>287.45999999999998</v>
      </c>
      <c r="I358" s="39"/>
      <c r="J358" s="39">
        <f>K350+K351+K353+K354+K355+K356</f>
        <v>3540.0699999999997</v>
      </c>
      <c r="K358" s="39"/>
      <c r="O358" s="36">
        <f>I350+I351+I353+I354+I355+I356</f>
        <v>287.45999999999998</v>
      </c>
      <c r="P358" s="36">
        <f>K350+K351+K353+K354+K355+K356</f>
        <v>3540.0699999999997</v>
      </c>
      <c r="X358">
        <f>IF(Source!BI206&lt;=1,I350+I351+I353+I354+I355+I356-0, 0)</f>
        <v>0</v>
      </c>
      <c r="Y358">
        <f>IF(Source!BI206=2,I350+I351+I353+I354+I355+I356-0, 0)</f>
        <v>287.45999999999998</v>
      </c>
      <c r="Z358">
        <f>IF(Source!BI206=3,I350+I351+I353+I354+I355+I356-0, 0)</f>
        <v>0</v>
      </c>
      <c r="AA358">
        <f>IF(Source!BI206=4,I350+I351+I353+I354+I355+I356,0)</f>
        <v>0</v>
      </c>
    </row>
    <row r="359" spans="1:27" ht="42.75" x14ac:dyDescent="0.2">
      <c r="A359" s="27" t="str">
        <f>Source!E207</f>
        <v>38</v>
      </c>
      <c r="B359" s="28" t="str">
        <f>Source!F207</f>
        <v>Цена поставщика</v>
      </c>
      <c r="C359" s="28" t="str">
        <f>Source!G207</f>
        <v>Кабель ПвБбШп-1 5х10, ООО "КабельСтар"</v>
      </c>
      <c r="D359" s="30" t="str">
        <f>Source!H207</f>
        <v>м</v>
      </c>
      <c r="E359" s="29">
        <f>Source!I207</f>
        <v>346.8</v>
      </c>
      <c r="F359" s="32">
        <f>Source!AL207</f>
        <v>65.400000000000006</v>
      </c>
      <c r="G359" s="31" t="str">
        <f>Source!DD207</f>
        <v/>
      </c>
      <c r="H359" s="29">
        <f>Source!AW207</f>
        <v>1</v>
      </c>
      <c r="I359" s="33">
        <f>ROUND(Source!AC207*Source!I207, 2)</f>
        <v>22680.720000000001</v>
      </c>
      <c r="J359" s="29">
        <f>IF(Source!BC207&lt;&gt; 0, Source!BC207, 1)</f>
        <v>5.07</v>
      </c>
      <c r="K359" s="33">
        <f>Source!P207</f>
        <v>114991.25</v>
      </c>
      <c r="Q359">
        <f>ROUND((Source!DN207/100)*ROUND(Source!AF207*Source!I207, 2), 2)</f>
        <v>0</v>
      </c>
      <c r="R359">
        <f>Source!X207</f>
        <v>0</v>
      </c>
      <c r="S359">
        <f>ROUND((Source!DO207/100)*ROUND(Source!AF207*Source!I207, 2), 2)</f>
        <v>0</v>
      </c>
      <c r="T359">
        <f>Source!Y207</f>
        <v>0</v>
      </c>
      <c r="U359">
        <f>ROUND((175/100)*ROUND(Source!AE207*Source!I207, 2), 2)</f>
        <v>0</v>
      </c>
      <c r="V359">
        <f>ROUND((167/100)*ROUND(Source!CS207*Source!I207, 2), 2)</f>
        <v>0</v>
      </c>
    </row>
    <row r="360" spans="1:27" x14ac:dyDescent="0.2">
      <c r="C360" s="34" t="str">
        <f>"Объем: "&amp;Source!I207&amp;"=340*"&amp;"1,02"</f>
        <v>Объем: 346,8=340*1,02</v>
      </c>
    </row>
    <row r="361" spans="1:27" ht="15" x14ac:dyDescent="0.25">
      <c r="A361" s="38"/>
      <c r="B361" s="38"/>
      <c r="C361" s="38"/>
      <c r="D361" s="38"/>
      <c r="E361" s="38"/>
      <c r="F361" s="38"/>
      <c r="G361" s="38"/>
      <c r="H361" s="39">
        <f>I359</f>
        <v>22680.720000000001</v>
      </c>
      <c r="I361" s="39"/>
      <c r="J361" s="39">
        <f>K359</f>
        <v>114991.25</v>
      </c>
      <c r="K361" s="39"/>
      <c r="O361" s="36">
        <f>I359</f>
        <v>22680.720000000001</v>
      </c>
      <c r="P361" s="36">
        <f>K359</f>
        <v>114991.25</v>
      </c>
      <c r="X361">
        <f>IF(Source!BI207&lt;=1,I359-0, 0)</f>
        <v>0</v>
      </c>
      <c r="Y361">
        <f>IF(Source!BI207=2,I359-0, 0)</f>
        <v>22680.720000000001</v>
      </c>
      <c r="Z361">
        <f>IF(Source!BI207=3,I359-0, 0)</f>
        <v>0</v>
      </c>
      <c r="AA361">
        <f>IF(Source!BI207=4,I359,0)</f>
        <v>0</v>
      </c>
    </row>
    <row r="362" spans="1:27" ht="28.5" x14ac:dyDescent="0.2">
      <c r="A362" s="27" t="str">
        <f>Source!E208</f>
        <v>39</v>
      </c>
      <c r="B362" s="28" t="str">
        <f>Source!F208</f>
        <v>4.8-73-1</v>
      </c>
      <c r="C362" s="28" t="str">
        <f>Source!G208</f>
        <v>Кабели до 35 кВ в готовых траншеях без покрытий, кабель массой до 1 кг</v>
      </c>
      <c r="D362" s="30" t="str">
        <f>Source!H208</f>
        <v>100 М КАБЕЛЯ</v>
      </c>
      <c r="E362" s="29">
        <f>Source!I208</f>
        <v>25.2</v>
      </c>
      <c r="F362" s="32"/>
      <c r="G362" s="31"/>
      <c r="H362" s="29"/>
      <c r="I362" s="33"/>
      <c r="J362" s="29"/>
      <c r="K362" s="33"/>
      <c r="Q362">
        <f>ROUND((Source!DN208/100)*ROUND((Source!AF208*Source!AV208)*Source!I208, 2), 2)</f>
        <v>4106.3100000000004</v>
      </c>
      <c r="R362">
        <f>Source!X208</f>
        <v>63077.68</v>
      </c>
      <c r="S362">
        <f>ROUND((Source!DO208/100)*ROUND((Source!AF208*Source!AV208)*Source!I208, 2), 2)</f>
        <v>2566.4499999999998</v>
      </c>
      <c r="T362">
        <f>Source!Y208</f>
        <v>30542.880000000001</v>
      </c>
      <c r="U362">
        <f>ROUND((175/100)*ROUND((Source!AE208*Source!AV208)*Source!I208, 2), 2)</f>
        <v>2392.4299999999998</v>
      </c>
      <c r="V362">
        <f>ROUND((167/100)*ROUND(Source!CS208*Source!I208, 2), 2)</f>
        <v>41346.160000000003</v>
      </c>
    </row>
    <row r="363" spans="1:27" x14ac:dyDescent="0.2">
      <c r="C363" s="34" t="str">
        <f>"Объем: "&amp;Source!I208&amp;"=2520/"&amp;"100"</f>
        <v>Объем: 25,2=2520/100</v>
      </c>
    </row>
    <row r="364" spans="1:27" ht="14.25" x14ac:dyDescent="0.2">
      <c r="A364" s="27"/>
      <c r="B364" s="28"/>
      <c r="C364" s="28" t="s">
        <v>492</v>
      </c>
      <c r="D364" s="30"/>
      <c r="E364" s="29"/>
      <c r="F364" s="32">
        <f>Source!AO208</f>
        <v>145.49</v>
      </c>
      <c r="G364" s="31" t="str">
        <f>Source!DG208</f>
        <v/>
      </c>
      <c r="H364" s="29">
        <f>Source!AV208</f>
        <v>1</v>
      </c>
      <c r="I364" s="33">
        <f>ROUND((Source!AF208*Source!AV208)*Source!I208, 2)</f>
        <v>3666.35</v>
      </c>
      <c r="J364" s="29">
        <f>IF(Source!BA208&lt;&gt; 0, Source!BA208, 1)</f>
        <v>18.11</v>
      </c>
      <c r="K364" s="33">
        <f>Source!S208</f>
        <v>66397.56</v>
      </c>
      <c r="W364">
        <f>I364</f>
        <v>3666.35</v>
      </c>
    </row>
    <row r="365" spans="1:27" ht="14.25" x14ac:dyDescent="0.2">
      <c r="A365" s="27"/>
      <c r="B365" s="28"/>
      <c r="C365" s="28" t="s">
        <v>493</v>
      </c>
      <c r="D365" s="30"/>
      <c r="E365" s="29"/>
      <c r="F365" s="32">
        <f>Source!AM208</f>
        <v>336.77</v>
      </c>
      <c r="G365" s="31" t="str">
        <f>Source!DE208</f>
        <v/>
      </c>
      <c r="H365" s="29">
        <f>Source!AV208</f>
        <v>1</v>
      </c>
      <c r="I365" s="33">
        <f>ROUND(((((Source!ET208)-(Source!EU208))+Source!AE208)*Source!AV208)*Source!I208, 2)</f>
        <v>8486.6</v>
      </c>
      <c r="J365" s="29">
        <f>IF(Source!BB208&lt;&gt; 0, Source!BB208, 1)</f>
        <v>7.54</v>
      </c>
      <c r="K365" s="33">
        <f>Source!Q208</f>
        <v>63988.99</v>
      </c>
    </row>
    <row r="366" spans="1:27" ht="14.25" x14ac:dyDescent="0.2">
      <c r="A366" s="27"/>
      <c r="B366" s="28"/>
      <c r="C366" s="28" t="s">
        <v>494</v>
      </c>
      <c r="D366" s="30"/>
      <c r="E366" s="29"/>
      <c r="F366" s="32">
        <f>Source!AN208</f>
        <v>54.25</v>
      </c>
      <c r="G366" s="31" t="str">
        <f>Source!DF208</f>
        <v/>
      </c>
      <c r="H366" s="29">
        <f>Source!AV208</f>
        <v>1</v>
      </c>
      <c r="I366" s="35">
        <f>ROUND((Source!AE208*Source!AV208)*Source!I208, 2)</f>
        <v>1367.1</v>
      </c>
      <c r="J366" s="29">
        <f>IF(Source!BS208&lt;&gt; 0, Source!BS208, 1)</f>
        <v>18.11</v>
      </c>
      <c r="K366" s="35">
        <f>Source!R208</f>
        <v>24758.18</v>
      </c>
      <c r="W366">
        <f>I366</f>
        <v>1367.1</v>
      </c>
    </row>
    <row r="367" spans="1:27" ht="14.25" x14ac:dyDescent="0.2">
      <c r="A367" s="27"/>
      <c r="B367" s="28"/>
      <c r="C367" s="28" t="s">
        <v>501</v>
      </c>
      <c r="D367" s="30"/>
      <c r="E367" s="29"/>
      <c r="F367" s="32">
        <f>Source!AL208</f>
        <v>24.99</v>
      </c>
      <c r="G367" s="31" t="str">
        <f>Source!DD208</f>
        <v/>
      </c>
      <c r="H367" s="29">
        <f>Source!AW208</f>
        <v>1</v>
      </c>
      <c r="I367" s="33">
        <f>ROUND((Source!AC208*Source!AW208)*Source!I208, 2)</f>
        <v>629.75</v>
      </c>
      <c r="J367" s="29">
        <f>IF(Source!BC208&lt;&gt; 0, Source!BC208, 1)</f>
        <v>5.07</v>
      </c>
      <c r="K367" s="33">
        <f>Source!P208</f>
        <v>3192.82</v>
      </c>
    </row>
    <row r="368" spans="1:27" ht="14.25" x14ac:dyDescent="0.2">
      <c r="A368" s="27"/>
      <c r="B368" s="28"/>
      <c r="C368" s="28" t="s">
        <v>495</v>
      </c>
      <c r="D368" s="30" t="s">
        <v>496</v>
      </c>
      <c r="E368" s="29">
        <f>Source!DN208</f>
        <v>112</v>
      </c>
      <c r="F368" s="32"/>
      <c r="G368" s="31"/>
      <c r="H368" s="29"/>
      <c r="I368" s="33">
        <f>SUM(Q362:Q367)</f>
        <v>4106.3100000000004</v>
      </c>
      <c r="J368" s="29">
        <f>Source!BZ208</f>
        <v>95</v>
      </c>
      <c r="K368" s="33">
        <f>SUM(R362:R367)</f>
        <v>63077.68</v>
      </c>
    </row>
    <row r="369" spans="1:27" ht="14.25" x14ac:dyDescent="0.2">
      <c r="A369" s="27"/>
      <c r="B369" s="28"/>
      <c r="C369" s="28" t="s">
        <v>497</v>
      </c>
      <c r="D369" s="30" t="s">
        <v>496</v>
      </c>
      <c r="E369" s="29">
        <f>Source!DO208</f>
        <v>70</v>
      </c>
      <c r="F369" s="32"/>
      <c r="G369" s="31"/>
      <c r="H369" s="29"/>
      <c r="I369" s="33">
        <f>SUM(S362:S368)</f>
        <v>2566.4499999999998</v>
      </c>
      <c r="J369" s="29">
        <f>Source!CA208</f>
        <v>46</v>
      </c>
      <c r="K369" s="33">
        <f>SUM(T362:T368)</f>
        <v>30542.880000000001</v>
      </c>
    </row>
    <row r="370" spans="1:27" ht="14.25" x14ac:dyDescent="0.2">
      <c r="A370" s="27"/>
      <c r="B370" s="28"/>
      <c r="C370" s="28" t="s">
        <v>498</v>
      </c>
      <c r="D370" s="30" t="s">
        <v>496</v>
      </c>
      <c r="E370" s="29">
        <f>175</f>
        <v>175</v>
      </c>
      <c r="F370" s="32"/>
      <c r="G370" s="31"/>
      <c r="H370" s="29"/>
      <c r="I370" s="33">
        <f>SUM(U362:U369)</f>
        <v>2392.4299999999998</v>
      </c>
      <c r="J370" s="29">
        <f>167</f>
        <v>167</v>
      </c>
      <c r="K370" s="33">
        <f>SUM(V362:V369)</f>
        <v>41346.160000000003</v>
      </c>
    </row>
    <row r="371" spans="1:27" ht="14.25" x14ac:dyDescent="0.2">
      <c r="A371" s="27"/>
      <c r="B371" s="28"/>
      <c r="C371" s="28" t="s">
        <v>499</v>
      </c>
      <c r="D371" s="30" t="s">
        <v>500</v>
      </c>
      <c r="E371" s="29">
        <f>Source!AQ208</f>
        <v>11.8</v>
      </c>
      <c r="F371" s="32"/>
      <c r="G371" s="31" t="str">
        <f>Source!DI208</f>
        <v/>
      </c>
      <c r="H371" s="29">
        <f>Source!AV208</f>
        <v>1</v>
      </c>
      <c r="I371" s="33">
        <f>Source!U208</f>
        <v>297.36</v>
      </c>
      <c r="J371" s="29"/>
      <c r="K371" s="33"/>
    </row>
    <row r="372" spans="1:27" ht="15" x14ac:dyDescent="0.25">
      <c r="A372" s="38"/>
      <c r="B372" s="38"/>
      <c r="C372" s="38"/>
      <c r="D372" s="38"/>
      <c r="E372" s="38"/>
      <c r="F372" s="38"/>
      <c r="G372" s="38"/>
      <c r="H372" s="39">
        <f>I364+I365+I367+I368+I369+I370</f>
        <v>21847.890000000003</v>
      </c>
      <c r="I372" s="39"/>
      <c r="J372" s="39">
        <f>K364+K365+K367+K368+K369+K370</f>
        <v>268546.08999999997</v>
      </c>
      <c r="K372" s="39"/>
      <c r="O372" s="36">
        <f>I364+I365+I367+I368+I369+I370</f>
        <v>21847.890000000003</v>
      </c>
      <c r="P372" s="36">
        <f>K364+K365+K367+K368+K369+K370</f>
        <v>268546.08999999997</v>
      </c>
      <c r="X372">
        <f>IF(Source!BI208&lt;=1,I364+I365+I367+I368+I369+I370-0, 0)</f>
        <v>0</v>
      </c>
      <c r="Y372">
        <f>IF(Source!BI208=2,I364+I365+I367+I368+I369+I370-0, 0)</f>
        <v>21847.890000000003</v>
      </c>
      <c r="Z372">
        <f>IF(Source!BI208=3,I364+I365+I367+I368+I369+I370-0, 0)</f>
        <v>0</v>
      </c>
      <c r="AA372">
        <f>IF(Source!BI208=4,I364+I365+I367+I368+I369+I370,0)</f>
        <v>0</v>
      </c>
    </row>
    <row r="373" spans="1:27" ht="42.75" x14ac:dyDescent="0.2">
      <c r="A373" s="27" t="str">
        <f>Source!E209</f>
        <v>40</v>
      </c>
      <c r="B373" s="28" t="str">
        <f>Source!F209</f>
        <v>4.8-80-1</v>
      </c>
      <c r="C373" s="28" t="str">
        <f>Source!G209</f>
        <v>Кабели до 35 кВ в проложенных трубах, блоках и коробах, кабель, масса 1 м, до 1 кг</v>
      </c>
      <c r="D373" s="30" t="str">
        <f>Source!H209</f>
        <v>100 М КАБЕЛЯ</v>
      </c>
      <c r="E373" s="29">
        <f>Source!I209</f>
        <v>10.5</v>
      </c>
      <c r="F373" s="32"/>
      <c r="G373" s="31"/>
      <c r="H373" s="29"/>
      <c r="I373" s="33"/>
      <c r="J373" s="29"/>
      <c r="K373" s="33"/>
      <c r="Q373">
        <f>ROUND((Source!DN209/100)*ROUND((Source!AF209*Source!AV209)*Source!I209, 2), 2)</f>
        <v>1551.5</v>
      </c>
      <c r="R373">
        <f>Source!X209</f>
        <v>23832.79</v>
      </c>
      <c r="S373">
        <f>ROUND((Source!DO209/100)*ROUND((Source!AF209*Source!AV209)*Source!I209, 2), 2)</f>
        <v>969.69</v>
      </c>
      <c r="T373">
        <f>Source!Y209</f>
        <v>11540.09</v>
      </c>
      <c r="U373">
        <f>ROUND((175/100)*ROUND((Source!AE209*Source!AV209)*Source!I209, 2), 2)</f>
        <v>130.66</v>
      </c>
      <c r="V373">
        <f>ROUND((167/100)*ROUND(Source!CS209*Source!I209, 2), 2)</f>
        <v>2257.84</v>
      </c>
    </row>
    <row r="374" spans="1:27" x14ac:dyDescent="0.2">
      <c r="C374" s="34" t="str">
        <f>"Объем: "&amp;Source!I209&amp;"=1050/"&amp;"100"</f>
        <v>Объем: 10,5=1050/100</v>
      </c>
    </row>
    <row r="375" spans="1:27" ht="14.25" x14ac:dyDescent="0.2">
      <c r="A375" s="27"/>
      <c r="B375" s="28"/>
      <c r="C375" s="28" t="s">
        <v>492</v>
      </c>
      <c r="D375" s="30"/>
      <c r="E375" s="29"/>
      <c r="F375" s="32">
        <f>Source!AO209</f>
        <v>131.93</v>
      </c>
      <c r="G375" s="31" t="str">
        <f>Source!DG209</f>
        <v/>
      </c>
      <c r="H375" s="29">
        <f>Source!AV209</f>
        <v>1</v>
      </c>
      <c r="I375" s="33">
        <f>ROUND((Source!AF209*Source!AV209)*Source!I209, 2)</f>
        <v>1385.27</v>
      </c>
      <c r="J375" s="29">
        <f>IF(Source!BA209&lt;&gt; 0, Source!BA209, 1)</f>
        <v>18.11</v>
      </c>
      <c r="K375" s="33">
        <f>Source!S209</f>
        <v>25087.15</v>
      </c>
      <c r="W375">
        <f>I375</f>
        <v>1385.27</v>
      </c>
    </row>
    <row r="376" spans="1:27" ht="14.25" x14ac:dyDescent="0.2">
      <c r="A376" s="27"/>
      <c r="B376" s="28"/>
      <c r="C376" s="28" t="s">
        <v>493</v>
      </c>
      <c r="D376" s="30"/>
      <c r="E376" s="29"/>
      <c r="F376" s="32">
        <f>Source!AM209</f>
        <v>31.63</v>
      </c>
      <c r="G376" s="31" t="str">
        <f>Source!DE209</f>
        <v/>
      </c>
      <c r="H376" s="29">
        <f>Source!AV209</f>
        <v>1</v>
      </c>
      <c r="I376" s="33">
        <f>ROUND(((((Source!ET209)-(Source!EU209))+Source!AE209)*Source!AV209)*Source!I209, 2)</f>
        <v>332.12</v>
      </c>
      <c r="J376" s="29">
        <f>IF(Source!BB209&lt;&gt; 0, Source!BB209, 1)</f>
        <v>8.34</v>
      </c>
      <c r="K376" s="33">
        <f>Source!Q209</f>
        <v>2769.84</v>
      </c>
    </row>
    <row r="377" spans="1:27" ht="14.25" x14ac:dyDescent="0.2">
      <c r="A377" s="27"/>
      <c r="B377" s="28"/>
      <c r="C377" s="28" t="s">
        <v>494</v>
      </c>
      <c r="D377" s="30"/>
      <c r="E377" s="29"/>
      <c r="F377" s="32">
        <f>Source!AN209</f>
        <v>7.11</v>
      </c>
      <c r="G377" s="31" t="str">
        <f>Source!DF209</f>
        <v/>
      </c>
      <c r="H377" s="29">
        <f>Source!AV209</f>
        <v>1</v>
      </c>
      <c r="I377" s="35">
        <f>ROUND((Source!AE209*Source!AV209)*Source!I209, 2)</f>
        <v>74.66</v>
      </c>
      <c r="J377" s="29">
        <f>IF(Source!BS209&lt;&gt; 0, Source!BS209, 1)</f>
        <v>18.11</v>
      </c>
      <c r="K377" s="35">
        <f>Source!R209</f>
        <v>1352</v>
      </c>
      <c r="W377">
        <f>I377</f>
        <v>74.66</v>
      </c>
    </row>
    <row r="378" spans="1:27" ht="14.25" x14ac:dyDescent="0.2">
      <c r="A378" s="27"/>
      <c r="B378" s="28"/>
      <c r="C378" s="28" t="s">
        <v>501</v>
      </c>
      <c r="D378" s="30"/>
      <c r="E378" s="29"/>
      <c r="F378" s="32">
        <f>Source!AL209</f>
        <v>35.14</v>
      </c>
      <c r="G378" s="31" t="str">
        <f>Source!DD209</f>
        <v/>
      </c>
      <c r="H378" s="29">
        <f>Source!AW209</f>
        <v>1</v>
      </c>
      <c r="I378" s="33">
        <f>ROUND((Source!AC209*Source!AW209)*Source!I209, 2)</f>
        <v>368.97</v>
      </c>
      <c r="J378" s="29">
        <f>IF(Source!BC209&lt;&gt; 0, Source!BC209, 1)</f>
        <v>5.07</v>
      </c>
      <c r="K378" s="33">
        <f>Source!P209</f>
        <v>1870.68</v>
      </c>
    </row>
    <row r="379" spans="1:27" ht="14.25" x14ac:dyDescent="0.2">
      <c r="A379" s="27"/>
      <c r="B379" s="28"/>
      <c r="C379" s="28" t="s">
        <v>495</v>
      </c>
      <c r="D379" s="30" t="s">
        <v>496</v>
      </c>
      <c r="E379" s="29">
        <f>Source!DN209</f>
        <v>112</v>
      </c>
      <c r="F379" s="32"/>
      <c r="G379" s="31"/>
      <c r="H379" s="29"/>
      <c r="I379" s="33">
        <f>SUM(Q373:Q378)</f>
        <v>1551.5</v>
      </c>
      <c r="J379" s="29">
        <f>Source!BZ209</f>
        <v>95</v>
      </c>
      <c r="K379" s="33">
        <f>SUM(R373:R378)</f>
        <v>23832.79</v>
      </c>
    </row>
    <row r="380" spans="1:27" ht="14.25" x14ac:dyDescent="0.2">
      <c r="A380" s="27"/>
      <c r="B380" s="28"/>
      <c r="C380" s="28" t="s">
        <v>497</v>
      </c>
      <c r="D380" s="30" t="s">
        <v>496</v>
      </c>
      <c r="E380" s="29">
        <f>Source!DO209</f>
        <v>70</v>
      </c>
      <c r="F380" s="32"/>
      <c r="G380" s="31"/>
      <c r="H380" s="29"/>
      <c r="I380" s="33">
        <f>SUM(S373:S379)</f>
        <v>969.69</v>
      </c>
      <c r="J380" s="29">
        <f>Source!CA209</f>
        <v>46</v>
      </c>
      <c r="K380" s="33">
        <f>SUM(T373:T379)</f>
        <v>11540.09</v>
      </c>
    </row>
    <row r="381" spans="1:27" ht="14.25" x14ac:dyDescent="0.2">
      <c r="A381" s="27"/>
      <c r="B381" s="28"/>
      <c r="C381" s="28" t="s">
        <v>498</v>
      </c>
      <c r="D381" s="30" t="s">
        <v>496</v>
      </c>
      <c r="E381" s="29">
        <f>175</f>
        <v>175</v>
      </c>
      <c r="F381" s="32"/>
      <c r="G381" s="31"/>
      <c r="H381" s="29"/>
      <c r="I381" s="33">
        <f>SUM(U373:U380)</f>
        <v>130.66</v>
      </c>
      <c r="J381" s="29">
        <f>167</f>
        <v>167</v>
      </c>
      <c r="K381" s="33">
        <f>SUM(V373:V380)</f>
        <v>2257.84</v>
      </c>
    </row>
    <row r="382" spans="1:27" ht="14.25" x14ac:dyDescent="0.2">
      <c r="A382" s="27"/>
      <c r="B382" s="28"/>
      <c r="C382" s="28" t="s">
        <v>499</v>
      </c>
      <c r="D382" s="30" t="s">
        <v>500</v>
      </c>
      <c r="E382" s="29">
        <f>Source!AQ209</f>
        <v>10.7</v>
      </c>
      <c r="F382" s="32"/>
      <c r="G382" s="31" t="str">
        <f>Source!DI209</f>
        <v/>
      </c>
      <c r="H382" s="29">
        <f>Source!AV209</f>
        <v>1</v>
      </c>
      <c r="I382" s="33">
        <f>Source!U209</f>
        <v>112.35</v>
      </c>
      <c r="J382" s="29"/>
      <c r="K382" s="33"/>
    </row>
    <row r="383" spans="1:27" ht="15" x14ac:dyDescent="0.25">
      <c r="A383" s="38"/>
      <c r="B383" s="38"/>
      <c r="C383" s="38"/>
      <c r="D383" s="38"/>
      <c r="E383" s="38"/>
      <c r="F383" s="38"/>
      <c r="G383" s="38"/>
      <c r="H383" s="39">
        <f>I375+I376+I378+I379+I380+I381</f>
        <v>4738.2099999999991</v>
      </c>
      <c r="I383" s="39"/>
      <c r="J383" s="39">
        <f>K375+K376+K378+K379+K380+K381</f>
        <v>67358.39</v>
      </c>
      <c r="K383" s="39"/>
      <c r="O383" s="36">
        <f>I375+I376+I378+I379+I380+I381</f>
        <v>4738.2099999999991</v>
      </c>
      <c r="P383" s="36">
        <f>K375+K376+K378+K379+K380+K381</f>
        <v>67358.39</v>
      </c>
      <c r="X383">
        <f>IF(Source!BI209&lt;=1,I375+I376+I378+I379+I380+I381-0, 0)</f>
        <v>0</v>
      </c>
      <c r="Y383">
        <f>IF(Source!BI209=2,I375+I376+I378+I379+I380+I381-0, 0)</f>
        <v>4738.2099999999991</v>
      </c>
      <c r="Z383">
        <f>IF(Source!BI209=3,I375+I376+I378+I379+I380+I381-0, 0)</f>
        <v>0</v>
      </c>
      <c r="AA383">
        <f>IF(Source!BI209=4,I375+I376+I378+I379+I380+I381,0)</f>
        <v>0</v>
      </c>
    </row>
    <row r="384" spans="1:27" ht="57" x14ac:dyDescent="0.2">
      <c r="A384" s="27" t="str">
        <f>Source!E210</f>
        <v>41</v>
      </c>
      <c r="B384" s="28" t="str">
        <f>Source!F210</f>
        <v>4.8-79-10</v>
      </c>
      <c r="C384" s="28" t="str">
        <f>Source!G210</f>
        <v>Кабели до 35 кВ, прокладываемые по установленным конструкциям и лоткам, кабель с креплением по всей длине, масса 1 м, до 1 кг</v>
      </c>
      <c r="D384" s="30" t="str">
        <f>Source!H210</f>
        <v>100 М КАБЕЛЯ</v>
      </c>
      <c r="E384" s="29">
        <f>Source!I210</f>
        <v>3.2</v>
      </c>
      <c r="F384" s="32"/>
      <c r="G384" s="31"/>
      <c r="H384" s="29"/>
      <c r="I384" s="33"/>
      <c r="J384" s="29"/>
      <c r="K384" s="33"/>
      <c r="Q384">
        <f>ROUND((Source!DN210/100)*ROUND((Source!AF210*Source!AV210)*Source!I210, 2), 2)</f>
        <v>716.72</v>
      </c>
      <c r="R384">
        <f>Source!X210</f>
        <v>11009.63</v>
      </c>
      <c r="S384">
        <f>ROUND((Source!DO210/100)*ROUND((Source!AF210*Source!AV210)*Source!I210, 2), 2)</f>
        <v>447.95</v>
      </c>
      <c r="T384">
        <f>Source!Y210</f>
        <v>5330.98</v>
      </c>
      <c r="U384">
        <f>ROUND((175/100)*ROUND((Source!AE210*Source!AV210)*Source!I210, 2), 2)</f>
        <v>394.84</v>
      </c>
      <c r="V384">
        <f>ROUND((167/100)*ROUND(Source!CS210*Source!I210, 2), 2)</f>
        <v>6823.69</v>
      </c>
    </row>
    <row r="385" spans="1:27" x14ac:dyDescent="0.2">
      <c r="C385" s="34" t="str">
        <f>"Объем: "&amp;Source!I210&amp;"=320/"&amp;"100"</f>
        <v>Объем: 3,2=320/100</v>
      </c>
    </row>
    <row r="386" spans="1:27" ht="14.25" x14ac:dyDescent="0.2">
      <c r="A386" s="27"/>
      <c r="B386" s="28"/>
      <c r="C386" s="28" t="s">
        <v>492</v>
      </c>
      <c r="D386" s="30"/>
      <c r="E386" s="29"/>
      <c r="F386" s="32">
        <f>Source!AO210</f>
        <v>187.42</v>
      </c>
      <c r="G386" s="31" t="str">
        <f>Source!DG210</f>
        <v/>
      </c>
      <c r="H386" s="29">
        <f>Source!AV210</f>
        <v>1.0669999999999999</v>
      </c>
      <c r="I386" s="33">
        <f>ROUND((Source!AF210*Source!AV210)*Source!I210, 2)</f>
        <v>639.92999999999995</v>
      </c>
      <c r="J386" s="29">
        <f>IF(Source!BA210&lt;&gt; 0, Source!BA210, 1)</f>
        <v>18.11</v>
      </c>
      <c r="K386" s="33">
        <f>Source!S210</f>
        <v>11589.08</v>
      </c>
      <c r="W386">
        <f>I386</f>
        <v>639.92999999999995</v>
      </c>
    </row>
    <row r="387" spans="1:27" ht="14.25" x14ac:dyDescent="0.2">
      <c r="A387" s="27"/>
      <c r="B387" s="28"/>
      <c r="C387" s="28" t="s">
        <v>493</v>
      </c>
      <c r="D387" s="30"/>
      <c r="E387" s="29"/>
      <c r="F387" s="32">
        <f>Source!AM210</f>
        <v>418.64</v>
      </c>
      <c r="G387" s="31" t="str">
        <f>Source!DE210</f>
        <v/>
      </c>
      <c r="H387" s="29">
        <f>Source!AV210</f>
        <v>1.0669999999999999</v>
      </c>
      <c r="I387" s="33">
        <f>ROUND(((((Source!ET210)-(Source!EU210))+Source!AE210)*Source!AV210)*Source!I210, 2)</f>
        <v>1429.4</v>
      </c>
      <c r="J387" s="29">
        <f>IF(Source!BB210&lt;&gt; 0, Source!BB210, 1)</f>
        <v>7.5</v>
      </c>
      <c r="K387" s="33">
        <f>Source!Q210</f>
        <v>10720.53</v>
      </c>
    </row>
    <row r="388" spans="1:27" ht="14.25" x14ac:dyDescent="0.2">
      <c r="A388" s="27"/>
      <c r="B388" s="28"/>
      <c r="C388" s="28" t="s">
        <v>494</v>
      </c>
      <c r="D388" s="30"/>
      <c r="E388" s="29"/>
      <c r="F388" s="32">
        <f>Source!AN210</f>
        <v>66.08</v>
      </c>
      <c r="G388" s="31" t="str">
        <f>Source!DF210</f>
        <v/>
      </c>
      <c r="H388" s="29">
        <f>Source!AV210</f>
        <v>1.0669999999999999</v>
      </c>
      <c r="I388" s="35">
        <f>ROUND((Source!AE210*Source!AV210)*Source!I210, 2)</f>
        <v>225.62</v>
      </c>
      <c r="J388" s="29">
        <f>IF(Source!BS210&lt;&gt; 0, Source!BS210, 1)</f>
        <v>18.11</v>
      </c>
      <c r="K388" s="35">
        <f>Source!R210</f>
        <v>4086.04</v>
      </c>
      <c r="W388">
        <f>I388</f>
        <v>225.62</v>
      </c>
    </row>
    <row r="389" spans="1:27" ht="14.25" x14ac:dyDescent="0.2">
      <c r="A389" s="27"/>
      <c r="B389" s="28"/>
      <c r="C389" s="28" t="s">
        <v>501</v>
      </c>
      <c r="D389" s="30"/>
      <c r="E389" s="29"/>
      <c r="F389" s="32">
        <f>Source!AL210</f>
        <v>37.659999999999997</v>
      </c>
      <c r="G389" s="31" t="str">
        <f>Source!DD210</f>
        <v/>
      </c>
      <c r="H389" s="29">
        <f>Source!AW210</f>
        <v>1.081</v>
      </c>
      <c r="I389" s="33">
        <f>ROUND((Source!AC210*Source!AW210)*Source!I210, 2)</f>
        <v>130.27000000000001</v>
      </c>
      <c r="J389" s="29">
        <f>IF(Source!BC210&lt;&gt; 0, Source!BC210, 1)</f>
        <v>5.07</v>
      </c>
      <c r="K389" s="33">
        <f>Source!P210</f>
        <v>660.49</v>
      </c>
    </row>
    <row r="390" spans="1:27" ht="14.25" x14ac:dyDescent="0.2">
      <c r="A390" s="27"/>
      <c r="B390" s="28"/>
      <c r="C390" s="28" t="s">
        <v>495</v>
      </c>
      <c r="D390" s="30" t="s">
        <v>496</v>
      </c>
      <c r="E390" s="29">
        <f>Source!DN210</f>
        <v>112</v>
      </c>
      <c r="F390" s="32"/>
      <c r="G390" s="31"/>
      <c r="H390" s="29"/>
      <c r="I390" s="33">
        <f>SUM(Q384:Q389)</f>
        <v>716.72</v>
      </c>
      <c r="J390" s="29">
        <f>Source!BZ210</f>
        <v>95</v>
      </c>
      <c r="K390" s="33">
        <f>SUM(R384:R389)</f>
        <v>11009.63</v>
      </c>
    </row>
    <row r="391" spans="1:27" ht="14.25" x14ac:dyDescent="0.2">
      <c r="A391" s="27"/>
      <c r="B391" s="28"/>
      <c r="C391" s="28" t="s">
        <v>497</v>
      </c>
      <c r="D391" s="30" t="s">
        <v>496</v>
      </c>
      <c r="E391" s="29">
        <f>Source!DO210</f>
        <v>70</v>
      </c>
      <c r="F391" s="32"/>
      <c r="G391" s="31"/>
      <c r="H391" s="29"/>
      <c r="I391" s="33">
        <f>SUM(S384:S390)</f>
        <v>447.95</v>
      </c>
      <c r="J391" s="29">
        <f>Source!CA210</f>
        <v>46</v>
      </c>
      <c r="K391" s="33">
        <f>SUM(T384:T390)</f>
        <v>5330.98</v>
      </c>
    </row>
    <row r="392" spans="1:27" ht="14.25" x14ac:dyDescent="0.2">
      <c r="A392" s="27"/>
      <c r="B392" s="28"/>
      <c r="C392" s="28" t="s">
        <v>498</v>
      </c>
      <c r="D392" s="30" t="s">
        <v>496</v>
      </c>
      <c r="E392" s="29">
        <f>175</f>
        <v>175</v>
      </c>
      <c r="F392" s="32"/>
      <c r="G392" s="31"/>
      <c r="H392" s="29"/>
      <c r="I392" s="33">
        <f>SUM(U384:U391)</f>
        <v>394.84</v>
      </c>
      <c r="J392" s="29">
        <f>167</f>
        <v>167</v>
      </c>
      <c r="K392" s="33">
        <f>SUM(V384:V391)</f>
        <v>6823.69</v>
      </c>
    </row>
    <row r="393" spans="1:27" ht="14.25" x14ac:dyDescent="0.2">
      <c r="A393" s="27"/>
      <c r="B393" s="28"/>
      <c r="C393" s="28" t="s">
        <v>499</v>
      </c>
      <c r="D393" s="30" t="s">
        <v>500</v>
      </c>
      <c r="E393" s="29">
        <f>Source!AQ210</f>
        <v>15.2</v>
      </c>
      <c r="F393" s="32"/>
      <c r="G393" s="31" t="str">
        <f>Source!DI210</f>
        <v/>
      </c>
      <c r="H393" s="29">
        <f>Source!AV210</f>
        <v>1.0669999999999999</v>
      </c>
      <c r="I393" s="33">
        <f>Source!U210</f>
        <v>51.898879999999998</v>
      </c>
      <c r="J393" s="29"/>
      <c r="K393" s="33"/>
    </row>
    <row r="394" spans="1:27" ht="15" x14ac:dyDescent="0.25">
      <c r="A394" s="38"/>
      <c r="B394" s="38"/>
      <c r="C394" s="38"/>
      <c r="D394" s="38"/>
      <c r="E394" s="38"/>
      <c r="F394" s="38"/>
      <c r="G394" s="38"/>
      <c r="H394" s="39">
        <f>I386+I387+I389+I390+I391+I392</f>
        <v>3759.1099999999997</v>
      </c>
      <c r="I394" s="39"/>
      <c r="J394" s="39">
        <f>K386+K387+K389+K390+K391+K392</f>
        <v>46134.400000000009</v>
      </c>
      <c r="K394" s="39"/>
      <c r="O394" s="36">
        <f>I386+I387+I389+I390+I391+I392</f>
        <v>3759.1099999999997</v>
      </c>
      <c r="P394" s="36">
        <f>K386+K387+K389+K390+K391+K392</f>
        <v>46134.400000000009</v>
      </c>
      <c r="X394">
        <f>IF(Source!BI210&lt;=1,I386+I387+I389+I390+I391+I392-0, 0)</f>
        <v>0</v>
      </c>
      <c r="Y394">
        <f>IF(Source!BI210=2,I386+I387+I389+I390+I391+I392-0, 0)</f>
        <v>3759.1099999999997</v>
      </c>
      <c r="Z394">
        <f>IF(Source!BI210=3,I386+I387+I389+I390+I391+I392-0, 0)</f>
        <v>0</v>
      </c>
      <c r="AA394">
        <f>IF(Source!BI210=4,I386+I387+I389+I390+I391+I392,0)</f>
        <v>0</v>
      </c>
    </row>
    <row r="395" spans="1:27" ht="85.5" x14ac:dyDescent="0.2">
      <c r="A395" s="27" t="str">
        <f>Source!E211</f>
        <v>42</v>
      </c>
      <c r="B395" s="28" t="str">
        <f>Source!F211</f>
        <v>1.23-8-506</v>
      </c>
      <c r="C395" s="28" t="str">
        <f>Source!G211</f>
        <v>Прим Кабели силовые с медными жилами с изоляцией из силанольносшитого полиэтилена, защитный покров типа БбШп, напряжение 1000 В, марка ПвБбШп, число жил и сечение 4х4 мм2</v>
      </c>
      <c r="D395" s="30" t="str">
        <f>Source!H211</f>
        <v>км</v>
      </c>
      <c r="E395" s="29">
        <f>Source!I211</f>
        <v>3.9678</v>
      </c>
      <c r="F395" s="32">
        <f>Source!AL211</f>
        <v>63098.18</v>
      </c>
      <c r="G395" s="31" t="str">
        <f>Source!DD211</f>
        <v/>
      </c>
      <c r="H395" s="29">
        <f>Source!AW211</f>
        <v>1</v>
      </c>
      <c r="I395" s="33">
        <f>ROUND((Source!AC211*Source!AW211)*Source!I211, 2)</f>
        <v>250360.95999999999</v>
      </c>
      <c r="J395" s="29">
        <f>IF(Source!BC211&lt;&gt; 0, Source!BC211, 1)</f>
        <v>5.45</v>
      </c>
      <c r="K395" s="33">
        <f>Source!P211</f>
        <v>1364467.22</v>
      </c>
      <c r="Q395">
        <f>ROUND((Source!DN211/100)*ROUND((Source!AF211*Source!AV211)*Source!I211, 2), 2)</f>
        <v>0</v>
      </c>
      <c r="R395">
        <f>Source!X211</f>
        <v>0</v>
      </c>
      <c r="S395">
        <f>ROUND((Source!DO211/100)*ROUND((Source!AF211*Source!AV211)*Source!I211, 2), 2)</f>
        <v>0</v>
      </c>
      <c r="T395">
        <f>Source!Y211</f>
        <v>0</v>
      </c>
      <c r="U395">
        <f>ROUND((175/100)*ROUND((Source!AE211*Source!AV211)*Source!I211, 2), 2)</f>
        <v>0</v>
      </c>
      <c r="V395">
        <f>ROUND((167/100)*ROUND(Source!CS211*Source!I211, 2), 2)</f>
        <v>0</v>
      </c>
    </row>
    <row r="396" spans="1:27" x14ac:dyDescent="0.2">
      <c r="C396" s="34" t="str">
        <f>"Объем: "&amp;Source!I211&amp;"=3,89*"&amp;"1,02"</f>
        <v>Объем: 3,9678=3,89*1,02</v>
      </c>
    </row>
    <row r="397" spans="1:27" ht="15" x14ac:dyDescent="0.25">
      <c r="A397" s="38"/>
      <c r="B397" s="38"/>
      <c r="C397" s="38"/>
      <c r="D397" s="38"/>
      <c r="E397" s="38"/>
      <c r="F397" s="38"/>
      <c r="G397" s="38"/>
      <c r="H397" s="39">
        <f>I395</f>
        <v>250360.95999999999</v>
      </c>
      <c r="I397" s="39"/>
      <c r="J397" s="39">
        <f>K395</f>
        <v>1364467.22</v>
      </c>
      <c r="K397" s="39"/>
      <c r="O397" s="36">
        <f>I395</f>
        <v>250360.95999999999</v>
      </c>
      <c r="P397" s="36">
        <f>K395</f>
        <v>1364467.22</v>
      </c>
      <c r="X397">
        <f>IF(Source!BI211&lt;=1,I395-0, 0)</f>
        <v>0</v>
      </c>
      <c r="Y397">
        <f>IF(Source!BI211=2,I395-0, 0)</f>
        <v>250360.95999999999</v>
      </c>
      <c r="Z397">
        <f>IF(Source!BI211=3,I395-0, 0)</f>
        <v>0</v>
      </c>
      <c r="AA397">
        <f>IF(Source!BI211=4,I395,0)</f>
        <v>0</v>
      </c>
    </row>
    <row r="399" spans="1:27" ht="15" x14ac:dyDescent="0.25">
      <c r="A399" s="42" t="str">
        <f>CONCATENATE("Итого по подразделу: ",IF(Source!G214&lt;&gt;"Новый подраздел", Source!G214, ""))</f>
        <v>Итого по подразделу: 2.1 Монтаж кабельной линии</v>
      </c>
      <c r="B399" s="42"/>
      <c r="C399" s="42"/>
      <c r="D399" s="42"/>
      <c r="E399" s="42"/>
      <c r="F399" s="42"/>
      <c r="G399" s="42"/>
      <c r="H399" s="37">
        <f>SUM(O253:O398)</f>
        <v>952004.84</v>
      </c>
      <c r="I399" s="41"/>
      <c r="J399" s="37">
        <f>SUM(P253:P398)</f>
        <v>3424857.97</v>
      </c>
      <c r="K399" s="41"/>
    </row>
    <row r="400" spans="1:27" ht="15" hidden="1" x14ac:dyDescent="0.25">
      <c r="A400" s="42" t="s">
        <v>502</v>
      </c>
      <c r="B400" s="42"/>
      <c r="C400" s="42"/>
      <c r="D400" s="42"/>
      <c r="E400" s="42"/>
      <c r="F400" s="42"/>
      <c r="G400" s="42"/>
      <c r="H400" s="37">
        <f>SUM(AC253:AC399)</f>
        <v>0</v>
      </c>
      <c r="I400" s="41"/>
      <c r="J400" s="37">
        <f>SUM(AD253:AD399)</f>
        <v>0</v>
      </c>
      <c r="K400" s="41"/>
    </row>
    <row r="402" spans="1:27" ht="16.5" x14ac:dyDescent="0.25">
      <c r="A402" s="25" t="str">
        <f>CONCATENATE("Подраздел: ",IF(Source!G243&lt;&gt;"Новый подраздел", Source!G243, ""))</f>
        <v>Подраздел: 2.2</v>
      </c>
      <c r="B402" s="25"/>
      <c r="C402" s="25"/>
      <c r="D402" s="25"/>
      <c r="E402" s="25"/>
      <c r="F402" s="25"/>
      <c r="G402" s="25"/>
      <c r="H402" s="25"/>
      <c r="I402" s="25"/>
      <c r="J402" s="25"/>
      <c r="K402" s="25"/>
    </row>
    <row r="403" spans="1:27" ht="71.25" x14ac:dyDescent="0.2">
      <c r="A403" s="27" t="str">
        <f>Source!E247</f>
        <v>43</v>
      </c>
      <c r="B403" s="28" t="str">
        <f>Source!F247</f>
        <v>4.8-101-3</v>
      </c>
      <c r="C403" s="28" t="str">
        <f>Source!G247</f>
        <v>Прим Муфты концевые из пластмассового корпуса с заливкой эпоксидным компаундом, муфта для 3-жильного кабеля напряжением до 35 кВ, сечением до 150 мм2</v>
      </c>
      <c r="D403" s="30" t="str">
        <f>Source!H247</f>
        <v>1 оконцевание (3 муфты)</v>
      </c>
      <c r="E403" s="29">
        <f>Source!I247</f>
        <v>2</v>
      </c>
      <c r="F403" s="32"/>
      <c r="G403" s="31"/>
      <c r="H403" s="29"/>
      <c r="I403" s="33"/>
      <c r="J403" s="29"/>
      <c r="K403" s="33"/>
      <c r="Q403">
        <f>ROUND((Source!DN247/100)*ROUND((Source!AF247*Source!AV247)*Source!I247, 2), 2)</f>
        <v>485.8</v>
      </c>
      <c r="R403">
        <f>Source!X247</f>
        <v>7462.47</v>
      </c>
      <c r="S403">
        <f>ROUND((Source!DO247/100)*ROUND((Source!AF247*Source!AV247)*Source!I247, 2), 2)</f>
        <v>303.63</v>
      </c>
      <c r="T403">
        <f>Source!Y247</f>
        <v>3613.41</v>
      </c>
      <c r="U403">
        <f>ROUND((175/100)*ROUND((Source!AE247*Source!AV247)*Source!I247, 2), 2)</f>
        <v>0.37</v>
      </c>
      <c r="V403">
        <f>ROUND((167/100)*ROUND(Source!CS247*Source!I247, 2), 2)</f>
        <v>6.33</v>
      </c>
    </row>
    <row r="404" spans="1:27" ht="14.25" x14ac:dyDescent="0.2">
      <c r="A404" s="27"/>
      <c r="B404" s="28"/>
      <c r="C404" s="28" t="s">
        <v>492</v>
      </c>
      <c r="D404" s="30"/>
      <c r="E404" s="29"/>
      <c r="F404" s="32">
        <f>Source!AO247</f>
        <v>207.14</v>
      </c>
      <c r="G404" s="31" t="str">
        <f>Source!DG247</f>
        <v/>
      </c>
      <c r="H404" s="29">
        <f>Source!AV247</f>
        <v>1.0469999999999999</v>
      </c>
      <c r="I404" s="33">
        <f>ROUND((Source!AF247*Source!AV247)*Source!I247, 2)</f>
        <v>433.75</v>
      </c>
      <c r="J404" s="29">
        <f>IF(Source!BA247&lt;&gt; 0, Source!BA247, 1)</f>
        <v>18.11</v>
      </c>
      <c r="K404" s="33">
        <f>Source!S247</f>
        <v>7855.23</v>
      </c>
      <c r="W404">
        <f>I404</f>
        <v>433.75</v>
      </c>
    </row>
    <row r="405" spans="1:27" ht="14.25" x14ac:dyDescent="0.2">
      <c r="A405" s="27"/>
      <c r="B405" s="28"/>
      <c r="C405" s="28" t="s">
        <v>493</v>
      </c>
      <c r="D405" s="30"/>
      <c r="E405" s="29"/>
      <c r="F405" s="32">
        <f>Source!AM247</f>
        <v>0.42</v>
      </c>
      <c r="G405" s="31" t="str">
        <f>Source!DE247</f>
        <v/>
      </c>
      <c r="H405" s="29">
        <f>Source!AV247</f>
        <v>1.0469999999999999</v>
      </c>
      <c r="I405" s="33">
        <f>ROUND(((((Source!ET247)-(Source!EU247))+Source!AE247)*Source!AV247)*Source!I247, 2)</f>
        <v>0.88</v>
      </c>
      <c r="J405" s="29">
        <f>IF(Source!BB247&lt;&gt; 0, Source!BB247, 1)</f>
        <v>8.5</v>
      </c>
      <c r="K405" s="33">
        <f>Source!Q247</f>
        <v>7.48</v>
      </c>
    </row>
    <row r="406" spans="1:27" ht="14.25" x14ac:dyDescent="0.2">
      <c r="A406" s="27"/>
      <c r="B406" s="28"/>
      <c r="C406" s="28" t="s">
        <v>494</v>
      </c>
      <c r="D406" s="30"/>
      <c r="E406" s="29"/>
      <c r="F406" s="32">
        <f>Source!AN247</f>
        <v>0.1</v>
      </c>
      <c r="G406" s="31" t="str">
        <f>Source!DF247</f>
        <v/>
      </c>
      <c r="H406" s="29">
        <f>Source!AV247</f>
        <v>1.0469999999999999</v>
      </c>
      <c r="I406" s="35">
        <f>ROUND((Source!AE247*Source!AV247)*Source!I247, 2)</f>
        <v>0.21</v>
      </c>
      <c r="J406" s="29">
        <f>IF(Source!BS247&lt;&gt; 0, Source!BS247, 1)</f>
        <v>18.11</v>
      </c>
      <c r="K406" s="35">
        <f>Source!R247</f>
        <v>3.79</v>
      </c>
      <c r="W406">
        <f>I406</f>
        <v>0.21</v>
      </c>
    </row>
    <row r="407" spans="1:27" ht="14.25" x14ac:dyDescent="0.2">
      <c r="A407" s="27"/>
      <c r="B407" s="28"/>
      <c r="C407" s="28" t="s">
        <v>501</v>
      </c>
      <c r="D407" s="30"/>
      <c r="E407" s="29"/>
      <c r="F407" s="32">
        <f>Source!AL247</f>
        <v>6.86</v>
      </c>
      <c r="G407" s="31" t="str">
        <f>Source!DD247</f>
        <v/>
      </c>
      <c r="H407" s="29">
        <f>Source!AW247</f>
        <v>1</v>
      </c>
      <c r="I407" s="33">
        <f>ROUND((Source!AC247*Source!AW247)*Source!I247, 2)</f>
        <v>13.72</v>
      </c>
      <c r="J407" s="29">
        <f>IF(Source!BC247&lt;&gt; 0, Source!BC247, 1)</f>
        <v>5.07</v>
      </c>
      <c r="K407" s="33">
        <f>Source!P247</f>
        <v>69.56</v>
      </c>
    </row>
    <row r="408" spans="1:27" ht="14.25" x14ac:dyDescent="0.2">
      <c r="A408" s="27"/>
      <c r="B408" s="28"/>
      <c r="C408" s="28" t="s">
        <v>495</v>
      </c>
      <c r="D408" s="30" t="s">
        <v>496</v>
      </c>
      <c r="E408" s="29">
        <f>Source!DN247</f>
        <v>112</v>
      </c>
      <c r="F408" s="32"/>
      <c r="G408" s="31"/>
      <c r="H408" s="29"/>
      <c r="I408" s="33">
        <f>SUM(Q403:Q407)</f>
        <v>485.8</v>
      </c>
      <c r="J408" s="29">
        <f>Source!BZ247</f>
        <v>95</v>
      </c>
      <c r="K408" s="33">
        <f>SUM(R403:R407)</f>
        <v>7462.47</v>
      </c>
    </row>
    <row r="409" spans="1:27" ht="14.25" x14ac:dyDescent="0.2">
      <c r="A409" s="27"/>
      <c r="B409" s="28"/>
      <c r="C409" s="28" t="s">
        <v>497</v>
      </c>
      <c r="D409" s="30" t="s">
        <v>496</v>
      </c>
      <c r="E409" s="29">
        <f>Source!DO247</f>
        <v>70</v>
      </c>
      <c r="F409" s="32"/>
      <c r="G409" s="31"/>
      <c r="H409" s="29"/>
      <c r="I409" s="33">
        <f>SUM(S403:S408)</f>
        <v>303.63</v>
      </c>
      <c r="J409" s="29">
        <f>Source!CA247</f>
        <v>46</v>
      </c>
      <c r="K409" s="33">
        <f>SUM(T403:T408)</f>
        <v>3613.41</v>
      </c>
    </row>
    <row r="410" spans="1:27" ht="14.25" x14ac:dyDescent="0.2">
      <c r="A410" s="27"/>
      <c r="B410" s="28"/>
      <c r="C410" s="28" t="s">
        <v>498</v>
      </c>
      <c r="D410" s="30" t="s">
        <v>496</v>
      </c>
      <c r="E410" s="29">
        <f>175</f>
        <v>175</v>
      </c>
      <c r="F410" s="32"/>
      <c r="G410" s="31"/>
      <c r="H410" s="29"/>
      <c r="I410" s="33">
        <f>SUM(U403:U409)</f>
        <v>0.37</v>
      </c>
      <c r="J410" s="29">
        <f>167</f>
        <v>167</v>
      </c>
      <c r="K410" s="33">
        <f>SUM(V403:V409)</f>
        <v>6.33</v>
      </c>
    </row>
    <row r="411" spans="1:27" ht="14.25" x14ac:dyDescent="0.2">
      <c r="A411" s="27"/>
      <c r="B411" s="28"/>
      <c r="C411" s="28" t="s">
        <v>499</v>
      </c>
      <c r="D411" s="30" t="s">
        <v>500</v>
      </c>
      <c r="E411" s="29">
        <f>Source!AQ247</f>
        <v>16.8</v>
      </c>
      <c r="F411" s="32"/>
      <c r="G411" s="31" t="str">
        <f>Source!DI247</f>
        <v/>
      </c>
      <c r="H411" s="29">
        <f>Source!AV247</f>
        <v>1.0469999999999999</v>
      </c>
      <c r="I411" s="33">
        <f>Source!U247</f>
        <v>35.179200000000002</v>
      </c>
      <c r="J411" s="29"/>
      <c r="K411" s="33"/>
    </row>
    <row r="412" spans="1:27" ht="15" x14ac:dyDescent="0.25">
      <c r="A412" s="38"/>
      <c r="B412" s="38"/>
      <c r="C412" s="38"/>
      <c r="D412" s="38"/>
      <c r="E412" s="38"/>
      <c r="F412" s="38"/>
      <c r="G412" s="38"/>
      <c r="H412" s="39">
        <f>I404+I405+I407+I408+I409+I410</f>
        <v>1238.1500000000001</v>
      </c>
      <c r="I412" s="39"/>
      <c r="J412" s="39">
        <f>K404+K405+K407+K408+K409+K410</f>
        <v>19014.480000000003</v>
      </c>
      <c r="K412" s="39"/>
      <c r="O412" s="36">
        <f>I404+I405+I407+I408+I409+I410</f>
        <v>1238.1500000000001</v>
      </c>
      <c r="P412" s="36">
        <f>K404+K405+K407+K408+K409+K410</f>
        <v>19014.480000000003</v>
      </c>
      <c r="X412">
        <f>IF(Source!BI247&lt;=1,I404+I405+I407+I408+I409+I410-0, 0)</f>
        <v>0</v>
      </c>
      <c r="Y412">
        <f>IF(Source!BI247=2,I404+I405+I407+I408+I409+I410-0, 0)</f>
        <v>1238.1500000000001</v>
      </c>
      <c r="Z412">
        <f>IF(Source!BI247=3,I404+I405+I407+I408+I409+I410-0, 0)</f>
        <v>0</v>
      </c>
      <c r="AA412">
        <f>IF(Source!BI247=4,I404+I405+I407+I408+I409+I410,0)</f>
        <v>0</v>
      </c>
    </row>
    <row r="413" spans="1:27" ht="114" x14ac:dyDescent="0.2">
      <c r="A413" s="27" t="str">
        <f>Source!E248</f>
        <v>44</v>
      </c>
      <c r="B413" s="28" t="str">
        <f>Source!F248</f>
        <v>1.21-5-1238</v>
      </c>
      <c r="C413" s="28" t="str">
        <f>Source!G248</f>
        <v>Муфты универсальные ремонтные концевые внутренней и наружной установки для кабелей с бумажной изоляцией на напряжение 1 кВ, с наконечниками со срывающимися головками и с паяным узлом заземления, тип 4КВНтп-МКС-В-150/240</v>
      </c>
      <c r="D413" s="30" t="str">
        <f>Source!H248</f>
        <v>компл.</v>
      </c>
      <c r="E413" s="29">
        <f>Source!I248</f>
        <v>2</v>
      </c>
      <c r="F413" s="32">
        <f>Source!AL248</f>
        <v>857.41</v>
      </c>
      <c r="G413" s="31" t="str">
        <f>Source!DD248</f>
        <v/>
      </c>
      <c r="H413" s="29">
        <f>Source!AW248</f>
        <v>1</v>
      </c>
      <c r="I413" s="33">
        <f>ROUND((Source!AC248*Source!AW248)*Source!I248, 2)</f>
        <v>1714.82</v>
      </c>
      <c r="J413" s="29">
        <f>IF(Source!BC248&lt;&gt; 0, Source!BC248, 1)</f>
        <v>4.4000000000000004</v>
      </c>
      <c r="K413" s="33">
        <f>Source!P248</f>
        <v>7545.21</v>
      </c>
      <c r="Q413">
        <f>ROUND((Source!DN248/100)*ROUND((Source!AF248*Source!AV248)*Source!I248, 2), 2)</f>
        <v>0</v>
      </c>
      <c r="R413">
        <f>Source!X248</f>
        <v>0</v>
      </c>
      <c r="S413">
        <f>ROUND((Source!DO248/100)*ROUND((Source!AF248*Source!AV248)*Source!I248, 2), 2)</f>
        <v>0</v>
      </c>
      <c r="T413">
        <f>Source!Y248</f>
        <v>0</v>
      </c>
      <c r="U413">
        <f>ROUND((175/100)*ROUND((Source!AE248*Source!AV248)*Source!I248, 2), 2)</f>
        <v>0</v>
      </c>
      <c r="V413">
        <f>ROUND((167/100)*ROUND(Source!CS248*Source!I248, 2), 2)</f>
        <v>0</v>
      </c>
    </row>
    <row r="414" spans="1:27" ht="15" x14ac:dyDescent="0.25">
      <c r="A414" s="38"/>
      <c r="B414" s="38"/>
      <c r="C414" s="38"/>
      <c r="D414" s="38"/>
      <c r="E414" s="38"/>
      <c r="F414" s="38"/>
      <c r="G414" s="38"/>
      <c r="H414" s="39">
        <f>I413</f>
        <v>1714.82</v>
      </c>
      <c r="I414" s="39"/>
      <c r="J414" s="39">
        <f>K413</f>
        <v>7545.21</v>
      </c>
      <c r="K414" s="39"/>
      <c r="O414" s="36">
        <f>I413</f>
        <v>1714.82</v>
      </c>
      <c r="P414" s="36">
        <f>K413</f>
        <v>7545.21</v>
      </c>
      <c r="X414">
        <f>IF(Source!BI248&lt;=1,I413-0, 0)</f>
        <v>0</v>
      </c>
      <c r="Y414">
        <f>IF(Source!BI248=2,I413-0, 0)</f>
        <v>1714.82</v>
      </c>
      <c r="Z414">
        <f>IF(Source!BI248=3,I413-0, 0)</f>
        <v>0</v>
      </c>
      <c r="AA414">
        <f>IF(Source!BI248=4,I413,0)</f>
        <v>0</v>
      </c>
    </row>
    <row r="415" spans="1:27" ht="71.25" x14ac:dyDescent="0.2">
      <c r="A415" s="27" t="str">
        <f>Source!E249</f>
        <v>45</v>
      </c>
      <c r="B415" s="28" t="str">
        <f>Source!F249</f>
        <v>4.8-101-1</v>
      </c>
      <c r="C415" s="28" t="str">
        <f>Source!G249</f>
        <v>Прим Муфты концевые из пластмассового корпуса с заливкой эпоксидным компаундом, муфта для 3-жильного кабеля напряжением до 35 кВ, сечением до 95 мм2</v>
      </c>
      <c r="D415" s="30" t="str">
        <f>Source!H249</f>
        <v>1 оконцевание (3 муфты)</v>
      </c>
      <c r="E415" s="29">
        <f>Source!I249</f>
        <v>8</v>
      </c>
      <c r="F415" s="32"/>
      <c r="G415" s="31"/>
      <c r="H415" s="29"/>
      <c r="I415" s="33"/>
      <c r="J415" s="29"/>
      <c r="K415" s="33"/>
      <c r="Q415">
        <f>ROUND((Source!DN249/100)*ROUND((Source!AF249*Source!AV249)*Source!I249, 2), 2)</f>
        <v>1272.3599999999999</v>
      </c>
      <c r="R415">
        <f>Source!X249</f>
        <v>19544.95</v>
      </c>
      <c r="S415">
        <f>ROUND((Source!DO249/100)*ROUND((Source!AF249*Source!AV249)*Source!I249, 2), 2)</f>
        <v>795.23</v>
      </c>
      <c r="T415">
        <f>Source!Y249</f>
        <v>9463.8700000000008</v>
      </c>
      <c r="U415">
        <f>ROUND((175/100)*ROUND((Source!AE249*Source!AV249)*Source!I249, 2), 2)</f>
        <v>0.88</v>
      </c>
      <c r="V415">
        <f>ROUND((167/100)*ROUND(Source!CS249*Source!I249, 2), 2)</f>
        <v>15.2</v>
      </c>
    </row>
    <row r="416" spans="1:27" ht="14.25" x14ac:dyDescent="0.2">
      <c r="A416" s="27"/>
      <c r="B416" s="28"/>
      <c r="C416" s="28" t="s">
        <v>492</v>
      </c>
      <c r="D416" s="30"/>
      <c r="E416" s="29"/>
      <c r="F416" s="32">
        <f>Source!AO249</f>
        <v>135.63</v>
      </c>
      <c r="G416" s="31" t="str">
        <f>Source!DG249</f>
        <v/>
      </c>
      <c r="H416" s="29">
        <f>Source!AV249</f>
        <v>1.0469999999999999</v>
      </c>
      <c r="I416" s="33">
        <f>ROUND((Source!AF249*Source!AV249)*Source!I249, 2)</f>
        <v>1136.04</v>
      </c>
      <c r="J416" s="29">
        <f>IF(Source!BA249&lt;&gt; 0, Source!BA249, 1)</f>
        <v>18.11</v>
      </c>
      <c r="K416" s="33">
        <f>Source!S249</f>
        <v>20573.63</v>
      </c>
      <c r="W416">
        <f>I416</f>
        <v>1136.04</v>
      </c>
    </row>
    <row r="417" spans="1:27" ht="14.25" x14ac:dyDescent="0.2">
      <c r="A417" s="27"/>
      <c r="B417" s="28"/>
      <c r="C417" s="28" t="s">
        <v>493</v>
      </c>
      <c r="D417" s="30"/>
      <c r="E417" s="29"/>
      <c r="F417" s="32">
        <f>Source!AM249</f>
        <v>0.25</v>
      </c>
      <c r="G417" s="31" t="str">
        <f>Source!DE249</f>
        <v/>
      </c>
      <c r="H417" s="29">
        <f>Source!AV249</f>
        <v>1.0469999999999999</v>
      </c>
      <c r="I417" s="33">
        <f>ROUND(((((Source!ET249)-(Source!EU249))+Source!AE249)*Source!AV249)*Source!I249, 2)</f>
        <v>2.09</v>
      </c>
      <c r="J417" s="29">
        <f>IF(Source!BB249&lt;&gt; 0, Source!BB249, 1)</f>
        <v>8.52</v>
      </c>
      <c r="K417" s="33">
        <f>Source!Q249</f>
        <v>17.84</v>
      </c>
    </row>
    <row r="418" spans="1:27" ht="14.25" x14ac:dyDescent="0.2">
      <c r="A418" s="27"/>
      <c r="B418" s="28"/>
      <c r="C418" s="28" t="s">
        <v>494</v>
      </c>
      <c r="D418" s="30"/>
      <c r="E418" s="29"/>
      <c r="F418" s="32">
        <f>Source!AN249</f>
        <v>0.06</v>
      </c>
      <c r="G418" s="31" t="str">
        <f>Source!DF249</f>
        <v/>
      </c>
      <c r="H418" s="29">
        <f>Source!AV249</f>
        <v>1.0469999999999999</v>
      </c>
      <c r="I418" s="35">
        <f>ROUND((Source!AE249*Source!AV249)*Source!I249, 2)</f>
        <v>0.5</v>
      </c>
      <c r="J418" s="29">
        <f>IF(Source!BS249&lt;&gt; 0, Source!BS249, 1)</f>
        <v>18.11</v>
      </c>
      <c r="K418" s="35">
        <f>Source!R249</f>
        <v>9.1</v>
      </c>
      <c r="W418">
        <f>I418</f>
        <v>0.5</v>
      </c>
    </row>
    <row r="419" spans="1:27" ht="14.25" x14ac:dyDescent="0.2">
      <c r="A419" s="27"/>
      <c r="B419" s="28"/>
      <c r="C419" s="28" t="s">
        <v>501</v>
      </c>
      <c r="D419" s="30"/>
      <c r="E419" s="29"/>
      <c r="F419" s="32">
        <f>Source!AL249</f>
        <v>6.23</v>
      </c>
      <c r="G419" s="31" t="str">
        <f>Source!DD249</f>
        <v/>
      </c>
      <c r="H419" s="29">
        <f>Source!AW249</f>
        <v>1</v>
      </c>
      <c r="I419" s="33">
        <f>ROUND((Source!AC249*Source!AW249)*Source!I249, 2)</f>
        <v>49.84</v>
      </c>
      <c r="J419" s="29">
        <f>IF(Source!BC249&lt;&gt; 0, Source!BC249, 1)</f>
        <v>5.07</v>
      </c>
      <c r="K419" s="33">
        <f>Source!P249</f>
        <v>252.69</v>
      </c>
    </row>
    <row r="420" spans="1:27" ht="14.25" x14ac:dyDescent="0.2">
      <c r="A420" s="27"/>
      <c r="B420" s="28"/>
      <c r="C420" s="28" t="s">
        <v>495</v>
      </c>
      <c r="D420" s="30" t="s">
        <v>496</v>
      </c>
      <c r="E420" s="29">
        <f>Source!DN249</f>
        <v>112</v>
      </c>
      <c r="F420" s="32"/>
      <c r="G420" s="31"/>
      <c r="H420" s="29"/>
      <c r="I420" s="33">
        <f>SUM(Q415:Q419)</f>
        <v>1272.3599999999999</v>
      </c>
      <c r="J420" s="29">
        <f>Source!BZ249</f>
        <v>95</v>
      </c>
      <c r="K420" s="33">
        <f>SUM(R415:R419)</f>
        <v>19544.95</v>
      </c>
    </row>
    <row r="421" spans="1:27" ht="14.25" x14ac:dyDescent="0.2">
      <c r="A421" s="27"/>
      <c r="B421" s="28"/>
      <c r="C421" s="28" t="s">
        <v>497</v>
      </c>
      <c r="D421" s="30" t="s">
        <v>496</v>
      </c>
      <c r="E421" s="29">
        <f>Source!DO249</f>
        <v>70</v>
      </c>
      <c r="F421" s="32"/>
      <c r="G421" s="31"/>
      <c r="H421" s="29"/>
      <c r="I421" s="33">
        <f>SUM(S415:S420)</f>
        <v>795.23</v>
      </c>
      <c r="J421" s="29">
        <f>Source!CA249</f>
        <v>46</v>
      </c>
      <c r="K421" s="33">
        <f>SUM(T415:T420)</f>
        <v>9463.8700000000008</v>
      </c>
    </row>
    <row r="422" spans="1:27" ht="14.25" x14ac:dyDescent="0.2">
      <c r="A422" s="27"/>
      <c r="B422" s="28"/>
      <c r="C422" s="28" t="s">
        <v>498</v>
      </c>
      <c r="D422" s="30" t="s">
        <v>496</v>
      </c>
      <c r="E422" s="29">
        <f>175</f>
        <v>175</v>
      </c>
      <c r="F422" s="32"/>
      <c r="G422" s="31"/>
      <c r="H422" s="29"/>
      <c r="I422" s="33">
        <f>SUM(U415:U421)</f>
        <v>0.88</v>
      </c>
      <c r="J422" s="29">
        <f>167</f>
        <v>167</v>
      </c>
      <c r="K422" s="33">
        <f>SUM(V415:V421)</f>
        <v>15.2</v>
      </c>
    </row>
    <row r="423" spans="1:27" ht="14.25" x14ac:dyDescent="0.2">
      <c r="A423" s="27"/>
      <c r="B423" s="28"/>
      <c r="C423" s="28" t="s">
        <v>499</v>
      </c>
      <c r="D423" s="30" t="s">
        <v>500</v>
      </c>
      <c r="E423" s="29">
        <f>Source!AQ249</f>
        <v>11</v>
      </c>
      <c r="F423" s="32"/>
      <c r="G423" s="31" t="str">
        <f>Source!DI249</f>
        <v/>
      </c>
      <c r="H423" s="29">
        <f>Source!AV249</f>
        <v>1.0469999999999999</v>
      </c>
      <c r="I423" s="33">
        <f>Source!U249</f>
        <v>92.135999999999996</v>
      </c>
      <c r="J423" s="29"/>
      <c r="K423" s="33"/>
    </row>
    <row r="424" spans="1:27" ht="15" x14ac:dyDescent="0.25">
      <c r="A424" s="38"/>
      <c r="B424" s="38"/>
      <c r="C424" s="38"/>
      <c r="D424" s="38"/>
      <c r="E424" s="38"/>
      <c r="F424" s="38"/>
      <c r="G424" s="38"/>
      <c r="H424" s="39">
        <f>I416+I417+I419+I420+I421+I422</f>
        <v>3256.44</v>
      </c>
      <c r="I424" s="39"/>
      <c r="J424" s="39">
        <f>K416+K417+K419+K420+K421+K422</f>
        <v>49868.18</v>
      </c>
      <c r="K424" s="39"/>
      <c r="O424" s="36">
        <f>I416+I417+I419+I420+I421+I422</f>
        <v>3256.44</v>
      </c>
      <c r="P424" s="36">
        <f>K416+K417+K419+K420+K421+K422</f>
        <v>49868.18</v>
      </c>
      <c r="X424">
        <f>IF(Source!BI249&lt;=1,I416+I417+I419+I420+I421+I422-0, 0)</f>
        <v>0</v>
      </c>
      <c r="Y424">
        <f>IF(Source!BI249=2,I416+I417+I419+I420+I421+I422-0, 0)</f>
        <v>3256.44</v>
      </c>
      <c r="Z424">
        <f>IF(Source!BI249=3,I416+I417+I419+I420+I421+I422-0, 0)</f>
        <v>0</v>
      </c>
      <c r="AA424">
        <f>IF(Source!BI249=4,I416+I417+I419+I420+I421+I422,0)</f>
        <v>0</v>
      </c>
    </row>
    <row r="425" spans="1:27" ht="99.75" x14ac:dyDescent="0.2">
      <c r="A425" s="27" t="str">
        <f>Source!E250</f>
        <v>46</v>
      </c>
      <c r="B425" s="28" t="str">
        <f>Source!F250</f>
        <v>1.21-5-1237</v>
      </c>
      <c r="C425" s="28" t="str">
        <f>Source!G250</f>
        <v>Муфты универсальные ремонтные концевые внутренней и наружной установки для кабелей с бумажной изоляцией на напряжение 1 кВ, с наконечниками со срывающимися головками и с паяным узлом заземления, тип 4КВНтп-МКС-В-70/120</v>
      </c>
      <c r="D425" s="30" t="str">
        <f>Source!H250</f>
        <v>компл.</v>
      </c>
      <c r="E425" s="29">
        <f>Source!I250</f>
        <v>8</v>
      </c>
      <c r="F425" s="32">
        <f>Source!AL250</f>
        <v>673.75</v>
      </c>
      <c r="G425" s="31" t="str">
        <f>Source!DD250</f>
        <v/>
      </c>
      <c r="H425" s="29">
        <f>Source!AW250</f>
        <v>1</v>
      </c>
      <c r="I425" s="33">
        <f>ROUND((Source!AC250*Source!AW250)*Source!I250, 2)</f>
        <v>5390</v>
      </c>
      <c r="J425" s="29">
        <f>IF(Source!BC250&lt;&gt; 0, Source!BC250, 1)</f>
        <v>4.09</v>
      </c>
      <c r="K425" s="33">
        <f>Source!P250</f>
        <v>22045.1</v>
      </c>
      <c r="Q425">
        <f>ROUND((Source!DN250/100)*ROUND((Source!AF250*Source!AV250)*Source!I250, 2), 2)</f>
        <v>0</v>
      </c>
      <c r="R425">
        <f>Source!X250</f>
        <v>0</v>
      </c>
      <c r="S425">
        <f>ROUND((Source!DO250/100)*ROUND((Source!AF250*Source!AV250)*Source!I250, 2), 2)</f>
        <v>0</v>
      </c>
      <c r="T425">
        <f>Source!Y250</f>
        <v>0</v>
      </c>
      <c r="U425">
        <f>ROUND((175/100)*ROUND((Source!AE250*Source!AV250)*Source!I250, 2), 2)</f>
        <v>0</v>
      </c>
      <c r="V425">
        <f>ROUND((167/100)*ROUND(Source!CS250*Source!I250, 2), 2)</f>
        <v>0</v>
      </c>
    </row>
    <row r="426" spans="1:27" ht="15" x14ac:dyDescent="0.25">
      <c r="A426" s="38"/>
      <c r="B426" s="38"/>
      <c r="C426" s="38"/>
      <c r="D426" s="38"/>
      <c r="E426" s="38"/>
      <c r="F426" s="38"/>
      <c r="G426" s="38"/>
      <c r="H426" s="39">
        <f>I425</f>
        <v>5390</v>
      </c>
      <c r="I426" s="39"/>
      <c r="J426" s="39">
        <f>K425</f>
        <v>22045.1</v>
      </c>
      <c r="K426" s="39"/>
      <c r="O426" s="36">
        <f>I425</f>
        <v>5390</v>
      </c>
      <c r="P426" s="36">
        <f>K425</f>
        <v>22045.1</v>
      </c>
      <c r="X426">
        <f>IF(Source!BI250&lt;=1,I425-0, 0)</f>
        <v>0</v>
      </c>
      <c r="Y426">
        <f>IF(Source!BI250=2,I425-0, 0)</f>
        <v>5390</v>
      </c>
      <c r="Z426">
        <f>IF(Source!BI250=3,I425-0, 0)</f>
        <v>0</v>
      </c>
      <c r="AA426">
        <f>IF(Source!BI250=4,I425,0)</f>
        <v>0</v>
      </c>
    </row>
    <row r="428" spans="1:27" ht="15" x14ac:dyDescent="0.25">
      <c r="A428" s="42" t="str">
        <f>CONCATENATE("Итого по подразделу: ",IF(Source!G252&lt;&gt;"Новый подраздел", Source!G252, ""))</f>
        <v>Итого по подразделу: 2.2</v>
      </c>
      <c r="B428" s="42"/>
      <c r="C428" s="42"/>
      <c r="D428" s="42"/>
      <c r="E428" s="42"/>
      <c r="F428" s="42"/>
      <c r="G428" s="42"/>
      <c r="H428" s="37">
        <f>SUM(O402:O427)</f>
        <v>11599.41</v>
      </c>
      <c r="I428" s="41"/>
      <c r="J428" s="37">
        <f>SUM(P402:P427)</f>
        <v>98472.97</v>
      </c>
      <c r="K428" s="41"/>
    </row>
    <row r="429" spans="1:27" ht="15" hidden="1" x14ac:dyDescent="0.25">
      <c r="A429" s="42" t="s">
        <v>502</v>
      </c>
      <c r="B429" s="42"/>
      <c r="C429" s="42"/>
      <c r="D429" s="42"/>
      <c r="E429" s="42"/>
      <c r="F429" s="42"/>
      <c r="G429" s="42"/>
      <c r="H429" s="37">
        <f>SUM(AC402:AC428)</f>
        <v>0</v>
      </c>
      <c r="I429" s="41"/>
      <c r="J429" s="37">
        <f>SUM(AD402:AD428)</f>
        <v>0</v>
      </c>
      <c r="K429" s="41"/>
    </row>
    <row r="431" spans="1:27" ht="16.5" x14ac:dyDescent="0.25">
      <c r="A431" s="25" t="str">
        <f>CONCATENATE("Подраздел: ",IF(Source!G281&lt;&gt;"Новый подраздел", Source!G281, ""))</f>
        <v>Подраздел: 2.3</v>
      </c>
      <c r="B431" s="25"/>
      <c r="C431" s="25"/>
      <c r="D431" s="25"/>
      <c r="E431" s="25"/>
      <c r="F431" s="25"/>
      <c r="G431" s="25"/>
      <c r="H431" s="25"/>
      <c r="I431" s="25"/>
      <c r="J431" s="25"/>
      <c r="K431" s="25"/>
    </row>
    <row r="432" spans="1:27" ht="57" x14ac:dyDescent="0.2">
      <c r="A432" s="27" t="str">
        <f>Source!E285</f>
        <v>47</v>
      </c>
      <c r="B432" s="28" t="str">
        <f>Source!F285</f>
        <v>3.34-18-1</v>
      </c>
      <c r="C432" s="28" t="str">
        <f>Source!G285</f>
        <v>Устройство трубопроводов из полиэтиленовых труб до 2-х отверстий</v>
      </c>
      <c r="D432" s="30" t="str">
        <f>Source!H285</f>
        <v>1 канало-километр трубопровода</v>
      </c>
      <c r="E432" s="29">
        <f>Source!I285</f>
        <v>3.62</v>
      </c>
      <c r="F432" s="32"/>
      <c r="G432" s="31"/>
      <c r="H432" s="29"/>
      <c r="I432" s="33"/>
      <c r="J432" s="29"/>
      <c r="K432" s="33"/>
      <c r="Q432">
        <f>ROUND((Source!DN285/100)*ROUND((Source!AF285*Source!AV285)*Source!I285, 2), 2)</f>
        <v>6432.57</v>
      </c>
      <c r="R432">
        <f>Source!X285</f>
        <v>98811.72</v>
      </c>
      <c r="S432">
        <f>ROUND((Source!DO285/100)*ROUND((Source!AF285*Source!AV285)*Source!I285, 2), 2)</f>
        <v>4020.36</v>
      </c>
      <c r="T432">
        <f>Source!Y285</f>
        <v>45765.43</v>
      </c>
      <c r="U432">
        <f>ROUND((175/100)*ROUND((Source!AE285*Source!AV285)*Source!I285, 2), 2)</f>
        <v>0</v>
      </c>
      <c r="V432">
        <f>ROUND((167/100)*ROUND(Source!CS285*Source!I285, 2), 2)</f>
        <v>0</v>
      </c>
    </row>
    <row r="433" spans="1:27" x14ac:dyDescent="0.2">
      <c r="C433" s="34" t="str">
        <f>"Объем: "&amp;Source!I285&amp;"=1,4+"&amp;"2,22"</f>
        <v>Объем: 3,62=1,4+2,22</v>
      </c>
    </row>
    <row r="434" spans="1:27" ht="14.25" x14ac:dyDescent="0.2">
      <c r="A434" s="27"/>
      <c r="B434" s="28"/>
      <c r="C434" s="28" t="s">
        <v>492</v>
      </c>
      <c r="D434" s="30"/>
      <c r="E434" s="29"/>
      <c r="F434" s="32">
        <f>Source!AO285</f>
        <v>1486.94</v>
      </c>
      <c r="G434" s="31" t="str">
        <f>Source!DG285</f>
        <v/>
      </c>
      <c r="H434" s="29">
        <f>Source!AV285</f>
        <v>1.0669999999999999</v>
      </c>
      <c r="I434" s="33">
        <f>ROUND((Source!AF285*Source!AV285)*Source!I285, 2)</f>
        <v>5743.37</v>
      </c>
      <c r="J434" s="29">
        <f>IF(Source!BA285&lt;&gt; 0, Source!BA285, 1)</f>
        <v>18.11</v>
      </c>
      <c r="K434" s="33">
        <f>Source!S285</f>
        <v>104012.34</v>
      </c>
      <c r="W434">
        <f>I434</f>
        <v>5743.37</v>
      </c>
    </row>
    <row r="435" spans="1:27" ht="14.25" x14ac:dyDescent="0.2">
      <c r="A435" s="27"/>
      <c r="B435" s="28"/>
      <c r="C435" s="28" t="s">
        <v>501</v>
      </c>
      <c r="D435" s="30"/>
      <c r="E435" s="29"/>
      <c r="F435" s="32">
        <f>Source!AL285</f>
        <v>44.38</v>
      </c>
      <c r="G435" s="31" t="str">
        <f>Source!DD285</f>
        <v/>
      </c>
      <c r="H435" s="29">
        <f>Source!AW285</f>
        <v>1.081</v>
      </c>
      <c r="I435" s="33">
        <f>ROUND((Source!AC285*Source!AW285)*Source!I285, 2)</f>
        <v>173.67</v>
      </c>
      <c r="J435" s="29">
        <f>IF(Source!BC285&lt;&gt; 0, Source!BC285, 1)</f>
        <v>5.07</v>
      </c>
      <c r="K435" s="33">
        <f>Source!P285</f>
        <v>880.5</v>
      </c>
    </row>
    <row r="436" spans="1:27" ht="14.25" x14ac:dyDescent="0.2">
      <c r="A436" s="27"/>
      <c r="B436" s="28"/>
      <c r="C436" s="28" t="s">
        <v>495</v>
      </c>
      <c r="D436" s="30" t="s">
        <v>496</v>
      </c>
      <c r="E436" s="29">
        <f>Source!DN285</f>
        <v>112</v>
      </c>
      <c r="F436" s="32"/>
      <c r="G436" s="31"/>
      <c r="H436" s="29"/>
      <c r="I436" s="33">
        <f>SUM(Q432:Q435)</f>
        <v>6432.57</v>
      </c>
      <c r="J436" s="29">
        <f>Source!BZ285</f>
        <v>95</v>
      </c>
      <c r="K436" s="33">
        <f>SUM(R432:R435)</f>
        <v>98811.72</v>
      </c>
    </row>
    <row r="437" spans="1:27" ht="14.25" x14ac:dyDescent="0.2">
      <c r="A437" s="27"/>
      <c r="B437" s="28"/>
      <c r="C437" s="28" t="s">
        <v>497</v>
      </c>
      <c r="D437" s="30" t="s">
        <v>496</v>
      </c>
      <c r="E437" s="29">
        <f>Source!DO285</f>
        <v>70</v>
      </c>
      <c r="F437" s="32"/>
      <c r="G437" s="31"/>
      <c r="H437" s="29"/>
      <c r="I437" s="33">
        <f>SUM(S432:S436)</f>
        <v>4020.36</v>
      </c>
      <c r="J437" s="29">
        <f>Source!CA285</f>
        <v>44</v>
      </c>
      <c r="K437" s="33">
        <f>SUM(T432:T436)</f>
        <v>45765.43</v>
      </c>
    </row>
    <row r="438" spans="1:27" ht="14.25" x14ac:dyDescent="0.2">
      <c r="A438" s="27"/>
      <c r="B438" s="28"/>
      <c r="C438" s="28" t="s">
        <v>499</v>
      </c>
      <c r="D438" s="30" t="s">
        <v>500</v>
      </c>
      <c r="E438" s="29">
        <f>Source!AQ285</f>
        <v>133</v>
      </c>
      <c r="F438" s="32"/>
      <c r="G438" s="31" t="str">
        <f>Source!DI285</f>
        <v/>
      </c>
      <c r="H438" s="29">
        <f>Source!AV285</f>
        <v>1.0669999999999999</v>
      </c>
      <c r="I438" s="33">
        <f>Source!U285</f>
        <v>513.71782000000007</v>
      </c>
      <c r="J438" s="29"/>
      <c r="K438" s="33"/>
    </row>
    <row r="439" spans="1:27" ht="15" x14ac:dyDescent="0.25">
      <c r="A439" s="38"/>
      <c r="B439" s="38"/>
      <c r="C439" s="38"/>
      <c r="D439" s="38"/>
      <c r="E439" s="38"/>
      <c r="F439" s="38"/>
      <c r="G439" s="38"/>
      <c r="H439" s="39">
        <f>I434+I435+I436+I437</f>
        <v>16369.970000000001</v>
      </c>
      <c r="I439" s="39"/>
      <c r="J439" s="39">
        <f>K434+K435+K436+K437</f>
        <v>249469.99</v>
      </c>
      <c r="K439" s="39"/>
      <c r="O439" s="36">
        <f>I434+I435+I436+I437</f>
        <v>16369.970000000001</v>
      </c>
      <c r="P439" s="36">
        <f>K434+K435+K436+K437</f>
        <v>249469.99</v>
      </c>
      <c r="X439">
        <f>IF(Source!BI285&lt;=1,I434+I435+I436+I437-0, 0)</f>
        <v>16369.970000000001</v>
      </c>
      <c r="Y439">
        <f>IF(Source!BI285=2,I434+I435+I436+I437-0, 0)</f>
        <v>0</v>
      </c>
      <c r="Z439">
        <f>IF(Source!BI285=3,I434+I435+I436+I437-0, 0)</f>
        <v>0</v>
      </c>
      <c r="AA439">
        <f>IF(Source!BI285=4,I434+I435+I436+I437,0)</f>
        <v>0</v>
      </c>
    </row>
    <row r="440" spans="1:27" ht="42.75" x14ac:dyDescent="0.2">
      <c r="A440" s="27" t="str">
        <f>Source!E286</f>
        <v>48</v>
      </c>
      <c r="B440" s="28" t="str">
        <f>Source!F286</f>
        <v>1.12-5-419</v>
      </c>
      <c r="C440" s="28" t="str">
        <f>Source!G286</f>
        <v>Трубы напорные из полиэтилена (ПЭ-80) SDR 13,6 (1,0 МПа), диаметр 160 мм, толщина стенки 11,8 мм</v>
      </c>
      <c r="D440" s="30" t="str">
        <f>Source!H286</f>
        <v>м</v>
      </c>
      <c r="E440" s="29">
        <f>Source!I286</f>
        <v>1400</v>
      </c>
      <c r="F440" s="32">
        <f>Source!AL286</f>
        <v>147.84</v>
      </c>
      <c r="G440" s="31" t="str">
        <f>Source!DD286</f>
        <v/>
      </c>
      <c r="H440" s="29">
        <f>Source!AW286</f>
        <v>1</v>
      </c>
      <c r="I440" s="33">
        <f>ROUND((Source!AC286*Source!AW286)*Source!I286, 2)</f>
        <v>206976</v>
      </c>
      <c r="J440" s="29">
        <f>IF(Source!BC286&lt;&gt; 0, Source!BC286, 1)</f>
        <v>6.87</v>
      </c>
      <c r="K440" s="33">
        <f>Source!P286</f>
        <v>1421925.12</v>
      </c>
      <c r="Q440">
        <f>ROUND((Source!DN286/100)*ROUND((Source!AF286*Source!AV286)*Source!I286, 2), 2)</f>
        <v>0</v>
      </c>
      <c r="R440">
        <f>Source!X286</f>
        <v>0</v>
      </c>
      <c r="S440">
        <f>ROUND((Source!DO286/100)*ROUND((Source!AF286*Source!AV286)*Source!I286, 2), 2)</f>
        <v>0</v>
      </c>
      <c r="T440">
        <f>Source!Y286</f>
        <v>0</v>
      </c>
      <c r="U440">
        <f>ROUND((175/100)*ROUND((Source!AE286*Source!AV286)*Source!I286, 2), 2)</f>
        <v>0</v>
      </c>
      <c r="V440">
        <f>ROUND((167/100)*ROUND(Source!CS286*Source!I286, 2), 2)</f>
        <v>0</v>
      </c>
    </row>
    <row r="441" spans="1:27" ht="15" x14ac:dyDescent="0.25">
      <c r="A441" s="38"/>
      <c r="B441" s="38"/>
      <c r="C441" s="38"/>
      <c r="D441" s="38"/>
      <c r="E441" s="38"/>
      <c r="F441" s="38"/>
      <c r="G441" s="38"/>
      <c r="H441" s="39">
        <f>I440</f>
        <v>206976</v>
      </c>
      <c r="I441" s="39"/>
      <c r="J441" s="39">
        <f>K440</f>
        <v>1421925.12</v>
      </c>
      <c r="K441" s="39"/>
      <c r="O441" s="36">
        <f>I440</f>
        <v>206976</v>
      </c>
      <c r="P441" s="36">
        <f>K440</f>
        <v>1421925.12</v>
      </c>
      <c r="X441">
        <f>IF(Source!BI286&lt;=1,I440-0, 0)</f>
        <v>206976</v>
      </c>
      <c r="Y441">
        <f>IF(Source!BI286=2,I440-0, 0)</f>
        <v>0</v>
      </c>
      <c r="Z441">
        <f>IF(Source!BI286=3,I440-0, 0)</f>
        <v>0</v>
      </c>
      <c r="AA441">
        <f>IF(Source!BI286=4,I440,0)</f>
        <v>0</v>
      </c>
    </row>
    <row r="442" spans="1:27" ht="42.75" x14ac:dyDescent="0.2">
      <c r="A442" s="27" t="str">
        <f>Source!E287</f>
        <v>49</v>
      </c>
      <c r="B442" s="28" t="str">
        <f>Source!F287</f>
        <v>1.12-5-414</v>
      </c>
      <c r="C442" s="28" t="str">
        <f>Source!G287</f>
        <v>Трубы напорные из полиэтилена (ПЭ-80) SDR 13,6 (1,0 МПа), диаметр 63 мм, толщина стенки 4,7 мм</v>
      </c>
      <c r="D442" s="30" t="str">
        <f>Source!H287</f>
        <v>м</v>
      </c>
      <c r="E442" s="29">
        <f>Source!I287</f>
        <v>2220</v>
      </c>
      <c r="F442" s="32">
        <f>Source!AL287</f>
        <v>24</v>
      </c>
      <c r="G442" s="31" t="str">
        <f>Source!DD287</f>
        <v/>
      </c>
      <c r="H442" s="29">
        <f>Source!AW287</f>
        <v>1</v>
      </c>
      <c r="I442" s="33">
        <f>ROUND((Source!AC287*Source!AW287)*Source!I287, 2)</f>
        <v>53280</v>
      </c>
      <c r="J442" s="29">
        <f>IF(Source!BC287&lt;&gt; 0, Source!BC287, 1)</f>
        <v>7.31</v>
      </c>
      <c r="K442" s="33">
        <f>Source!P287</f>
        <v>389476.8</v>
      </c>
      <c r="Q442">
        <f>ROUND((Source!DN287/100)*ROUND((Source!AF287*Source!AV287)*Source!I287, 2), 2)</f>
        <v>0</v>
      </c>
      <c r="R442">
        <f>Source!X287</f>
        <v>0</v>
      </c>
      <c r="S442">
        <f>ROUND((Source!DO287/100)*ROUND((Source!AF287*Source!AV287)*Source!I287, 2), 2)</f>
        <v>0</v>
      </c>
      <c r="T442">
        <f>Source!Y287</f>
        <v>0</v>
      </c>
      <c r="U442">
        <f>ROUND((175/100)*ROUND((Source!AE287*Source!AV287)*Source!I287, 2), 2)</f>
        <v>0</v>
      </c>
      <c r="V442">
        <f>ROUND((167/100)*ROUND(Source!CS287*Source!I287, 2), 2)</f>
        <v>0</v>
      </c>
    </row>
    <row r="443" spans="1:27" ht="15" x14ac:dyDescent="0.25">
      <c r="A443" s="38"/>
      <c r="B443" s="38"/>
      <c r="C443" s="38"/>
      <c r="D443" s="38"/>
      <c r="E443" s="38"/>
      <c r="F443" s="38"/>
      <c r="G443" s="38"/>
      <c r="H443" s="39">
        <f>I442</f>
        <v>53280</v>
      </c>
      <c r="I443" s="39"/>
      <c r="J443" s="39">
        <f>K442</f>
        <v>389476.8</v>
      </c>
      <c r="K443" s="39"/>
      <c r="O443" s="36">
        <f>I442</f>
        <v>53280</v>
      </c>
      <c r="P443" s="36">
        <f>K442</f>
        <v>389476.8</v>
      </c>
      <c r="X443">
        <f>IF(Source!BI287&lt;=1,I442-0, 0)</f>
        <v>53280</v>
      </c>
      <c r="Y443">
        <f>IF(Source!BI287=2,I442-0, 0)</f>
        <v>0</v>
      </c>
      <c r="Z443">
        <f>IF(Source!BI287=3,I442-0, 0)</f>
        <v>0</v>
      </c>
      <c r="AA443">
        <f>IF(Source!BI287=4,I442,0)</f>
        <v>0</v>
      </c>
    </row>
    <row r="445" spans="1:27" ht="15" x14ac:dyDescent="0.25">
      <c r="A445" s="42" t="str">
        <f>CONCATENATE("Итого по подразделу: ",IF(Source!G289&lt;&gt;"Новый подраздел", Source!G289, ""))</f>
        <v>Итого по подразделу: 2.3</v>
      </c>
      <c r="B445" s="42"/>
      <c r="C445" s="42"/>
      <c r="D445" s="42"/>
      <c r="E445" s="42"/>
      <c r="F445" s="42"/>
      <c r="G445" s="42"/>
      <c r="H445" s="37">
        <f>SUM(O431:O444)</f>
        <v>276625.96999999997</v>
      </c>
      <c r="I445" s="41"/>
      <c r="J445" s="37">
        <f>SUM(P431:P444)</f>
        <v>2060871.9100000001</v>
      </c>
      <c r="K445" s="41"/>
    </row>
    <row r="446" spans="1:27" ht="15" hidden="1" x14ac:dyDescent="0.25">
      <c r="A446" s="42" t="s">
        <v>502</v>
      </c>
      <c r="B446" s="42"/>
      <c r="C446" s="42"/>
      <c r="D446" s="42"/>
      <c r="E446" s="42"/>
      <c r="F446" s="42"/>
      <c r="G446" s="42"/>
      <c r="H446" s="37">
        <f>SUM(AC431:AC445)</f>
        <v>0</v>
      </c>
      <c r="I446" s="41"/>
      <c r="J446" s="37">
        <f>SUM(AD431:AD445)</f>
        <v>0</v>
      </c>
      <c r="K446" s="41"/>
    </row>
    <row r="448" spans="1:27" ht="16.5" x14ac:dyDescent="0.25">
      <c r="A448" s="25" t="str">
        <f>CONCATENATE("Подраздел: ",IF(Source!G318&lt;&gt;"Новый подраздел", Source!G318, ""))</f>
        <v>Подраздел: 2.10</v>
      </c>
      <c r="B448" s="25"/>
      <c r="C448" s="25"/>
      <c r="D448" s="25"/>
      <c r="E448" s="25"/>
      <c r="F448" s="25"/>
      <c r="G448" s="25"/>
      <c r="H448" s="25"/>
      <c r="I448" s="25"/>
      <c r="J448" s="25"/>
      <c r="K448" s="25"/>
    </row>
    <row r="449" spans="1:27" ht="42.75" x14ac:dyDescent="0.2">
      <c r="A449" s="27" t="str">
        <f>Source!E322</f>
        <v>50</v>
      </c>
      <c r="B449" s="28" t="str">
        <f>Source!F322</f>
        <v>3.13-31-1</v>
      </c>
      <c r="C449" s="28" t="str">
        <f>Source!G322</f>
        <v>Огнезащитное покрытие электрических кабелей, проложенных в коллекторах, мастикой "МПВО" вручную</v>
      </c>
      <c r="D449" s="30" t="str">
        <f>Source!H322</f>
        <v>м2 покрытия</v>
      </c>
      <c r="E449" s="29">
        <f>Source!I322</f>
        <v>3.8</v>
      </c>
      <c r="F449" s="32"/>
      <c r="G449" s="31"/>
      <c r="H449" s="29"/>
      <c r="I449" s="33"/>
      <c r="J449" s="29"/>
      <c r="K449" s="33"/>
      <c r="Q449">
        <f>ROUND((Source!DN322/100)*ROUND((Source!AF322*Source!AV322)*Source!I322, 2), 2)</f>
        <v>141.09</v>
      </c>
      <c r="R449">
        <f>Source!X322</f>
        <v>2165.73</v>
      </c>
      <c r="S449">
        <f>ROUND((Source!DO322/100)*ROUND((Source!AF322*Source!AV322)*Source!I322, 2), 2)</f>
        <v>103.46</v>
      </c>
      <c r="T449">
        <f>Source!Y322</f>
        <v>1070.7</v>
      </c>
      <c r="U449">
        <f>ROUND((175/100)*ROUND((Source!AE322*Source!AV322)*Source!I322, 2), 2)</f>
        <v>0</v>
      </c>
      <c r="V449">
        <f>ROUND((167/100)*ROUND(Source!CS322*Source!I322, 2), 2)</f>
        <v>0</v>
      </c>
    </row>
    <row r="450" spans="1:27" ht="14.25" x14ac:dyDescent="0.2">
      <c r="A450" s="27"/>
      <c r="B450" s="28"/>
      <c r="C450" s="28" t="s">
        <v>492</v>
      </c>
      <c r="D450" s="30"/>
      <c r="E450" s="29"/>
      <c r="F450" s="32">
        <f>Source!AO322</f>
        <v>35.36</v>
      </c>
      <c r="G450" s="31" t="str">
        <f>Source!DG322</f>
        <v/>
      </c>
      <c r="H450" s="29">
        <f>Source!AV322</f>
        <v>1</v>
      </c>
      <c r="I450" s="33">
        <f>ROUND((Source!AF322*Source!AV322)*Source!I322, 2)</f>
        <v>134.37</v>
      </c>
      <c r="J450" s="29">
        <f>IF(Source!BA322&lt;&gt; 0, Source!BA322, 1)</f>
        <v>18.11</v>
      </c>
      <c r="K450" s="33">
        <f>Source!S322</f>
        <v>2433.4</v>
      </c>
      <c r="W450">
        <f>I450</f>
        <v>134.37</v>
      </c>
    </row>
    <row r="451" spans="1:27" ht="57" x14ac:dyDescent="0.2">
      <c r="A451" s="27" t="str">
        <f>Source!E323</f>
        <v>50,1</v>
      </c>
      <c r="B451" s="28" t="str">
        <f>Source!F323</f>
        <v>1.1-1-1969</v>
      </c>
      <c r="C451" s="28" t="str">
        <f>Source!G323</f>
        <v>Паста огнезащитная терморасширяющаяся для защиты электрических кабелей, марка "Огракс-В"</v>
      </c>
      <c r="D451" s="30" t="str">
        <f>Source!H323</f>
        <v>т</v>
      </c>
      <c r="E451" s="29">
        <f>Source!I323</f>
        <v>5.7000000000000002E-3</v>
      </c>
      <c r="F451" s="32">
        <f>Source!AK323</f>
        <v>152277.10999999999</v>
      </c>
      <c r="G451" s="40" t="s">
        <v>3</v>
      </c>
      <c r="H451" s="29">
        <f>Source!AW323</f>
        <v>1</v>
      </c>
      <c r="I451" s="33">
        <f>ROUND((Source!AC323*Source!AW323)*Source!I323, 2)+ROUND(((((Source!ET323)-(Source!EU323))+Source!AE323)*Source!AV323)*Source!I323, 2)+ROUND((Source!AF323*Source!AV323)*Source!I323, 2)</f>
        <v>867.98</v>
      </c>
      <c r="J451" s="29">
        <f>IF(Source!BC323&lt;&gt; 0, Source!BC323, 1)</f>
        <v>1.88</v>
      </c>
      <c r="K451" s="33">
        <f>Source!O323</f>
        <v>1631.8</v>
      </c>
      <c r="Q451">
        <f>ROUND((Source!DN323/100)*ROUND((Source!AF323*Source!AV323)*Source!I323, 2), 2)</f>
        <v>0</v>
      </c>
      <c r="R451">
        <f>Source!X323</f>
        <v>0</v>
      </c>
      <c r="S451">
        <f>ROUND((Source!DO323/100)*ROUND((Source!AF323*Source!AV323)*Source!I323, 2), 2)</f>
        <v>0</v>
      </c>
      <c r="T451">
        <f>Source!Y323</f>
        <v>0</v>
      </c>
      <c r="U451">
        <f>ROUND((175/100)*ROUND((Source!AE323*Source!AV323)*Source!I323, 2), 2)</f>
        <v>0</v>
      </c>
      <c r="V451">
        <f>ROUND((167/100)*ROUND(Source!CS323*Source!I323, 2), 2)</f>
        <v>0</v>
      </c>
      <c r="X451">
        <f>IF(Source!BI323&lt;=1,I451, 0)</f>
        <v>867.98</v>
      </c>
      <c r="Y451">
        <f>IF(Source!BI323=2,I451, 0)</f>
        <v>0</v>
      </c>
      <c r="Z451">
        <f>IF(Source!BI323=3,I451, 0)</f>
        <v>0</v>
      </c>
      <c r="AA451">
        <f>IF(Source!BI323=4,I451, 0)</f>
        <v>0</v>
      </c>
    </row>
    <row r="452" spans="1:27" ht="14.25" x14ac:dyDescent="0.2">
      <c r="A452" s="27"/>
      <c r="B452" s="28"/>
      <c r="C452" s="28" t="s">
        <v>495</v>
      </c>
      <c r="D452" s="30" t="s">
        <v>496</v>
      </c>
      <c r="E452" s="29">
        <f>Source!DN322</f>
        <v>105</v>
      </c>
      <c r="F452" s="32"/>
      <c r="G452" s="31"/>
      <c r="H452" s="29"/>
      <c r="I452" s="33">
        <f>SUM(Q449:Q451)</f>
        <v>141.09</v>
      </c>
      <c r="J452" s="29">
        <f>Source!BZ322</f>
        <v>89</v>
      </c>
      <c r="K452" s="33">
        <f>SUM(R449:R451)</f>
        <v>2165.73</v>
      </c>
    </row>
    <row r="453" spans="1:27" ht="14.25" x14ac:dyDescent="0.2">
      <c r="A453" s="27"/>
      <c r="B453" s="28"/>
      <c r="C453" s="28" t="s">
        <v>497</v>
      </c>
      <c r="D453" s="30" t="s">
        <v>496</v>
      </c>
      <c r="E453" s="29">
        <f>Source!DO322</f>
        <v>77</v>
      </c>
      <c r="F453" s="32"/>
      <c r="G453" s="31"/>
      <c r="H453" s="29"/>
      <c r="I453" s="33">
        <f>SUM(S449:S452)</f>
        <v>103.46</v>
      </c>
      <c r="J453" s="29">
        <f>Source!CA322</f>
        <v>44</v>
      </c>
      <c r="K453" s="33">
        <f>SUM(T449:T452)</f>
        <v>1070.7</v>
      </c>
    </row>
    <row r="454" spans="1:27" ht="14.25" x14ac:dyDescent="0.2">
      <c r="A454" s="27"/>
      <c r="B454" s="28"/>
      <c r="C454" s="28" t="s">
        <v>499</v>
      </c>
      <c r="D454" s="30" t="s">
        <v>500</v>
      </c>
      <c r="E454" s="29">
        <f>Source!AQ322</f>
        <v>3.04</v>
      </c>
      <c r="F454" s="32"/>
      <c r="G454" s="31" t="str">
        <f>Source!DI322</f>
        <v/>
      </c>
      <c r="H454" s="29">
        <f>Source!AV322</f>
        <v>1</v>
      </c>
      <c r="I454" s="33">
        <f>Source!U322</f>
        <v>11.552</v>
      </c>
      <c r="J454" s="29"/>
      <c r="K454" s="33"/>
    </row>
    <row r="455" spans="1:27" ht="15" x14ac:dyDescent="0.25">
      <c r="A455" s="38"/>
      <c r="B455" s="38"/>
      <c r="C455" s="38"/>
      <c r="D455" s="38"/>
      <c r="E455" s="38"/>
      <c r="F455" s="38"/>
      <c r="G455" s="38"/>
      <c r="H455" s="39">
        <f>I450+I452+I453+SUM(I451:I451)</f>
        <v>1246.9000000000001</v>
      </c>
      <c r="I455" s="39"/>
      <c r="J455" s="39">
        <f>K450+K452+K453+SUM(K451:K451)</f>
        <v>7301.63</v>
      </c>
      <c r="K455" s="39"/>
      <c r="O455" s="36">
        <f>I450+I452+I453+SUM(I451:I451)</f>
        <v>1246.9000000000001</v>
      </c>
      <c r="P455" s="36">
        <f>K450+K452+K453+SUM(K451:K451)</f>
        <v>7301.63</v>
      </c>
      <c r="X455">
        <f>IF(Source!BI322&lt;=1,I450+I452+I453-0, 0)</f>
        <v>378.92</v>
      </c>
      <c r="Y455">
        <f>IF(Source!BI322=2,I450+I452+I453-0, 0)</f>
        <v>0</v>
      </c>
      <c r="Z455">
        <f>IF(Source!BI322=3,I450+I452+I453-0, 0)</f>
        <v>0</v>
      </c>
      <c r="AA455">
        <f>IF(Source!BI322=4,I450+I452+I453,0)</f>
        <v>0</v>
      </c>
    </row>
    <row r="456" spans="1:27" ht="114" x14ac:dyDescent="0.2">
      <c r="A456" s="27" t="str">
        <f>Source!E324</f>
        <v>51</v>
      </c>
      <c r="B456" s="28" t="str">
        <f>Source!F324</f>
        <v>4.8-239-7</v>
      </c>
      <c r="C456" s="28" t="str">
        <f>Source!G324</f>
        <v>Блоки управления и распределительные пункты (шкафы) высотой до 1700 мм, блок управления шкафного исполнения или распределительный пункт (шкаф), устанавливаемый на полу, высота и ширина 1700х1100 мм - распределительный пункт</v>
      </c>
      <c r="D456" s="30" t="str">
        <f>Source!H324</f>
        <v>1  ШТ.</v>
      </c>
      <c r="E456" s="29">
        <f>Source!I324</f>
        <v>4</v>
      </c>
      <c r="F456" s="32"/>
      <c r="G456" s="31"/>
      <c r="H456" s="29"/>
      <c r="I456" s="33"/>
      <c r="J456" s="29"/>
      <c r="K456" s="33"/>
      <c r="Q456">
        <f>ROUND((Source!DN324/100)*ROUND((Source!AF324*Source!AV324)*Source!I324, 2), 2)</f>
        <v>251.23</v>
      </c>
      <c r="R456">
        <f>Source!X324</f>
        <v>3859.13</v>
      </c>
      <c r="S456">
        <f>ROUND((Source!DO324/100)*ROUND((Source!AF324*Source!AV324)*Source!I324, 2), 2)</f>
        <v>157.02000000000001</v>
      </c>
      <c r="T456">
        <f>Source!Y324</f>
        <v>1868.63</v>
      </c>
      <c r="U456">
        <f>ROUND((175/100)*ROUND((Source!AE324*Source!AV324)*Source!I324, 2), 2)</f>
        <v>71.02</v>
      </c>
      <c r="V456">
        <f>ROUND((167/100)*ROUND(Source!CS324*Source!I324, 2), 2)</f>
        <v>1227.33</v>
      </c>
    </row>
    <row r="457" spans="1:27" ht="14.25" x14ac:dyDescent="0.2">
      <c r="A457" s="27"/>
      <c r="B457" s="28"/>
      <c r="C457" s="28" t="s">
        <v>492</v>
      </c>
      <c r="D457" s="30"/>
      <c r="E457" s="29"/>
      <c r="F457" s="32">
        <f>Source!AO324</f>
        <v>53.56</v>
      </c>
      <c r="G457" s="31" t="str">
        <f>Source!DG324</f>
        <v/>
      </c>
      <c r="H457" s="29">
        <f>Source!AV324</f>
        <v>1.0469999999999999</v>
      </c>
      <c r="I457" s="33">
        <f>ROUND((Source!AF324*Source!AV324)*Source!I324, 2)</f>
        <v>224.31</v>
      </c>
      <c r="J457" s="29">
        <f>IF(Source!BA324&lt;&gt; 0, Source!BA324, 1)</f>
        <v>18.11</v>
      </c>
      <c r="K457" s="33">
        <f>Source!S324</f>
        <v>4062.24</v>
      </c>
      <c r="W457">
        <f>I457</f>
        <v>224.31</v>
      </c>
    </row>
    <row r="458" spans="1:27" ht="14.25" x14ac:dyDescent="0.2">
      <c r="A458" s="27"/>
      <c r="B458" s="28"/>
      <c r="C458" s="28" t="s">
        <v>493</v>
      </c>
      <c r="D458" s="30"/>
      <c r="E458" s="29"/>
      <c r="F458" s="32">
        <f>Source!AM324</f>
        <v>70.38</v>
      </c>
      <c r="G458" s="31" t="str">
        <f>Source!DE324</f>
        <v/>
      </c>
      <c r="H458" s="29">
        <f>Source!AV324</f>
        <v>1.0469999999999999</v>
      </c>
      <c r="I458" s="33">
        <f>ROUND(((((Source!ET324)-(Source!EU324))+Source!AE324)*Source!AV324)*Source!I324, 2)</f>
        <v>294.75</v>
      </c>
      <c r="J458" s="29">
        <f>IF(Source!BB324&lt;&gt; 0, Source!BB324, 1)</f>
        <v>7.24</v>
      </c>
      <c r="K458" s="33">
        <f>Source!Q324</f>
        <v>2134</v>
      </c>
    </row>
    <row r="459" spans="1:27" ht="14.25" x14ac:dyDescent="0.2">
      <c r="A459" s="27"/>
      <c r="B459" s="28"/>
      <c r="C459" s="28" t="s">
        <v>494</v>
      </c>
      <c r="D459" s="30"/>
      <c r="E459" s="29"/>
      <c r="F459" s="32">
        <f>Source!AN324</f>
        <v>9.69</v>
      </c>
      <c r="G459" s="31" t="str">
        <f>Source!DF324</f>
        <v/>
      </c>
      <c r="H459" s="29">
        <f>Source!AV324</f>
        <v>1.0469999999999999</v>
      </c>
      <c r="I459" s="35">
        <f>ROUND((Source!AE324*Source!AV324)*Source!I324, 2)</f>
        <v>40.58</v>
      </c>
      <c r="J459" s="29">
        <f>IF(Source!BS324&lt;&gt; 0, Source!BS324, 1)</f>
        <v>18.11</v>
      </c>
      <c r="K459" s="35">
        <f>Source!R324</f>
        <v>734.93</v>
      </c>
      <c r="W459">
        <f>I459</f>
        <v>40.58</v>
      </c>
    </row>
    <row r="460" spans="1:27" ht="14.25" x14ac:dyDescent="0.2">
      <c r="A460" s="27"/>
      <c r="B460" s="28"/>
      <c r="C460" s="28" t="s">
        <v>501</v>
      </c>
      <c r="D460" s="30"/>
      <c r="E460" s="29"/>
      <c r="F460" s="32">
        <f>Source!AL324</f>
        <v>153.30000000000001</v>
      </c>
      <c r="G460" s="31" t="str">
        <f>Source!DD324</f>
        <v/>
      </c>
      <c r="H460" s="29">
        <f>Source!AW324</f>
        <v>1</v>
      </c>
      <c r="I460" s="33">
        <f>ROUND((Source!AC324*Source!AW324)*Source!I324, 2)</f>
        <v>613.20000000000005</v>
      </c>
      <c r="J460" s="29">
        <f>IF(Source!BC324&lt;&gt; 0, Source!BC324, 1)</f>
        <v>5.07</v>
      </c>
      <c r="K460" s="33">
        <f>Source!P324</f>
        <v>3108.92</v>
      </c>
    </row>
    <row r="461" spans="1:27" ht="14.25" x14ac:dyDescent="0.2">
      <c r="A461" s="27"/>
      <c r="B461" s="28"/>
      <c r="C461" s="28" t="s">
        <v>495</v>
      </c>
      <c r="D461" s="30" t="s">
        <v>496</v>
      </c>
      <c r="E461" s="29">
        <f>Source!DN324</f>
        <v>112</v>
      </c>
      <c r="F461" s="32"/>
      <c r="G461" s="31"/>
      <c r="H461" s="29"/>
      <c r="I461" s="33">
        <f>SUM(Q456:Q460)</f>
        <v>251.23</v>
      </c>
      <c r="J461" s="29">
        <f>Source!BZ324</f>
        <v>95</v>
      </c>
      <c r="K461" s="33">
        <f>SUM(R456:R460)</f>
        <v>3859.13</v>
      </c>
    </row>
    <row r="462" spans="1:27" ht="14.25" x14ac:dyDescent="0.2">
      <c r="A462" s="27"/>
      <c r="B462" s="28"/>
      <c r="C462" s="28" t="s">
        <v>497</v>
      </c>
      <c r="D462" s="30" t="s">
        <v>496</v>
      </c>
      <c r="E462" s="29">
        <f>Source!DO324</f>
        <v>70</v>
      </c>
      <c r="F462" s="32"/>
      <c r="G462" s="31"/>
      <c r="H462" s="29"/>
      <c r="I462" s="33">
        <f>SUM(S456:S461)</f>
        <v>157.02000000000001</v>
      </c>
      <c r="J462" s="29">
        <f>Source!CA324</f>
        <v>46</v>
      </c>
      <c r="K462" s="33">
        <f>SUM(T456:T461)</f>
        <v>1868.63</v>
      </c>
    </row>
    <row r="463" spans="1:27" ht="14.25" x14ac:dyDescent="0.2">
      <c r="A463" s="27"/>
      <c r="B463" s="28"/>
      <c r="C463" s="28" t="s">
        <v>498</v>
      </c>
      <c r="D463" s="30" t="s">
        <v>496</v>
      </c>
      <c r="E463" s="29">
        <f>175</f>
        <v>175</v>
      </c>
      <c r="F463" s="32"/>
      <c r="G463" s="31"/>
      <c r="H463" s="29"/>
      <c r="I463" s="33">
        <f>SUM(U456:U462)</f>
        <v>71.02</v>
      </c>
      <c r="J463" s="29">
        <f>167</f>
        <v>167</v>
      </c>
      <c r="K463" s="33">
        <f>SUM(V456:V462)</f>
        <v>1227.33</v>
      </c>
    </row>
    <row r="464" spans="1:27" ht="14.25" x14ac:dyDescent="0.2">
      <c r="A464" s="27"/>
      <c r="B464" s="28"/>
      <c r="C464" s="28" t="s">
        <v>499</v>
      </c>
      <c r="D464" s="30" t="s">
        <v>500</v>
      </c>
      <c r="E464" s="29">
        <f>Source!AQ324</f>
        <v>4.12</v>
      </c>
      <c r="F464" s="32"/>
      <c r="G464" s="31" t="str">
        <f>Source!DI324</f>
        <v/>
      </c>
      <c r="H464" s="29">
        <f>Source!AV324</f>
        <v>1.0469999999999999</v>
      </c>
      <c r="I464" s="33">
        <f>Source!U324</f>
        <v>17.254559999999998</v>
      </c>
      <c r="J464" s="29"/>
      <c r="K464" s="33"/>
    </row>
    <row r="465" spans="1:27" ht="15" x14ac:dyDescent="0.25">
      <c r="A465" s="38"/>
      <c r="B465" s="38"/>
      <c r="C465" s="38"/>
      <c r="D465" s="38"/>
      <c r="E465" s="38"/>
      <c r="F465" s="38"/>
      <c r="G465" s="38"/>
      <c r="H465" s="39">
        <f>I457+I458+I460+I461+I462+I463</f>
        <v>1611.53</v>
      </c>
      <c r="I465" s="39"/>
      <c r="J465" s="39">
        <f>K457+K458+K460+K461+K462+K463</f>
        <v>16260.250000000002</v>
      </c>
      <c r="K465" s="39"/>
      <c r="O465" s="36">
        <f>I457+I458+I460+I461+I462+I463</f>
        <v>1611.53</v>
      </c>
      <c r="P465" s="36">
        <f>K457+K458+K460+K461+K462+K463</f>
        <v>16260.250000000002</v>
      </c>
      <c r="X465">
        <f>IF(Source!BI324&lt;=1,I457+I458+I460+I461+I462+I463-0, 0)</f>
        <v>0</v>
      </c>
      <c r="Y465">
        <f>IF(Source!BI324=2,I457+I458+I460+I461+I462+I463-0, 0)</f>
        <v>1611.53</v>
      </c>
      <c r="Z465">
        <f>IF(Source!BI324=3,I457+I458+I460+I461+I462+I463-0, 0)</f>
        <v>0</v>
      </c>
      <c r="AA465">
        <f>IF(Source!BI324=4,I457+I458+I460+I461+I462+I463,0)</f>
        <v>0</v>
      </c>
    </row>
    <row r="466" spans="1:27" ht="54" x14ac:dyDescent="0.2">
      <c r="A466" s="27" t="str">
        <f>Source!E325</f>
        <v>52</v>
      </c>
      <c r="B466" s="28" t="str">
        <f>Source!F325</f>
        <v>Цена поставщика</v>
      </c>
      <c r="C466" s="28" t="s">
        <v>503</v>
      </c>
      <c r="D466" s="30" t="str">
        <f>Source!H325</f>
        <v>шт.</v>
      </c>
      <c r="E466" s="29">
        <f>Source!I325</f>
        <v>4</v>
      </c>
      <c r="F466" s="32">
        <f>Source!AL325</f>
        <v>45937.75</v>
      </c>
      <c r="G466" s="31" t="str">
        <f>Source!DD325</f>
        <v>*1,03</v>
      </c>
      <c r="H466" s="29">
        <f>Source!AW325</f>
        <v>1</v>
      </c>
      <c r="I466" s="33">
        <f>ROUND((Source!AC325*Source!AW325)*Source!I325, 2)</f>
        <v>189263.53</v>
      </c>
      <c r="J466" s="29">
        <f>IF(Source!BC325&lt;&gt; 0, Source!BC325, 1)</f>
        <v>3.97</v>
      </c>
      <c r="K466" s="33">
        <f>Source!P325</f>
        <v>751376.21</v>
      </c>
      <c r="Q466">
        <f>ROUND((Source!DN325/100)*ROUND((Source!AF325*Source!AV325)*Source!I325, 2), 2)</f>
        <v>0</v>
      </c>
      <c r="R466">
        <f>Source!X325</f>
        <v>0</v>
      </c>
      <c r="S466">
        <f>ROUND((Source!DO325/100)*ROUND((Source!AF325*Source!AV325)*Source!I325, 2), 2)</f>
        <v>0</v>
      </c>
      <c r="T466">
        <f>Source!Y325</f>
        <v>0</v>
      </c>
      <c r="U466">
        <f>ROUND((175/100)*ROUND((Source!AE325*Source!AV325)*Source!I325, 2), 2)</f>
        <v>0</v>
      </c>
      <c r="V466">
        <f>ROUND((167/100)*ROUND(Source!CS325*Source!I325, 2), 2)</f>
        <v>0</v>
      </c>
    </row>
    <row r="467" spans="1:27" ht="15" x14ac:dyDescent="0.25">
      <c r="A467" s="38"/>
      <c r="B467" s="38"/>
      <c r="C467" s="38"/>
      <c r="D467" s="38"/>
      <c r="E467" s="38"/>
      <c r="F467" s="38"/>
      <c r="G467" s="38"/>
      <c r="H467" s="39">
        <f>I466</f>
        <v>189263.53</v>
      </c>
      <c r="I467" s="39"/>
      <c r="J467" s="39">
        <f>K466</f>
        <v>751376.21</v>
      </c>
      <c r="K467" s="39"/>
      <c r="O467" s="36">
        <f>I466</f>
        <v>189263.53</v>
      </c>
      <c r="P467" s="36">
        <f>K466</f>
        <v>751376.21</v>
      </c>
      <c r="X467">
        <f>IF(Source!BI325&lt;=1,I466-0, 0)</f>
        <v>0</v>
      </c>
      <c r="Y467">
        <f>IF(Source!BI325=2,I466-0, 0)</f>
        <v>0</v>
      </c>
      <c r="Z467">
        <f>IF(Source!BI325=3,I466-0, 0)</f>
        <v>189263.53</v>
      </c>
      <c r="AA467">
        <f>IF(Source!BI325=4,I466,0)</f>
        <v>0</v>
      </c>
    </row>
    <row r="468" spans="1:27" ht="99.75" x14ac:dyDescent="0.2">
      <c r="A468" s="27" t="str">
        <f>Source!E326</f>
        <v>53</v>
      </c>
      <c r="B468" s="28" t="str">
        <f>Source!F326</f>
        <v>4.8-239-3</v>
      </c>
      <c r="C468" s="28" t="str">
        <f>Source!G326</f>
        <v>Блоки управления и распределительные пункты (шкафы) высотой до 1700 мм, блок управления шкафного исполнения или распределительный пункт (шкаф), устанавливаемый на стене, высота и ширина 600х600 мм</v>
      </c>
      <c r="D468" s="30" t="str">
        <f>Source!H326</f>
        <v>1  ШТ.</v>
      </c>
      <c r="E468" s="29">
        <f>Source!I326</f>
        <v>25</v>
      </c>
      <c r="F468" s="32"/>
      <c r="G468" s="31"/>
      <c r="H468" s="29"/>
      <c r="I468" s="33"/>
      <c r="J468" s="29"/>
      <c r="K468" s="33"/>
      <c r="Q468">
        <f>ROUND((Source!DN326/100)*ROUND((Source!AF326*Source!AV326)*Source!I326, 2), 2)</f>
        <v>785.09</v>
      </c>
      <c r="R468">
        <f>Source!X326</f>
        <v>12059.78</v>
      </c>
      <c r="S468">
        <f>ROUND((Source!DO326/100)*ROUND((Source!AF326*Source!AV326)*Source!I326, 2), 2)</f>
        <v>490.68</v>
      </c>
      <c r="T468">
        <f>Source!Y326</f>
        <v>5839.47</v>
      </c>
      <c r="U468">
        <f>ROUND((175/100)*ROUND((Source!AE326*Source!AV326)*Source!I326, 2), 2)</f>
        <v>162.16</v>
      </c>
      <c r="V468">
        <f>ROUND((167/100)*ROUND(Source!CS326*Source!I326, 2), 2)</f>
        <v>2802.36</v>
      </c>
    </row>
    <row r="469" spans="1:27" ht="14.25" x14ac:dyDescent="0.2">
      <c r="A469" s="27"/>
      <c r="B469" s="28"/>
      <c r="C469" s="28" t="s">
        <v>492</v>
      </c>
      <c r="D469" s="30"/>
      <c r="E469" s="29"/>
      <c r="F469" s="32">
        <f>Source!AO326</f>
        <v>26.78</v>
      </c>
      <c r="G469" s="31" t="str">
        <f>Source!DG326</f>
        <v/>
      </c>
      <c r="H469" s="29">
        <f>Source!AV326</f>
        <v>1.0469999999999999</v>
      </c>
      <c r="I469" s="33">
        <f>ROUND((Source!AF326*Source!AV326)*Source!I326, 2)</f>
        <v>700.97</v>
      </c>
      <c r="J469" s="29">
        <f>IF(Source!BA326&lt;&gt; 0, Source!BA326, 1)</f>
        <v>18.11</v>
      </c>
      <c r="K469" s="33">
        <f>Source!S326</f>
        <v>12694.5</v>
      </c>
      <c r="W469">
        <f>I469</f>
        <v>700.97</v>
      </c>
    </row>
    <row r="470" spans="1:27" ht="14.25" x14ac:dyDescent="0.2">
      <c r="A470" s="27"/>
      <c r="B470" s="28"/>
      <c r="C470" s="28" t="s">
        <v>493</v>
      </c>
      <c r="D470" s="30"/>
      <c r="E470" s="29"/>
      <c r="F470" s="32">
        <f>Source!AM326</f>
        <v>36.26</v>
      </c>
      <c r="G470" s="31" t="str">
        <f>Source!DE326</f>
        <v/>
      </c>
      <c r="H470" s="29">
        <f>Source!AV326</f>
        <v>1.0469999999999999</v>
      </c>
      <c r="I470" s="33">
        <f>ROUND(((((Source!ET326)-(Source!EU326))+Source!AE326)*Source!AV326)*Source!I326, 2)</f>
        <v>949.11</v>
      </c>
      <c r="J470" s="29">
        <f>IF(Source!BB326&lt;&gt; 0, Source!BB326, 1)</f>
        <v>6.74</v>
      </c>
      <c r="K470" s="33">
        <f>Source!Q326</f>
        <v>6396.97</v>
      </c>
    </row>
    <row r="471" spans="1:27" ht="14.25" x14ac:dyDescent="0.2">
      <c r="A471" s="27"/>
      <c r="B471" s="28"/>
      <c r="C471" s="28" t="s">
        <v>494</v>
      </c>
      <c r="D471" s="30"/>
      <c r="E471" s="29"/>
      <c r="F471" s="32">
        <f>Source!AN326</f>
        <v>3.54</v>
      </c>
      <c r="G471" s="31" t="str">
        <f>Source!DF326</f>
        <v/>
      </c>
      <c r="H471" s="29">
        <f>Source!AV326</f>
        <v>1.0469999999999999</v>
      </c>
      <c r="I471" s="35">
        <f>ROUND((Source!AE326*Source!AV326)*Source!I326, 2)</f>
        <v>92.66</v>
      </c>
      <c r="J471" s="29">
        <f>IF(Source!BS326&lt;&gt; 0, Source!BS326, 1)</f>
        <v>18.11</v>
      </c>
      <c r="K471" s="35">
        <f>Source!R326</f>
        <v>1678.06</v>
      </c>
      <c r="W471">
        <f>I471</f>
        <v>92.66</v>
      </c>
    </row>
    <row r="472" spans="1:27" ht="14.25" x14ac:dyDescent="0.2">
      <c r="A472" s="27"/>
      <c r="B472" s="28"/>
      <c r="C472" s="28" t="s">
        <v>501</v>
      </c>
      <c r="D472" s="30"/>
      <c r="E472" s="29"/>
      <c r="F472" s="32">
        <f>Source!AL326</f>
        <v>54.18</v>
      </c>
      <c r="G472" s="31" t="str">
        <f>Source!DD326</f>
        <v/>
      </c>
      <c r="H472" s="29">
        <f>Source!AW326</f>
        <v>1</v>
      </c>
      <c r="I472" s="33">
        <f>ROUND((Source!AC326*Source!AW326)*Source!I326, 2)</f>
        <v>1354.5</v>
      </c>
      <c r="J472" s="29">
        <f>IF(Source!BC326&lt;&gt; 0, Source!BC326, 1)</f>
        <v>5.07</v>
      </c>
      <c r="K472" s="33">
        <f>Source!P326</f>
        <v>6867.32</v>
      </c>
    </row>
    <row r="473" spans="1:27" ht="14.25" x14ac:dyDescent="0.2">
      <c r="A473" s="27"/>
      <c r="B473" s="28"/>
      <c r="C473" s="28" t="s">
        <v>495</v>
      </c>
      <c r="D473" s="30" t="s">
        <v>496</v>
      </c>
      <c r="E473" s="29">
        <f>Source!DN326</f>
        <v>112</v>
      </c>
      <c r="F473" s="32"/>
      <c r="G473" s="31"/>
      <c r="H473" s="29"/>
      <c r="I473" s="33">
        <f>SUM(Q468:Q472)</f>
        <v>785.09</v>
      </c>
      <c r="J473" s="29">
        <f>Source!BZ326</f>
        <v>95</v>
      </c>
      <c r="K473" s="33">
        <f>SUM(R468:R472)</f>
        <v>12059.78</v>
      </c>
    </row>
    <row r="474" spans="1:27" ht="14.25" x14ac:dyDescent="0.2">
      <c r="A474" s="27"/>
      <c r="B474" s="28"/>
      <c r="C474" s="28" t="s">
        <v>497</v>
      </c>
      <c r="D474" s="30" t="s">
        <v>496</v>
      </c>
      <c r="E474" s="29">
        <f>Source!DO326</f>
        <v>70</v>
      </c>
      <c r="F474" s="32"/>
      <c r="G474" s="31"/>
      <c r="H474" s="29"/>
      <c r="I474" s="33">
        <f>SUM(S468:S473)</f>
        <v>490.68</v>
      </c>
      <c r="J474" s="29">
        <f>Source!CA326</f>
        <v>46</v>
      </c>
      <c r="K474" s="33">
        <f>SUM(T468:T473)</f>
        <v>5839.47</v>
      </c>
    </row>
    <row r="475" spans="1:27" ht="14.25" x14ac:dyDescent="0.2">
      <c r="A475" s="27"/>
      <c r="B475" s="28"/>
      <c r="C475" s="28" t="s">
        <v>498</v>
      </c>
      <c r="D475" s="30" t="s">
        <v>496</v>
      </c>
      <c r="E475" s="29">
        <f>175</f>
        <v>175</v>
      </c>
      <c r="F475" s="32"/>
      <c r="G475" s="31"/>
      <c r="H475" s="29"/>
      <c r="I475" s="33">
        <f>SUM(U468:U474)</f>
        <v>162.16</v>
      </c>
      <c r="J475" s="29">
        <f>167</f>
        <v>167</v>
      </c>
      <c r="K475" s="33">
        <f>SUM(V468:V474)</f>
        <v>2802.36</v>
      </c>
    </row>
    <row r="476" spans="1:27" ht="14.25" x14ac:dyDescent="0.2">
      <c r="A476" s="27"/>
      <c r="B476" s="28"/>
      <c r="C476" s="28" t="s">
        <v>499</v>
      </c>
      <c r="D476" s="30" t="s">
        <v>500</v>
      </c>
      <c r="E476" s="29">
        <f>Source!AQ326</f>
        <v>2.06</v>
      </c>
      <c r="F476" s="32"/>
      <c r="G476" s="31" t="str">
        <f>Source!DI326</f>
        <v/>
      </c>
      <c r="H476" s="29">
        <f>Source!AV326</f>
        <v>1.0469999999999999</v>
      </c>
      <c r="I476" s="33">
        <f>Source!U326</f>
        <v>53.92049999999999</v>
      </c>
      <c r="J476" s="29"/>
      <c r="K476" s="33"/>
    </row>
    <row r="477" spans="1:27" ht="15" x14ac:dyDescent="0.25">
      <c r="A477" s="38"/>
      <c r="B477" s="38"/>
      <c r="C477" s="38"/>
      <c r="D477" s="38"/>
      <c r="E477" s="38"/>
      <c r="F477" s="38"/>
      <c r="G477" s="38"/>
      <c r="H477" s="39">
        <f>I469+I470+I472+I473+I474+I475</f>
        <v>4442.51</v>
      </c>
      <c r="I477" s="39"/>
      <c r="J477" s="39">
        <f>K469+K470+K472+K473+K474+K475</f>
        <v>46660.4</v>
      </c>
      <c r="K477" s="39"/>
      <c r="O477" s="36">
        <f>I469+I470+I472+I473+I474+I475</f>
        <v>4442.51</v>
      </c>
      <c r="P477" s="36">
        <f>K469+K470+K472+K473+K474+K475</f>
        <v>46660.4</v>
      </c>
      <c r="X477">
        <f>IF(Source!BI326&lt;=1,I469+I470+I472+I473+I474+I475-0, 0)</f>
        <v>0</v>
      </c>
      <c r="Y477">
        <f>IF(Source!BI326=2,I469+I470+I472+I473+I474+I475-0, 0)</f>
        <v>4442.51</v>
      </c>
      <c r="Z477">
        <f>IF(Source!BI326=3,I469+I470+I472+I473+I474+I475-0, 0)</f>
        <v>0</v>
      </c>
      <c r="AA477">
        <f>IF(Source!BI326=4,I469+I470+I472+I473+I474+I475,0)</f>
        <v>0</v>
      </c>
    </row>
    <row r="478" spans="1:27" ht="42.75" x14ac:dyDescent="0.2">
      <c r="A478" s="27" t="str">
        <f>Source!E327</f>
        <v>54</v>
      </c>
      <c r="B478" s="28" t="str">
        <f>Source!F327</f>
        <v>Цена поставщика</v>
      </c>
      <c r="C478" s="28" t="s">
        <v>504</v>
      </c>
      <c r="D478" s="30" t="str">
        <f>Source!H327</f>
        <v>шт.</v>
      </c>
      <c r="E478" s="29">
        <f>Source!I327</f>
        <v>25</v>
      </c>
      <c r="F478" s="32">
        <f>Source!AL327</f>
        <v>4583.76</v>
      </c>
      <c r="G478" s="31" t="str">
        <f>Source!DD327</f>
        <v>*1,03</v>
      </c>
      <c r="H478" s="29">
        <f>Source!AW327</f>
        <v>1</v>
      </c>
      <c r="I478" s="33">
        <f>ROUND((Source!AC327*Source!AW327)*Source!I327, 2)</f>
        <v>118031.82</v>
      </c>
      <c r="J478" s="29">
        <f>IF(Source!BC327&lt;&gt; 0, Source!BC327, 1)</f>
        <v>3.97</v>
      </c>
      <c r="K478" s="33">
        <f>Source!P327</f>
        <v>468586.33</v>
      </c>
      <c r="Q478">
        <f>ROUND((Source!DN327/100)*ROUND((Source!AF327*Source!AV327)*Source!I327, 2), 2)</f>
        <v>0</v>
      </c>
      <c r="R478">
        <f>Source!X327</f>
        <v>0</v>
      </c>
      <c r="S478">
        <f>ROUND((Source!DO327/100)*ROUND((Source!AF327*Source!AV327)*Source!I327, 2), 2)</f>
        <v>0</v>
      </c>
      <c r="T478">
        <f>Source!Y327</f>
        <v>0</v>
      </c>
      <c r="U478">
        <f>ROUND((175/100)*ROUND((Source!AE327*Source!AV327)*Source!I327, 2), 2)</f>
        <v>0</v>
      </c>
      <c r="V478">
        <f>ROUND((167/100)*ROUND(Source!CS327*Source!I327, 2), 2)</f>
        <v>0</v>
      </c>
    </row>
    <row r="479" spans="1:27" ht="15" x14ac:dyDescent="0.25">
      <c r="A479" s="38"/>
      <c r="B479" s="38"/>
      <c r="C479" s="38"/>
      <c r="D479" s="38"/>
      <c r="E479" s="38"/>
      <c r="F479" s="38"/>
      <c r="G479" s="38"/>
      <c r="H479" s="39">
        <f>I478</f>
        <v>118031.82</v>
      </c>
      <c r="I479" s="39"/>
      <c r="J479" s="39">
        <f>K478</f>
        <v>468586.33</v>
      </c>
      <c r="K479" s="39"/>
      <c r="O479" s="36">
        <f>I478</f>
        <v>118031.82</v>
      </c>
      <c r="P479" s="36">
        <f>K478</f>
        <v>468586.33</v>
      </c>
      <c r="X479">
        <f>IF(Source!BI327&lt;=1,I478-0, 0)</f>
        <v>0</v>
      </c>
      <c r="Y479">
        <f>IF(Source!BI327=2,I478-0, 0)</f>
        <v>0</v>
      </c>
      <c r="Z479">
        <f>IF(Source!BI327=3,I478-0, 0)</f>
        <v>118031.82</v>
      </c>
      <c r="AA479">
        <f>IF(Source!BI327=4,I478,0)</f>
        <v>0</v>
      </c>
    </row>
    <row r="480" spans="1:27" ht="28.5" x14ac:dyDescent="0.2">
      <c r="A480" s="27" t="str">
        <f>Source!E328</f>
        <v>55</v>
      </c>
      <c r="B480" s="28" t="str">
        <f>Source!F328</f>
        <v>3.6-1-1</v>
      </c>
      <c r="C480" s="28" t="str">
        <f>Source!G328</f>
        <v>Устройство бетонной подготовки</v>
      </c>
      <c r="D480" s="30" t="str">
        <f>Source!H328</f>
        <v>100 м3 в деле</v>
      </c>
      <c r="E480" s="29">
        <f>Source!I328</f>
        <v>2.5999999999999999E-2</v>
      </c>
      <c r="F480" s="32"/>
      <c r="G480" s="31"/>
      <c r="H480" s="29"/>
      <c r="I480" s="33"/>
      <c r="J480" s="29"/>
      <c r="K480" s="33"/>
      <c r="Q480">
        <f>ROUND((Source!DN328/100)*ROUND((Source!AF328*Source!AV328)*Source!I328, 2), 2)</f>
        <v>35.15</v>
      </c>
      <c r="R480">
        <f>Source!X328</f>
        <v>630.16</v>
      </c>
      <c r="S480">
        <f>ROUND((Source!DO328/100)*ROUND((Source!AF328*Source!AV328)*Source!I328, 2), 2)</f>
        <v>25.11</v>
      </c>
      <c r="T480">
        <f>Source!Y328</f>
        <v>454.76</v>
      </c>
      <c r="U480">
        <f>ROUND((175/100)*ROUND((Source!AE328*Source!AV328)*Source!I328, 2), 2)</f>
        <v>0.12</v>
      </c>
      <c r="V480">
        <f>ROUND((167/100)*ROUND(Source!CS328*Source!I328, 2), 2)</f>
        <v>2.04</v>
      </c>
    </row>
    <row r="481" spans="1:27" x14ac:dyDescent="0.2">
      <c r="C481" s="34" t="str">
        <f>"Объем: "&amp;Source!I328&amp;"=0,65*"&amp;"4/"&amp;"100"</f>
        <v>Объем: 0,026=0,65*4/100</v>
      </c>
    </row>
    <row r="482" spans="1:27" ht="14.25" x14ac:dyDescent="0.2">
      <c r="A482" s="27"/>
      <c r="B482" s="28"/>
      <c r="C482" s="28" t="s">
        <v>492</v>
      </c>
      <c r="D482" s="30"/>
      <c r="E482" s="29"/>
      <c r="F482" s="32">
        <f>Source!AO328</f>
        <v>1379.7</v>
      </c>
      <c r="G482" s="31" t="str">
        <f>Source!DG328</f>
        <v/>
      </c>
      <c r="H482" s="29">
        <f>Source!AV328</f>
        <v>1</v>
      </c>
      <c r="I482" s="33">
        <f>ROUND((Source!AF328*Source!AV328)*Source!I328, 2)</f>
        <v>35.869999999999997</v>
      </c>
      <c r="J482" s="29">
        <f>IF(Source!BA328&lt;&gt; 0, Source!BA328, 1)</f>
        <v>18.11</v>
      </c>
      <c r="K482" s="33">
        <f>Source!S328</f>
        <v>649.65</v>
      </c>
      <c r="W482">
        <f>I482</f>
        <v>35.869999999999997</v>
      </c>
    </row>
    <row r="483" spans="1:27" ht="14.25" x14ac:dyDescent="0.2">
      <c r="A483" s="27"/>
      <c r="B483" s="28"/>
      <c r="C483" s="28" t="s">
        <v>493</v>
      </c>
      <c r="D483" s="30"/>
      <c r="E483" s="29"/>
      <c r="F483" s="32">
        <f>Source!AM328</f>
        <v>19.71</v>
      </c>
      <c r="G483" s="31" t="str">
        <f>Source!DE328</f>
        <v/>
      </c>
      <c r="H483" s="29">
        <f>Source!AV328</f>
        <v>1</v>
      </c>
      <c r="I483" s="33">
        <f>ROUND(((((Source!ET328)-(Source!EU328))+Source!AE328)*Source!AV328)*Source!I328, 2)</f>
        <v>0.51</v>
      </c>
      <c r="J483" s="29">
        <f>IF(Source!BB328&lt;&gt; 0, Source!BB328, 1)</f>
        <v>5.36</v>
      </c>
      <c r="K483" s="33">
        <f>Source!Q328</f>
        <v>2.75</v>
      </c>
    </row>
    <row r="484" spans="1:27" ht="14.25" x14ac:dyDescent="0.2">
      <c r="A484" s="27"/>
      <c r="B484" s="28"/>
      <c r="C484" s="28" t="s">
        <v>494</v>
      </c>
      <c r="D484" s="30"/>
      <c r="E484" s="29"/>
      <c r="F484" s="32">
        <f>Source!AN328</f>
        <v>2.6</v>
      </c>
      <c r="G484" s="31" t="str">
        <f>Source!DF328</f>
        <v/>
      </c>
      <c r="H484" s="29">
        <f>Source!AV328</f>
        <v>1</v>
      </c>
      <c r="I484" s="35">
        <f>ROUND((Source!AE328*Source!AV328)*Source!I328, 2)</f>
        <v>7.0000000000000007E-2</v>
      </c>
      <c r="J484" s="29">
        <f>IF(Source!BS328&lt;&gt; 0, Source!BS328, 1)</f>
        <v>18.11</v>
      </c>
      <c r="K484" s="35">
        <f>Source!R328</f>
        <v>1.22</v>
      </c>
      <c r="W484">
        <f>I484</f>
        <v>7.0000000000000007E-2</v>
      </c>
    </row>
    <row r="485" spans="1:27" ht="14.25" x14ac:dyDescent="0.2">
      <c r="A485" s="27"/>
      <c r="B485" s="28"/>
      <c r="C485" s="28" t="s">
        <v>501</v>
      </c>
      <c r="D485" s="30"/>
      <c r="E485" s="29"/>
      <c r="F485" s="32">
        <f>Source!AL328</f>
        <v>1859.87</v>
      </c>
      <c r="G485" s="31" t="str">
        <f>Source!DD328</f>
        <v/>
      </c>
      <c r="H485" s="29">
        <f>Source!AW328</f>
        <v>1</v>
      </c>
      <c r="I485" s="33">
        <f>ROUND((Source!AC328*Source!AW328)*Source!I328, 2)</f>
        <v>48.36</v>
      </c>
      <c r="J485" s="29">
        <f>IF(Source!BC328&lt;&gt; 0, Source!BC328, 1)</f>
        <v>2.88</v>
      </c>
      <c r="K485" s="33">
        <f>Source!P328</f>
        <v>139.27000000000001</v>
      </c>
    </row>
    <row r="486" spans="1:27" ht="57" x14ac:dyDescent="0.2">
      <c r="A486" s="27" t="str">
        <f>Source!E329</f>
        <v>55,1</v>
      </c>
      <c r="B486" s="28" t="str">
        <f>Source!F329</f>
        <v>1.3-1-36</v>
      </c>
      <c r="C486" s="28" t="str">
        <f>Source!G329</f>
        <v>Смеси бетонные, БСГ, тяжелого бетона на гранитном щебне, класс прочности В7,5 (М100); П3, фракция 5-20</v>
      </c>
      <c r="D486" s="30" t="str">
        <f>Source!H329</f>
        <v>м3</v>
      </c>
      <c r="E486" s="29">
        <f>Source!I329</f>
        <v>2.6520000000000001</v>
      </c>
      <c r="F486" s="32">
        <f>Source!AK329</f>
        <v>517.14</v>
      </c>
      <c r="G486" s="40" t="s">
        <v>3</v>
      </c>
      <c r="H486" s="29">
        <f>Source!AW329</f>
        <v>1</v>
      </c>
      <c r="I486" s="33">
        <f>ROUND((Source!AC329*Source!AW329)*Source!I329, 2)+ROUND(((((Source!ET329)-(Source!EU329))+Source!AE329)*Source!AV329)*Source!I329, 2)+ROUND((Source!AF329*Source!AV329)*Source!I329, 2)</f>
        <v>1371.46</v>
      </c>
      <c r="J486" s="29">
        <f>IF(Source!BC329&lt;&gt; 0, Source!BC329, 1)</f>
        <v>6.04</v>
      </c>
      <c r="K486" s="33">
        <f>Source!O329</f>
        <v>8283.59</v>
      </c>
      <c r="Q486">
        <f>ROUND((Source!DN329/100)*ROUND((Source!AF329*Source!AV329)*Source!I329, 2), 2)</f>
        <v>0</v>
      </c>
      <c r="R486">
        <f>Source!X329</f>
        <v>0</v>
      </c>
      <c r="S486">
        <f>ROUND((Source!DO329/100)*ROUND((Source!AF329*Source!AV329)*Source!I329, 2), 2)</f>
        <v>0</v>
      </c>
      <c r="T486">
        <f>Source!Y329</f>
        <v>0</v>
      </c>
      <c r="U486">
        <f>ROUND((175/100)*ROUND((Source!AE329*Source!AV329)*Source!I329, 2), 2)</f>
        <v>0</v>
      </c>
      <c r="V486">
        <f>ROUND((167/100)*ROUND(Source!CS329*Source!I329, 2), 2)</f>
        <v>0</v>
      </c>
      <c r="X486">
        <f>IF(Source!BI329&lt;=1,I486, 0)</f>
        <v>1371.46</v>
      </c>
      <c r="Y486">
        <f>IF(Source!BI329=2,I486, 0)</f>
        <v>0</v>
      </c>
      <c r="Z486">
        <f>IF(Source!BI329=3,I486, 0)</f>
        <v>0</v>
      </c>
      <c r="AA486">
        <f>IF(Source!BI329=4,I486, 0)</f>
        <v>0</v>
      </c>
    </row>
    <row r="487" spans="1:27" ht="14.25" x14ac:dyDescent="0.2">
      <c r="A487" s="27"/>
      <c r="B487" s="28"/>
      <c r="C487" s="28" t="s">
        <v>495</v>
      </c>
      <c r="D487" s="30" t="s">
        <v>496</v>
      </c>
      <c r="E487" s="29">
        <f>Source!DN328</f>
        <v>98</v>
      </c>
      <c r="F487" s="32"/>
      <c r="G487" s="31"/>
      <c r="H487" s="29"/>
      <c r="I487" s="33">
        <f>SUM(Q480:Q486)</f>
        <v>35.15</v>
      </c>
      <c r="J487" s="29">
        <f>Source!BZ328</f>
        <v>97</v>
      </c>
      <c r="K487" s="33">
        <f>SUM(R480:R486)</f>
        <v>630.16</v>
      </c>
    </row>
    <row r="488" spans="1:27" ht="14.25" x14ac:dyDescent="0.2">
      <c r="A488" s="27"/>
      <c r="B488" s="28"/>
      <c r="C488" s="28" t="s">
        <v>497</v>
      </c>
      <c r="D488" s="30" t="s">
        <v>496</v>
      </c>
      <c r="E488" s="29">
        <f>Source!DO328</f>
        <v>70</v>
      </c>
      <c r="F488" s="32"/>
      <c r="G488" s="31"/>
      <c r="H488" s="29"/>
      <c r="I488" s="33">
        <f>SUM(S480:S487)</f>
        <v>25.11</v>
      </c>
      <c r="J488" s="29">
        <f>Source!CA328</f>
        <v>70</v>
      </c>
      <c r="K488" s="33">
        <f>SUM(T480:T487)</f>
        <v>454.76</v>
      </c>
    </row>
    <row r="489" spans="1:27" ht="14.25" x14ac:dyDescent="0.2">
      <c r="A489" s="27"/>
      <c r="B489" s="28"/>
      <c r="C489" s="28" t="s">
        <v>498</v>
      </c>
      <c r="D489" s="30" t="s">
        <v>496</v>
      </c>
      <c r="E489" s="29">
        <f>175</f>
        <v>175</v>
      </c>
      <c r="F489" s="32"/>
      <c r="G489" s="31"/>
      <c r="H489" s="29"/>
      <c r="I489" s="33">
        <f>SUM(U480:U488)</f>
        <v>0.12</v>
      </c>
      <c r="J489" s="29">
        <f>167</f>
        <v>167</v>
      </c>
      <c r="K489" s="33">
        <f>SUM(V480:V488)</f>
        <v>2.04</v>
      </c>
    </row>
    <row r="490" spans="1:27" ht="14.25" x14ac:dyDescent="0.2">
      <c r="A490" s="27"/>
      <c r="B490" s="28"/>
      <c r="C490" s="28" t="s">
        <v>499</v>
      </c>
      <c r="D490" s="30" t="s">
        <v>500</v>
      </c>
      <c r="E490" s="29">
        <f>Source!AQ328</f>
        <v>135</v>
      </c>
      <c r="F490" s="32"/>
      <c r="G490" s="31" t="str">
        <f>Source!DI328</f>
        <v/>
      </c>
      <c r="H490" s="29">
        <f>Source!AV328</f>
        <v>1</v>
      </c>
      <c r="I490" s="33">
        <f>Source!U328</f>
        <v>3.51</v>
      </c>
      <c r="J490" s="29"/>
      <c r="K490" s="33"/>
    </row>
    <row r="491" spans="1:27" ht="15" x14ac:dyDescent="0.25">
      <c r="A491" s="38"/>
      <c r="B491" s="38"/>
      <c r="C491" s="38"/>
      <c r="D491" s="38"/>
      <c r="E491" s="38"/>
      <c r="F491" s="38"/>
      <c r="G491" s="38"/>
      <c r="H491" s="39">
        <f>I482+I483+I485+I487+I488+I489+SUM(I486:I486)</f>
        <v>1516.58</v>
      </c>
      <c r="I491" s="39"/>
      <c r="J491" s="39">
        <f>K482+K483+K485+K487+K488+K489+SUM(K486:K486)</f>
        <v>10162.219999999999</v>
      </c>
      <c r="K491" s="39"/>
      <c r="O491" s="36">
        <f>I482+I483+I485+I487+I488+I489+SUM(I486:I486)</f>
        <v>1516.58</v>
      </c>
      <c r="P491" s="36">
        <f>K482+K483+K485+K487+K488+K489+SUM(K486:K486)</f>
        <v>10162.219999999999</v>
      </c>
      <c r="X491">
        <f>IF(Source!BI328&lt;=1,I482+I483+I485+I487+I488+I489-0, 0)</f>
        <v>145.12</v>
      </c>
      <c r="Y491">
        <f>IF(Source!BI328=2,I482+I483+I485+I487+I488+I489-0, 0)</f>
        <v>0</v>
      </c>
      <c r="Z491">
        <f>IF(Source!BI328=3,I482+I483+I485+I487+I488+I489-0, 0)</f>
        <v>0</v>
      </c>
      <c r="AA491">
        <f>IF(Source!BI328=4,I482+I483+I485+I487+I488+I489,0)</f>
        <v>0</v>
      </c>
    </row>
    <row r="492" spans="1:27" ht="42.75" x14ac:dyDescent="0.2">
      <c r="A492" s="27" t="str">
        <f>Source!E330</f>
        <v>56</v>
      </c>
      <c r="B492" s="28" t="str">
        <f>Source!F330</f>
        <v>4.8-64-3</v>
      </c>
      <c r="C492" s="28" t="str">
        <f>Source!G330</f>
        <v>Конструкции металлические под оборудование, конструкция металлическая</v>
      </c>
      <c r="D492" s="30" t="str">
        <f>Source!H330</f>
        <v>1 Т</v>
      </c>
      <c r="E492" s="29">
        <f>Source!I330</f>
        <v>5.6800000000000003E-2</v>
      </c>
      <c r="F492" s="32"/>
      <c r="G492" s="31"/>
      <c r="H492" s="29"/>
      <c r="I492" s="33"/>
      <c r="J492" s="29"/>
      <c r="K492" s="33"/>
      <c r="Q492">
        <f>ROUND((Source!DN330/100)*ROUND((Source!AF330*Source!AV330)*Source!I330, 2), 2)</f>
        <v>45.06</v>
      </c>
      <c r="R492">
        <f>Source!X330</f>
        <v>692.08</v>
      </c>
      <c r="S492">
        <f>ROUND((Source!DO330/100)*ROUND((Source!AF330*Source!AV330)*Source!I330, 2), 2)</f>
        <v>28.16</v>
      </c>
      <c r="T492">
        <f>Source!Y330</f>
        <v>335.11</v>
      </c>
      <c r="U492">
        <f>ROUND((175/100)*ROUND((Source!AE330*Source!AV330)*Source!I330, 2), 2)</f>
        <v>6.91</v>
      </c>
      <c r="V492">
        <f>ROUND((167/100)*ROUND(Source!CS330*Source!I330, 2), 2)</f>
        <v>119.57</v>
      </c>
    </row>
    <row r="493" spans="1:27" x14ac:dyDescent="0.2">
      <c r="C493" s="34" t="str">
        <f>"Объем: "&amp;Source!I330&amp;"=4*"&amp;"3,55*"&amp;"4/"&amp;"1000"</f>
        <v>Объем: 0,0568=4*3,55*4/1000</v>
      </c>
    </row>
    <row r="494" spans="1:27" ht="14.25" x14ac:dyDescent="0.2">
      <c r="A494" s="27"/>
      <c r="B494" s="28"/>
      <c r="C494" s="28" t="s">
        <v>492</v>
      </c>
      <c r="D494" s="30"/>
      <c r="E494" s="29"/>
      <c r="F494" s="32">
        <f>Source!AO330</f>
        <v>676.43</v>
      </c>
      <c r="G494" s="31" t="str">
        <f>Source!DG330</f>
        <v/>
      </c>
      <c r="H494" s="29">
        <f>Source!AV330</f>
        <v>1.0469999999999999</v>
      </c>
      <c r="I494" s="33">
        <f>ROUND((Source!AF330*Source!AV330)*Source!I330, 2)</f>
        <v>40.229999999999997</v>
      </c>
      <c r="J494" s="29">
        <f>IF(Source!BA330&lt;&gt; 0, Source!BA330, 1)</f>
        <v>18.11</v>
      </c>
      <c r="K494" s="33">
        <f>Source!S330</f>
        <v>728.51</v>
      </c>
      <c r="W494">
        <f>I494</f>
        <v>40.229999999999997</v>
      </c>
    </row>
    <row r="495" spans="1:27" ht="14.25" x14ac:dyDescent="0.2">
      <c r="A495" s="27"/>
      <c r="B495" s="28"/>
      <c r="C495" s="28" t="s">
        <v>493</v>
      </c>
      <c r="D495" s="30"/>
      <c r="E495" s="29"/>
      <c r="F495" s="32">
        <f>Source!AM330</f>
        <v>702.69</v>
      </c>
      <c r="G495" s="31" t="str">
        <f>Source!DE330</f>
        <v/>
      </c>
      <c r="H495" s="29">
        <f>Source!AV330</f>
        <v>1.0469999999999999</v>
      </c>
      <c r="I495" s="33">
        <f>ROUND(((((Source!ET330)-(Source!EU330))+Source!AE330)*Source!AV330)*Source!I330, 2)</f>
        <v>41.79</v>
      </c>
      <c r="J495" s="29">
        <f>IF(Source!BB330&lt;&gt; 0, Source!BB330, 1)</f>
        <v>6.7</v>
      </c>
      <c r="K495" s="33">
        <f>Source!Q330</f>
        <v>279.98</v>
      </c>
    </row>
    <row r="496" spans="1:27" ht="14.25" x14ac:dyDescent="0.2">
      <c r="A496" s="27"/>
      <c r="B496" s="28"/>
      <c r="C496" s="28" t="s">
        <v>494</v>
      </c>
      <c r="D496" s="30"/>
      <c r="E496" s="29"/>
      <c r="F496" s="32">
        <f>Source!AN330</f>
        <v>66.48</v>
      </c>
      <c r="G496" s="31" t="str">
        <f>Source!DF330</f>
        <v/>
      </c>
      <c r="H496" s="29">
        <f>Source!AV330</f>
        <v>1.0469999999999999</v>
      </c>
      <c r="I496" s="35">
        <f>ROUND((Source!AE330*Source!AV330)*Source!I330, 2)</f>
        <v>3.95</v>
      </c>
      <c r="J496" s="29">
        <f>IF(Source!BS330&lt;&gt; 0, Source!BS330, 1)</f>
        <v>18.11</v>
      </c>
      <c r="K496" s="35">
        <f>Source!R330</f>
        <v>71.599999999999994</v>
      </c>
      <c r="W496">
        <f>I496</f>
        <v>3.95</v>
      </c>
    </row>
    <row r="497" spans="1:27" ht="14.25" x14ac:dyDescent="0.2">
      <c r="A497" s="27"/>
      <c r="B497" s="28"/>
      <c r="C497" s="28" t="s">
        <v>501</v>
      </c>
      <c r="D497" s="30"/>
      <c r="E497" s="29"/>
      <c r="F497" s="32">
        <f>Source!AL330</f>
        <v>5453</v>
      </c>
      <c r="G497" s="31" t="str">
        <f>Source!DD330</f>
        <v/>
      </c>
      <c r="H497" s="29">
        <f>Source!AW330</f>
        <v>1</v>
      </c>
      <c r="I497" s="33">
        <f>ROUND((Source!AC330*Source!AW330)*Source!I330, 2)</f>
        <v>309.73</v>
      </c>
      <c r="J497" s="29">
        <f>IF(Source!BC330&lt;&gt; 0, Source!BC330, 1)</f>
        <v>5.07</v>
      </c>
      <c r="K497" s="33">
        <f>Source!P330</f>
        <v>1570.33</v>
      </c>
    </row>
    <row r="498" spans="1:27" ht="14.25" x14ac:dyDescent="0.2">
      <c r="A498" s="27"/>
      <c r="B498" s="28"/>
      <c r="C498" s="28" t="s">
        <v>495</v>
      </c>
      <c r="D498" s="30" t="s">
        <v>496</v>
      </c>
      <c r="E498" s="29">
        <f>Source!DN330</f>
        <v>112</v>
      </c>
      <c r="F498" s="32"/>
      <c r="G498" s="31"/>
      <c r="H498" s="29"/>
      <c r="I498" s="33">
        <f>SUM(Q492:Q497)</f>
        <v>45.06</v>
      </c>
      <c r="J498" s="29">
        <f>Source!BZ330</f>
        <v>95</v>
      </c>
      <c r="K498" s="33">
        <f>SUM(R492:R497)</f>
        <v>692.08</v>
      </c>
    </row>
    <row r="499" spans="1:27" ht="14.25" x14ac:dyDescent="0.2">
      <c r="A499" s="27"/>
      <c r="B499" s="28"/>
      <c r="C499" s="28" t="s">
        <v>497</v>
      </c>
      <c r="D499" s="30" t="s">
        <v>496</v>
      </c>
      <c r="E499" s="29">
        <f>Source!DO330</f>
        <v>70</v>
      </c>
      <c r="F499" s="32"/>
      <c r="G499" s="31"/>
      <c r="H499" s="29"/>
      <c r="I499" s="33">
        <f>SUM(S492:S498)</f>
        <v>28.16</v>
      </c>
      <c r="J499" s="29">
        <f>Source!CA330</f>
        <v>46</v>
      </c>
      <c r="K499" s="33">
        <f>SUM(T492:T498)</f>
        <v>335.11</v>
      </c>
    </row>
    <row r="500" spans="1:27" ht="14.25" x14ac:dyDescent="0.2">
      <c r="A500" s="27"/>
      <c r="B500" s="28"/>
      <c r="C500" s="28" t="s">
        <v>498</v>
      </c>
      <c r="D500" s="30" t="s">
        <v>496</v>
      </c>
      <c r="E500" s="29">
        <f>175</f>
        <v>175</v>
      </c>
      <c r="F500" s="32"/>
      <c r="G500" s="31"/>
      <c r="H500" s="29"/>
      <c r="I500" s="33">
        <f>SUM(U492:U499)</f>
        <v>6.91</v>
      </c>
      <c r="J500" s="29">
        <f>167</f>
        <v>167</v>
      </c>
      <c r="K500" s="33">
        <f>SUM(V492:V499)</f>
        <v>119.57</v>
      </c>
    </row>
    <row r="501" spans="1:27" ht="14.25" x14ac:dyDescent="0.2">
      <c r="A501" s="27"/>
      <c r="B501" s="28"/>
      <c r="C501" s="28" t="s">
        <v>499</v>
      </c>
      <c r="D501" s="30" t="s">
        <v>500</v>
      </c>
      <c r="E501" s="29">
        <f>Source!AQ330</f>
        <v>53.6</v>
      </c>
      <c r="F501" s="32"/>
      <c r="G501" s="31" t="str">
        <f>Source!DI330</f>
        <v/>
      </c>
      <c r="H501" s="29">
        <f>Source!AV330</f>
        <v>1.0469999999999999</v>
      </c>
      <c r="I501" s="33">
        <f>Source!U330</f>
        <v>3.1875705600000002</v>
      </c>
      <c r="J501" s="29"/>
      <c r="K501" s="33"/>
    </row>
    <row r="502" spans="1:27" ht="15" x14ac:dyDescent="0.25">
      <c r="A502" s="38"/>
      <c r="B502" s="38"/>
      <c r="C502" s="38"/>
      <c r="D502" s="38"/>
      <c r="E502" s="38"/>
      <c r="F502" s="38"/>
      <c r="G502" s="38"/>
      <c r="H502" s="39">
        <f>I494+I495+I497+I498+I499+I500</f>
        <v>471.88000000000005</v>
      </c>
      <c r="I502" s="39"/>
      <c r="J502" s="39">
        <f>K494+K495+K497+K498+K499+K500</f>
        <v>3725.58</v>
      </c>
      <c r="K502" s="39"/>
      <c r="O502" s="36">
        <f>I494+I495+I497+I498+I499+I500</f>
        <v>471.88000000000005</v>
      </c>
      <c r="P502" s="36">
        <f>K494+K495+K497+K498+K499+K500</f>
        <v>3725.58</v>
      </c>
      <c r="X502">
        <f>IF(Source!BI330&lt;=1,I494+I495+I497+I498+I499+I500-0, 0)</f>
        <v>0</v>
      </c>
      <c r="Y502">
        <f>IF(Source!BI330=2,I494+I495+I497+I498+I499+I500-0, 0)</f>
        <v>471.88000000000005</v>
      </c>
      <c r="Z502">
        <f>IF(Source!BI330=3,I494+I495+I497+I498+I499+I500-0, 0)</f>
        <v>0</v>
      </c>
      <c r="AA502">
        <f>IF(Source!BI330=4,I494+I495+I497+I498+I499+I500,0)</f>
        <v>0</v>
      </c>
    </row>
    <row r="503" spans="1:27" ht="57" x14ac:dyDescent="0.2">
      <c r="A503" s="27" t="str">
        <f>Source!E331</f>
        <v>57</v>
      </c>
      <c r="B503" s="28" t="str">
        <f>Source!F331</f>
        <v>1.1-1-1114</v>
      </c>
      <c r="C503" s="28" t="str">
        <f>Source!G331</f>
        <v>Сталь угловая равнополочная общего назначения, марка Ст1кп-Ст4кп, Ст1пс-Ст6пс, Ст1Гпс-Ст5Гпс, ширина полки 35-70 мм - уголок 50х50</v>
      </c>
      <c r="D503" s="30" t="str">
        <f>Source!H331</f>
        <v>т</v>
      </c>
      <c r="E503" s="29">
        <f>Source!I331</f>
        <v>5.6800000000000003E-2</v>
      </c>
      <c r="F503" s="32">
        <f>Source!AL331</f>
        <v>8344.7099999999991</v>
      </c>
      <c r="G503" s="31" t="str">
        <f>Source!DD331</f>
        <v/>
      </c>
      <c r="H503" s="29">
        <f>Source!AW331</f>
        <v>1</v>
      </c>
      <c r="I503" s="33">
        <f>ROUND((Source!AC331*Source!AW331)*Source!I331, 2)</f>
        <v>473.98</v>
      </c>
      <c r="J503" s="29">
        <f>IF(Source!BC331&lt;&gt; 0, Source!BC331, 1)</f>
        <v>4.1100000000000003</v>
      </c>
      <c r="K503" s="33">
        <f>Source!P331</f>
        <v>1948.06</v>
      </c>
      <c r="Q503">
        <f>ROUND((Source!DN331/100)*ROUND((Source!AF331*Source!AV331)*Source!I331, 2), 2)</f>
        <v>0</v>
      </c>
      <c r="R503">
        <f>Source!X331</f>
        <v>0</v>
      </c>
      <c r="S503">
        <f>ROUND((Source!DO331/100)*ROUND((Source!AF331*Source!AV331)*Source!I331, 2), 2)</f>
        <v>0</v>
      </c>
      <c r="T503">
        <f>Source!Y331</f>
        <v>0</v>
      </c>
      <c r="U503">
        <f>ROUND((175/100)*ROUND((Source!AE331*Source!AV331)*Source!I331, 2), 2)</f>
        <v>0</v>
      </c>
      <c r="V503">
        <f>ROUND((167/100)*ROUND(Source!CS331*Source!I331, 2), 2)</f>
        <v>0</v>
      </c>
    </row>
    <row r="504" spans="1:27" ht="15" x14ac:dyDescent="0.25">
      <c r="A504" s="38"/>
      <c r="B504" s="38"/>
      <c r="C504" s="38"/>
      <c r="D504" s="38"/>
      <c r="E504" s="38"/>
      <c r="F504" s="38"/>
      <c r="G504" s="38"/>
      <c r="H504" s="39">
        <f>I503</f>
        <v>473.98</v>
      </c>
      <c r="I504" s="39"/>
      <c r="J504" s="39">
        <f>K503</f>
        <v>1948.06</v>
      </c>
      <c r="K504" s="39"/>
      <c r="O504" s="36">
        <f>I503</f>
        <v>473.98</v>
      </c>
      <c r="P504" s="36">
        <f>K503</f>
        <v>1948.06</v>
      </c>
      <c r="X504">
        <f>IF(Source!BI331&lt;=1,I503-0, 0)</f>
        <v>473.98</v>
      </c>
      <c r="Y504">
        <f>IF(Source!BI331=2,I503-0, 0)</f>
        <v>0</v>
      </c>
      <c r="Z504">
        <f>IF(Source!BI331=3,I503-0, 0)</f>
        <v>0</v>
      </c>
      <c r="AA504">
        <f>IF(Source!BI331=4,I503,0)</f>
        <v>0</v>
      </c>
    </row>
    <row r="505" spans="1:27" ht="99.75" x14ac:dyDescent="0.2">
      <c r="A505" s="27" t="str">
        <f>Source!E332</f>
        <v>58</v>
      </c>
      <c r="B505" s="28" t="str">
        <f>Source!F332</f>
        <v>4.8-241-4</v>
      </c>
      <c r="C505" s="28" t="str">
        <f>Source!G332</f>
        <v>Разводка по устройствам и подключение жил кабелей или проводов внешней сети к блокам зажимов и к зажимам аппаратов и приборов, установленных на устройствах, кабели и провода сечение до 70 мм2</v>
      </c>
      <c r="D505" s="30" t="str">
        <f>Source!H332</f>
        <v>100 жил</v>
      </c>
      <c r="E505" s="29">
        <f>Source!I332</f>
        <v>0.28000000000000003</v>
      </c>
      <c r="F505" s="32"/>
      <c r="G505" s="31"/>
      <c r="H505" s="29"/>
      <c r="I505" s="33"/>
      <c r="J505" s="29"/>
      <c r="K505" s="33"/>
      <c r="Q505">
        <f>ROUND((Source!DN332/100)*ROUND((Source!AF332*Source!AV332)*Source!I332, 2), 2)</f>
        <v>163.77000000000001</v>
      </c>
      <c r="R505">
        <f>Source!X332</f>
        <v>2515.62</v>
      </c>
      <c r="S505">
        <f>ROUND((Source!DO332/100)*ROUND((Source!AF332*Source!AV332)*Source!I332, 2), 2)</f>
        <v>102.35</v>
      </c>
      <c r="T505">
        <f>Source!Y332</f>
        <v>1218.0899999999999</v>
      </c>
      <c r="U505">
        <f>ROUND((175/100)*ROUND((Source!AE332*Source!AV332)*Source!I332, 2), 2)</f>
        <v>1.02</v>
      </c>
      <c r="V505">
        <f>ROUND((167/100)*ROUND(Source!CS332*Source!I332, 2), 2)</f>
        <v>17.62</v>
      </c>
    </row>
    <row r="506" spans="1:27" x14ac:dyDescent="0.2">
      <c r="C506" s="34" t="str">
        <f>"Объем: "&amp;Source!I332&amp;"=28/"&amp;"100"</f>
        <v>Объем: 0,28=28/100</v>
      </c>
    </row>
    <row r="507" spans="1:27" ht="14.25" x14ac:dyDescent="0.2">
      <c r="A507" s="27"/>
      <c r="B507" s="28"/>
      <c r="C507" s="28" t="s">
        <v>492</v>
      </c>
      <c r="D507" s="30"/>
      <c r="E507" s="29"/>
      <c r="F507" s="32">
        <f>Source!AO332</f>
        <v>522.21</v>
      </c>
      <c r="G507" s="31" t="str">
        <f>Source!DG332</f>
        <v/>
      </c>
      <c r="H507" s="29">
        <f>Source!AV332</f>
        <v>1</v>
      </c>
      <c r="I507" s="33">
        <f>ROUND((Source!AF332*Source!AV332)*Source!I332, 2)</f>
        <v>146.22</v>
      </c>
      <c r="J507" s="29">
        <f>IF(Source!BA332&lt;&gt; 0, Source!BA332, 1)</f>
        <v>18.11</v>
      </c>
      <c r="K507" s="33">
        <f>Source!S332</f>
        <v>2648.02</v>
      </c>
      <c r="W507">
        <f>I507</f>
        <v>146.22</v>
      </c>
    </row>
    <row r="508" spans="1:27" ht="14.25" x14ac:dyDescent="0.2">
      <c r="A508" s="27"/>
      <c r="B508" s="28"/>
      <c r="C508" s="28" t="s">
        <v>493</v>
      </c>
      <c r="D508" s="30"/>
      <c r="E508" s="29"/>
      <c r="F508" s="32">
        <f>Source!AM332</f>
        <v>20.25</v>
      </c>
      <c r="G508" s="31" t="str">
        <f>Source!DE332</f>
        <v/>
      </c>
      <c r="H508" s="29">
        <f>Source!AV332</f>
        <v>1</v>
      </c>
      <c r="I508" s="33">
        <f>ROUND(((((Source!ET332)-(Source!EU332))+Source!AE332)*Source!AV332)*Source!I332, 2)</f>
        <v>5.67</v>
      </c>
      <c r="J508" s="29">
        <f>IF(Source!BB332&lt;&gt; 0, Source!BB332, 1)</f>
        <v>6.8</v>
      </c>
      <c r="K508" s="33">
        <f>Source!Q332</f>
        <v>38.56</v>
      </c>
    </row>
    <row r="509" spans="1:27" ht="14.25" x14ac:dyDescent="0.2">
      <c r="A509" s="27"/>
      <c r="B509" s="28"/>
      <c r="C509" s="28" t="s">
        <v>494</v>
      </c>
      <c r="D509" s="30"/>
      <c r="E509" s="29"/>
      <c r="F509" s="32">
        <f>Source!AN332</f>
        <v>2.08</v>
      </c>
      <c r="G509" s="31" t="str">
        <f>Source!DF332</f>
        <v/>
      </c>
      <c r="H509" s="29">
        <f>Source!AV332</f>
        <v>1</v>
      </c>
      <c r="I509" s="35">
        <f>ROUND((Source!AE332*Source!AV332)*Source!I332, 2)</f>
        <v>0.57999999999999996</v>
      </c>
      <c r="J509" s="29">
        <f>IF(Source!BS332&lt;&gt; 0, Source!BS332, 1)</f>
        <v>18.11</v>
      </c>
      <c r="K509" s="35">
        <f>Source!R332</f>
        <v>10.55</v>
      </c>
      <c r="W509">
        <f>I509</f>
        <v>0.57999999999999996</v>
      </c>
    </row>
    <row r="510" spans="1:27" ht="14.25" x14ac:dyDescent="0.2">
      <c r="A510" s="27"/>
      <c r="B510" s="28"/>
      <c r="C510" s="28" t="s">
        <v>501</v>
      </c>
      <c r="D510" s="30"/>
      <c r="E510" s="29"/>
      <c r="F510" s="32">
        <f>Source!AL332</f>
        <v>341.6</v>
      </c>
      <c r="G510" s="31" t="str">
        <f>Source!DD332</f>
        <v/>
      </c>
      <c r="H510" s="29">
        <f>Source!AW332</f>
        <v>1</v>
      </c>
      <c r="I510" s="33">
        <f>ROUND((Source!AC332*Source!AW332)*Source!I332, 2)</f>
        <v>95.65</v>
      </c>
      <c r="J510" s="29">
        <f>IF(Source!BC332&lt;&gt; 0, Source!BC332, 1)</f>
        <v>5.07</v>
      </c>
      <c r="K510" s="33">
        <f>Source!P332</f>
        <v>484.94</v>
      </c>
    </row>
    <row r="511" spans="1:27" ht="14.25" x14ac:dyDescent="0.2">
      <c r="A511" s="27"/>
      <c r="B511" s="28"/>
      <c r="C511" s="28" t="s">
        <v>495</v>
      </c>
      <c r="D511" s="30" t="s">
        <v>496</v>
      </c>
      <c r="E511" s="29">
        <f>Source!DN332</f>
        <v>112</v>
      </c>
      <c r="F511" s="32"/>
      <c r="G511" s="31"/>
      <c r="H511" s="29"/>
      <c r="I511" s="33">
        <f>SUM(Q505:Q510)</f>
        <v>163.77000000000001</v>
      </c>
      <c r="J511" s="29">
        <f>Source!BZ332</f>
        <v>95</v>
      </c>
      <c r="K511" s="33">
        <f>SUM(R505:R510)</f>
        <v>2515.62</v>
      </c>
    </row>
    <row r="512" spans="1:27" ht="14.25" x14ac:dyDescent="0.2">
      <c r="A512" s="27"/>
      <c r="B512" s="28"/>
      <c r="C512" s="28" t="s">
        <v>497</v>
      </c>
      <c r="D512" s="30" t="s">
        <v>496</v>
      </c>
      <c r="E512" s="29">
        <f>Source!DO332</f>
        <v>70</v>
      </c>
      <c r="F512" s="32"/>
      <c r="G512" s="31"/>
      <c r="H512" s="29"/>
      <c r="I512" s="33">
        <f>SUM(S505:S511)</f>
        <v>102.35</v>
      </c>
      <c r="J512" s="29">
        <f>Source!CA332</f>
        <v>46</v>
      </c>
      <c r="K512" s="33">
        <f>SUM(T505:T511)</f>
        <v>1218.0899999999999</v>
      </c>
    </row>
    <row r="513" spans="1:27" ht="14.25" x14ac:dyDescent="0.2">
      <c r="A513" s="27"/>
      <c r="B513" s="28"/>
      <c r="C513" s="28" t="s">
        <v>498</v>
      </c>
      <c r="D513" s="30" t="s">
        <v>496</v>
      </c>
      <c r="E513" s="29">
        <f>175</f>
        <v>175</v>
      </c>
      <c r="F513" s="32"/>
      <c r="G513" s="31"/>
      <c r="H513" s="29"/>
      <c r="I513" s="33">
        <f>SUM(U505:U512)</f>
        <v>1.02</v>
      </c>
      <c r="J513" s="29">
        <f>167</f>
        <v>167</v>
      </c>
      <c r="K513" s="33">
        <f>SUM(V505:V512)</f>
        <v>17.62</v>
      </c>
    </row>
    <row r="514" spans="1:27" ht="14.25" x14ac:dyDescent="0.2">
      <c r="A514" s="27"/>
      <c r="B514" s="28"/>
      <c r="C514" s="28" t="s">
        <v>499</v>
      </c>
      <c r="D514" s="30" t="s">
        <v>500</v>
      </c>
      <c r="E514" s="29">
        <f>Source!AQ332</f>
        <v>40.17</v>
      </c>
      <c r="F514" s="32"/>
      <c r="G514" s="31" t="str">
        <f>Source!DI332</f>
        <v/>
      </c>
      <c r="H514" s="29">
        <f>Source!AV332</f>
        <v>1</v>
      </c>
      <c r="I514" s="33">
        <f>Source!U332</f>
        <v>11.247600000000002</v>
      </c>
      <c r="J514" s="29"/>
      <c r="K514" s="33"/>
    </row>
    <row r="515" spans="1:27" ht="15" x14ac:dyDescent="0.25">
      <c r="A515" s="38"/>
      <c r="B515" s="38"/>
      <c r="C515" s="38"/>
      <c r="D515" s="38"/>
      <c r="E515" s="38"/>
      <c r="F515" s="38"/>
      <c r="G515" s="38"/>
      <c r="H515" s="39">
        <f>I507+I508+I510+I511+I512+I513</f>
        <v>514.67999999999995</v>
      </c>
      <c r="I515" s="39"/>
      <c r="J515" s="39">
        <f>K507+K508+K510+K511+K512+K513</f>
        <v>6922.8499999999995</v>
      </c>
      <c r="K515" s="39"/>
      <c r="O515" s="36">
        <f>I507+I508+I510+I511+I512+I513</f>
        <v>514.67999999999995</v>
      </c>
      <c r="P515" s="36">
        <f>K507+K508+K510+K511+K512+K513</f>
        <v>6922.8499999999995</v>
      </c>
      <c r="X515">
        <f>IF(Source!BI332&lt;=1,I507+I508+I510+I511+I512+I513-0, 0)</f>
        <v>0</v>
      </c>
      <c r="Y515">
        <f>IF(Source!BI332=2,I507+I508+I510+I511+I512+I513-0, 0)</f>
        <v>514.67999999999995</v>
      </c>
      <c r="Z515">
        <f>IF(Source!BI332=3,I507+I508+I510+I511+I512+I513-0, 0)</f>
        <v>0</v>
      </c>
      <c r="AA515">
        <f>IF(Source!BI332=4,I507+I508+I510+I511+I512+I513,0)</f>
        <v>0</v>
      </c>
    </row>
    <row r="516" spans="1:27" ht="42.75" x14ac:dyDescent="0.2">
      <c r="A516" s="27" t="str">
        <f>Source!E333</f>
        <v>59</v>
      </c>
      <c r="B516" s="28" t="str">
        <f>Source!F333</f>
        <v>4.8-187-7</v>
      </c>
      <c r="C516" s="28" t="str">
        <f>Source!G333</f>
        <v>Проводник заземляющий открыто по строительным основаниям из полосовой стали, сечением 160 мм2</v>
      </c>
      <c r="D516" s="30" t="str">
        <f>Source!H333</f>
        <v>100 м</v>
      </c>
      <c r="E516" s="29">
        <f>Source!I333</f>
        <v>0.1</v>
      </c>
      <c r="F516" s="32"/>
      <c r="G516" s="31"/>
      <c r="H516" s="29"/>
      <c r="I516" s="33"/>
      <c r="J516" s="29"/>
      <c r="K516" s="33"/>
      <c r="Q516">
        <f>ROUND((Source!DN333/100)*ROUND((Source!AF333*Source!AV333)*Source!I333, 2), 2)</f>
        <v>25.55</v>
      </c>
      <c r="R516">
        <f>Source!X333</f>
        <v>392.44</v>
      </c>
      <c r="S516">
        <f>ROUND((Source!DO333/100)*ROUND((Source!AF333*Source!AV333)*Source!I333, 2), 2)</f>
        <v>15.97</v>
      </c>
      <c r="T516">
        <f>Source!Y333</f>
        <v>190.02</v>
      </c>
      <c r="U516">
        <f>ROUND((175/100)*ROUND((Source!AE333*Source!AV333)*Source!I333, 2), 2)</f>
        <v>2.15</v>
      </c>
      <c r="V516">
        <f>ROUND((167/100)*ROUND(Source!CS333*Source!I333, 2), 2)</f>
        <v>37.17</v>
      </c>
    </row>
    <row r="517" spans="1:27" x14ac:dyDescent="0.2">
      <c r="C517" s="34" t="str">
        <f>"Объем: "&amp;Source!I333&amp;"=10/"&amp;"100"</f>
        <v>Объем: 0,1=10/100</v>
      </c>
    </row>
    <row r="518" spans="1:27" ht="14.25" x14ac:dyDescent="0.2">
      <c r="A518" s="27"/>
      <c r="B518" s="28"/>
      <c r="C518" s="28" t="s">
        <v>492</v>
      </c>
      <c r="D518" s="30"/>
      <c r="E518" s="29"/>
      <c r="F518" s="32">
        <f>Source!AO333</f>
        <v>228.1</v>
      </c>
      <c r="G518" s="31" t="str">
        <f>Source!DG333</f>
        <v/>
      </c>
      <c r="H518" s="29">
        <f>Source!AV333</f>
        <v>1</v>
      </c>
      <c r="I518" s="33">
        <f>ROUND((Source!AF333*Source!AV333)*Source!I333, 2)</f>
        <v>22.81</v>
      </c>
      <c r="J518" s="29">
        <f>IF(Source!BA333&lt;&gt; 0, Source!BA333, 1)</f>
        <v>18.11</v>
      </c>
      <c r="K518" s="33">
        <f>Source!S333</f>
        <v>413.09</v>
      </c>
      <c r="W518">
        <f>I518</f>
        <v>22.81</v>
      </c>
    </row>
    <row r="519" spans="1:27" ht="14.25" x14ac:dyDescent="0.2">
      <c r="A519" s="27"/>
      <c r="B519" s="28"/>
      <c r="C519" s="28" t="s">
        <v>493</v>
      </c>
      <c r="D519" s="30"/>
      <c r="E519" s="29"/>
      <c r="F519" s="32">
        <f>Source!AM333</f>
        <v>145.33000000000001</v>
      </c>
      <c r="G519" s="31" t="str">
        <f>Source!DE333</f>
        <v/>
      </c>
      <c r="H519" s="29">
        <f>Source!AV333</f>
        <v>1</v>
      </c>
      <c r="I519" s="33">
        <f>ROUND(((((Source!ET333)-(Source!EU333))+Source!AE333)*Source!AV333)*Source!I333, 2)</f>
        <v>14.53</v>
      </c>
      <c r="J519" s="29">
        <f>IF(Source!BB333&lt;&gt; 0, Source!BB333, 1)</f>
        <v>6.58</v>
      </c>
      <c r="K519" s="33">
        <f>Source!Q333</f>
        <v>95.63</v>
      </c>
    </row>
    <row r="520" spans="1:27" ht="14.25" x14ac:dyDescent="0.2">
      <c r="A520" s="27"/>
      <c r="B520" s="28"/>
      <c r="C520" s="28" t="s">
        <v>494</v>
      </c>
      <c r="D520" s="30"/>
      <c r="E520" s="29"/>
      <c r="F520" s="32">
        <f>Source!AN333</f>
        <v>12.29</v>
      </c>
      <c r="G520" s="31" t="str">
        <f>Source!DF333</f>
        <v/>
      </c>
      <c r="H520" s="29">
        <f>Source!AV333</f>
        <v>1</v>
      </c>
      <c r="I520" s="35">
        <f>ROUND((Source!AE333*Source!AV333)*Source!I333, 2)</f>
        <v>1.23</v>
      </c>
      <c r="J520" s="29">
        <f>IF(Source!BS333&lt;&gt; 0, Source!BS333, 1)</f>
        <v>18.11</v>
      </c>
      <c r="K520" s="35">
        <f>Source!R333</f>
        <v>22.26</v>
      </c>
      <c r="W520">
        <f>I520</f>
        <v>1.23</v>
      </c>
    </row>
    <row r="521" spans="1:27" ht="14.25" x14ac:dyDescent="0.2">
      <c r="A521" s="27"/>
      <c r="B521" s="28"/>
      <c r="C521" s="28" t="s">
        <v>501</v>
      </c>
      <c r="D521" s="30"/>
      <c r="E521" s="29"/>
      <c r="F521" s="32">
        <f>Source!AL333</f>
        <v>422.8</v>
      </c>
      <c r="G521" s="31" t="str">
        <f>Source!DD333</f>
        <v/>
      </c>
      <c r="H521" s="29">
        <f>Source!AW333</f>
        <v>1</v>
      </c>
      <c r="I521" s="33">
        <f>ROUND((Source!AC333*Source!AW333)*Source!I333, 2)</f>
        <v>42.28</v>
      </c>
      <c r="J521" s="29">
        <f>IF(Source!BC333&lt;&gt; 0, Source!BC333, 1)</f>
        <v>5.07</v>
      </c>
      <c r="K521" s="33">
        <f>Source!P333</f>
        <v>214.36</v>
      </c>
    </row>
    <row r="522" spans="1:27" ht="28.5" x14ac:dyDescent="0.2">
      <c r="A522" s="27" t="str">
        <f>Source!E334</f>
        <v>59,1</v>
      </c>
      <c r="B522" s="28" t="str">
        <f>Source!F334</f>
        <v>1.1-1-1092</v>
      </c>
      <c r="C522" s="28" t="str">
        <f>Source!G334</f>
        <v>Сталь полосовая, марка Ст1сп - Ст6сп, спокойная</v>
      </c>
      <c r="D522" s="30" t="str">
        <f>Source!H334</f>
        <v>т</v>
      </c>
      <c r="E522" s="29">
        <f>Source!I334</f>
        <v>1.617E-2</v>
      </c>
      <c r="F522" s="32">
        <f>Source!AK334</f>
        <v>7254.88</v>
      </c>
      <c r="G522" s="40" t="s">
        <v>3</v>
      </c>
      <c r="H522" s="29">
        <f>Source!AW334</f>
        <v>1</v>
      </c>
      <c r="I522" s="33">
        <f>ROUND((Source!AC334*Source!AW334)*Source!I334, 2)+ROUND(((((Source!ET334)-(Source!EU334))+Source!AE334)*Source!AV334)*Source!I334, 2)+ROUND((Source!AF334*Source!AV334)*Source!I334, 2)</f>
        <v>117.31</v>
      </c>
      <c r="J522" s="29">
        <f>IF(Source!BC334&lt;&gt; 0, Source!BC334, 1)</f>
        <v>4.93</v>
      </c>
      <c r="K522" s="33">
        <f>Source!O334</f>
        <v>578.35</v>
      </c>
      <c r="Q522">
        <f>ROUND((Source!DN334/100)*ROUND((Source!AF334*Source!AV334)*Source!I334, 2), 2)</f>
        <v>0</v>
      </c>
      <c r="R522">
        <f>Source!X334</f>
        <v>0</v>
      </c>
      <c r="S522">
        <f>ROUND((Source!DO334/100)*ROUND((Source!AF334*Source!AV334)*Source!I334, 2), 2)</f>
        <v>0</v>
      </c>
      <c r="T522">
        <f>Source!Y334</f>
        <v>0</v>
      </c>
      <c r="U522">
        <f>ROUND((175/100)*ROUND((Source!AE334*Source!AV334)*Source!I334, 2), 2)</f>
        <v>0</v>
      </c>
      <c r="V522">
        <f>ROUND((167/100)*ROUND(Source!CS334*Source!I334, 2), 2)</f>
        <v>0</v>
      </c>
      <c r="X522">
        <f>IF(Source!BI334&lt;=1,I522, 0)</f>
        <v>0</v>
      </c>
      <c r="Y522">
        <f>IF(Source!BI334=2,I522, 0)</f>
        <v>117.31</v>
      </c>
      <c r="Z522">
        <f>IF(Source!BI334=3,I522, 0)</f>
        <v>0</v>
      </c>
      <c r="AA522">
        <f>IF(Source!BI334=4,I522, 0)</f>
        <v>0</v>
      </c>
    </row>
    <row r="523" spans="1:27" ht="14.25" x14ac:dyDescent="0.2">
      <c r="A523" s="27"/>
      <c r="B523" s="28"/>
      <c r="C523" s="28" t="s">
        <v>495</v>
      </c>
      <c r="D523" s="30" t="s">
        <v>496</v>
      </c>
      <c r="E523" s="29">
        <f>Source!DN333</f>
        <v>112</v>
      </c>
      <c r="F523" s="32"/>
      <c r="G523" s="31"/>
      <c r="H523" s="29"/>
      <c r="I523" s="33">
        <f>SUM(Q516:Q522)</f>
        <v>25.55</v>
      </c>
      <c r="J523" s="29">
        <f>Source!BZ333</f>
        <v>95</v>
      </c>
      <c r="K523" s="33">
        <f>SUM(R516:R522)</f>
        <v>392.44</v>
      </c>
    </row>
    <row r="524" spans="1:27" ht="14.25" x14ac:dyDescent="0.2">
      <c r="A524" s="27"/>
      <c r="B524" s="28"/>
      <c r="C524" s="28" t="s">
        <v>497</v>
      </c>
      <c r="D524" s="30" t="s">
        <v>496</v>
      </c>
      <c r="E524" s="29">
        <f>Source!DO333</f>
        <v>70</v>
      </c>
      <c r="F524" s="32"/>
      <c r="G524" s="31"/>
      <c r="H524" s="29"/>
      <c r="I524" s="33">
        <f>SUM(S516:S523)</f>
        <v>15.97</v>
      </c>
      <c r="J524" s="29">
        <f>Source!CA333</f>
        <v>46</v>
      </c>
      <c r="K524" s="33">
        <f>SUM(T516:T523)</f>
        <v>190.02</v>
      </c>
    </row>
    <row r="525" spans="1:27" ht="14.25" x14ac:dyDescent="0.2">
      <c r="A525" s="27"/>
      <c r="B525" s="28"/>
      <c r="C525" s="28" t="s">
        <v>498</v>
      </c>
      <c r="D525" s="30" t="s">
        <v>496</v>
      </c>
      <c r="E525" s="29">
        <f>175</f>
        <v>175</v>
      </c>
      <c r="F525" s="32"/>
      <c r="G525" s="31"/>
      <c r="H525" s="29"/>
      <c r="I525" s="33">
        <f>SUM(U516:U524)</f>
        <v>2.15</v>
      </c>
      <c r="J525" s="29">
        <f>167</f>
        <v>167</v>
      </c>
      <c r="K525" s="33">
        <f>SUM(V516:V524)</f>
        <v>37.17</v>
      </c>
    </row>
    <row r="526" spans="1:27" ht="14.25" x14ac:dyDescent="0.2">
      <c r="A526" s="27"/>
      <c r="B526" s="28"/>
      <c r="C526" s="28" t="s">
        <v>499</v>
      </c>
      <c r="D526" s="30" t="s">
        <v>500</v>
      </c>
      <c r="E526" s="29">
        <f>Source!AQ333</f>
        <v>18.5</v>
      </c>
      <c r="F526" s="32"/>
      <c r="G526" s="31" t="str">
        <f>Source!DI333</f>
        <v/>
      </c>
      <c r="H526" s="29">
        <f>Source!AV333</f>
        <v>1</v>
      </c>
      <c r="I526" s="33">
        <f>Source!U333</f>
        <v>1.85</v>
      </c>
      <c r="J526" s="29"/>
      <c r="K526" s="33"/>
    </row>
    <row r="527" spans="1:27" ht="15" x14ac:dyDescent="0.25">
      <c r="A527" s="38"/>
      <c r="B527" s="38"/>
      <c r="C527" s="38"/>
      <c r="D527" s="38"/>
      <c r="E527" s="38"/>
      <c r="F527" s="38"/>
      <c r="G527" s="38"/>
      <c r="H527" s="39">
        <f>I518+I519+I521+I523+I524+I525+SUM(I522:I522)</f>
        <v>240.60000000000002</v>
      </c>
      <c r="I527" s="39"/>
      <c r="J527" s="39">
        <f>K518+K519+K521+K523+K524+K525+SUM(K522:K522)</f>
        <v>1921.06</v>
      </c>
      <c r="K527" s="39"/>
      <c r="O527" s="36">
        <f>I518+I519+I521+I523+I524+I525+SUM(I522:I522)</f>
        <v>240.60000000000002</v>
      </c>
      <c r="P527" s="36">
        <f>K518+K519+K521+K523+K524+K525+SUM(K522:K522)</f>
        <v>1921.06</v>
      </c>
      <c r="X527">
        <f>IF(Source!BI333&lt;=1,I518+I519+I521+I523+I524+I525-0, 0)</f>
        <v>0</v>
      </c>
      <c r="Y527">
        <f>IF(Source!BI333=2,I518+I519+I521+I523+I524+I525-0, 0)</f>
        <v>123.29</v>
      </c>
      <c r="Z527">
        <f>IF(Source!BI333=3,I518+I519+I521+I523+I524+I525-0, 0)</f>
        <v>0</v>
      </c>
      <c r="AA527">
        <f>IF(Source!BI333=4,I518+I519+I521+I523+I524+I525,0)</f>
        <v>0</v>
      </c>
    </row>
    <row r="528" spans="1:27" ht="42.75" x14ac:dyDescent="0.2">
      <c r="A528" s="27" t="str">
        <f>Source!E335</f>
        <v>60</v>
      </c>
      <c r="B528" s="28" t="str">
        <f>Source!F335</f>
        <v>4.8-186-1</v>
      </c>
      <c r="C528" s="28" t="str">
        <f>Source!G335</f>
        <v>Заземлители вертикальные, заземлитель из стали угловой, размер 50х50х5 мм</v>
      </c>
      <c r="D528" s="30" t="str">
        <f>Source!H335</f>
        <v>10 шт.</v>
      </c>
      <c r="E528" s="29">
        <f>Source!I335</f>
        <v>0.3</v>
      </c>
      <c r="F528" s="32"/>
      <c r="G528" s="31"/>
      <c r="H528" s="29"/>
      <c r="I528" s="33"/>
      <c r="J528" s="29"/>
      <c r="K528" s="33"/>
      <c r="Q528">
        <f>ROUND((Source!DN335/100)*ROUND((Source!AF335*Source!AV335)*Source!I335, 2), 2)</f>
        <v>38.4</v>
      </c>
      <c r="R528">
        <f>Source!X335</f>
        <v>589.94000000000005</v>
      </c>
      <c r="S528">
        <f>ROUND((Source!DO335/100)*ROUND((Source!AF335*Source!AV335)*Source!I335, 2), 2)</f>
        <v>24</v>
      </c>
      <c r="T528">
        <f>Source!Y335</f>
        <v>285.66000000000003</v>
      </c>
      <c r="U528">
        <f>ROUND((175/100)*ROUND((Source!AE335*Source!AV335)*Source!I335, 2), 2)</f>
        <v>3.89</v>
      </c>
      <c r="V528">
        <f>ROUND((167/100)*ROUND(Source!CS335*Source!I335, 2), 2)</f>
        <v>67.05</v>
      </c>
    </row>
    <row r="529" spans="1:27" x14ac:dyDescent="0.2">
      <c r="C529" s="34" t="str">
        <f>"Объем: "&amp;Source!I335&amp;"=3/"&amp;"10"</f>
        <v>Объем: 0,3=3/10</v>
      </c>
    </row>
    <row r="530" spans="1:27" ht="14.25" x14ac:dyDescent="0.2">
      <c r="A530" s="27"/>
      <c r="B530" s="28"/>
      <c r="C530" s="28" t="s">
        <v>492</v>
      </c>
      <c r="D530" s="30"/>
      <c r="E530" s="29"/>
      <c r="F530" s="32">
        <f>Source!AO335</f>
        <v>114.3</v>
      </c>
      <c r="G530" s="31" t="str">
        <f>Source!DG335</f>
        <v/>
      </c>
      <c r="H530" s="29">
        <f>Source!AV335</f>
        <v>1</v>
      </c>
      <c r="I530" s="33">
        <f>ROUND((Source!AF335*Source!AV335)*Source!I335, 2)</f>
        <v>34.29</v>
      </c>
      <c r="J530" s="29">
        <f>IF(Source!BA335&lt;&gt; 0, Source!BA335, 1)</f>
        <v>18.11</v>
      </c>
      <c r="K530" s="33">
        <f>Source!S335</f>
        <v>620.99</v>
      </c>
      <c r="W530">
        <f>I530</f>
        <v>34.29</v>
      </c>
    </row>
    <row r="531" spans="1:27" ht="14.25" x14ac:dyDescent="0.2">
      <c r="A531" s="27"/>
      <c r="B531" s="28"/>
      <c r="C531" s="28" t="s">
        <v>493</v>
      </c>
      <c r="D531" s="30"/>
      <c r="E531" s="29"/>
      <c r="F531" s="32">
        <f>Source!AM335</f>
        <v>79.930000000000007</v>
      </c>
      <c r="G531" s="31" t="str">
        <f>Source!DE335</f>
        <v/>
      </c>
      <c r="H531" s="29">
        <f>Source!AV335</f>
        <v>1</v>
      </c>
      <c r="I531" s="33">
        <f>ROUND(((((Source!ET335)-(Source!EU335))+Source!AE335)*Source!AV335)*Source!I335, 2)</f>
        <v>23.98</v>
      </c>
      <c r="J531" s="29">
        <f>IF(Source!BB335&lt;&gt; 0, Source!BB335, 1)</f>
        <v>6.67</v>
      </c>
      <c r="K531" s="33">
        <f>Source!Q335</f>
        <v>159.94</v>
      </c>
    </row>
    <row r="532" spans="1:27" ht="14.25" x14ac:dyDescent="0.2">
      <c r="A532" s="27"/>
      <c r="B532" s="28"/>
      <c r="C532" s="28" t="s">
        <v>494</v>
      </c>
      <c r="D532" s="30"/>
      <c r="E532" s="29"/>
      <c r="F532" s="32">
        <f>Source!AN335</f>
        <v>7.39</v>
      </c>
      <c r="G532" s="31" t="str">
        <f>Source!DF335</f>
        <v/>
      </c>
      <c r="H532" s="29">
        <f>Source!AV335</f>
        <v>1</v>
      </c>
      <c r="I532" s="35">
        <f>ROUND((Source!AE335*Source!AV335)*Source!I335, 2)</f>
        <v>2.2200000000000002</v>
      </c>
      <c r="J532" s="29">
        <f>IF(Source!BS335&lt;&gt; 0, Source!BS335, 1)</f>
        <v>18.11</v>
      </c>
      <c r="K532" s="35">
        <f>Source!R335</f>
        <v>40.15</v>
      </c>
      <c r="W532">
        <f>I532</f>
        <v>2.2200000000000002</v>
      </c>
    </row>
    <row r="533" spans="1:27" ht="14.25" x14ac:dyDescent="0.2">
      <c r="A533" s="27"/>
      <c r="B533" s="28"/>
      <c r="C533" s="28" t="s">
        <v>501</v>
      </c>
      <c r="D533" s="30"/>
      <c r="E533" s="29"/>
      <c r="F533" s="32">
        <f>Source!AL335</f>
        <v>154.69999999999999</v>
      </c>
      <c r="G533" s="31" t="str">
        <f>Source!DD335</f>
        <v/>
      </c>
      <c r="H533" s="29">
        <f>Source!AW335</f>
        <v>1</v>
      </c>
      <c r="I533" s="33">
        <f>ROUND((Source!AC335*Source!AW335)*Source!I335, 2)</f>
        <v>46.41</v>
      </c>
      <c r="J533" s="29">
        <f>IF(Source!BC335&lt;&gt; 0, Source!BC335, 1)</f>
        <v>5.07</v>
      </c>
      <c r="K533" s="33">
        <f>Source!P335</f>
        <v>235.3</v>
      </c>
    </row>
    <row r="534" spans="1:27" ht="42.75" x14ac:dyDescent="0.2">
      <c r="A534" s="27" t="str">
        <f>Source!E336</f>
        <v>60,1</v>
      </c>
      <c r="B534" s="28" t="str">
        <f>Source!F336</f>
        <v>1.1-1-1114</v>
      </c>
      <c r="C534" s="28" t="str">
        <f>Source!G336</f>
        <v>Сталь угловая равнополочная общего назначения, , ширина полки 35-70 мм - уголок 50х50х5 - 3м</v>
      </c>
      <c r="D534" s="30" t="str">
        <f>Source!H336</f>
        <v>т</v>
      </c>
      <c r="E534" s="29">
        <f>Source!I336</f>
        <v>3.2899999999999999E-2</v>
      </c>
      <c r="F534" s="32">
        <f>Source!AK336</f>
        <v>8344.7099999999991</v>
      </c>
      <c r="G534" s="40" t="s">
        <v>3</v>
      </c>
      <c r="H534" s="29">
        <f>Source!AW336</f>
        <v>1</v>
      </c>
      <c r="I534" s="33">
        <f>ROUND((Source!AC336*Source!AW336)*Source!I336, 2)+ROUND(((((Source!ET336)-(Source!EU336))+Source!AE336)*Source!AV336)*Source!I336, 2)+ROUND((Source!AF336*Source!AV336)*Source!I336, 2)</f>
        <v>274.54000000000002</v>
      </c>
      <c r="J534" s="29">
        <f>IF(Source!BC336&lt;&gt; 0, Source!BC336, 1)</f>
        <v>4.1100000000000003</v>
      </c>
      <c r="K534" s="33">
        <f>Source!O336</f>
        <v>1128.3599999999999</v>
      </c>
      <c r="Q534">
        <f>ROUND((Source!DN336/100)*ROUND((Source!AF336*Source!AV336)*Source!I336, 2), 2)</f>
        <v>0</v>
      </c>
      <c r="R534">
        <f>Source!X336</f>
        <v>0</v>
      </c>
      <c r="S534">
        <f>ROUND((Source!DO336/100)*ROUND((Source!AF336*Source!AV336)*Source!I336, 2), 2)</f>
        <v>0</v>
      </c>
      <c r="T534">
        <f>Source!Y336</f>
        <v>0</v>
      </c>
      <c r="U534">
        <f>ROUND((175/100)*ROUND((Source!AE336*Source!AV336)*Source!I336, 2), 2)</f>
        <v>0</v>
      </c>
      <c r="V534">
        <f>ROUND((167/100)*ROUND(Source!CS336*Source!I336, 2), 2)</f>
        <v>0</v>
      </c>
      <c r="X534">
        <f>IF(Source!BI336&lt;=1,I534, 0)</f>
        <v>0</v>
      </c>
      <c r="Y534">
        <f>IF(Source!BI336=2,I534, 0)</f>
        <v>274.54000000000002</v>
      </c>
      <c r="Z534">
        <f>IF(Source!BI336=3,I534, 0)</f>
        <v>0</v>
      </c>
      <c r="AA534">
        <f>IF(Source!BI336=4,I534, 0)</f>
        <v>0</v>
      </c>
    </row>
    <row r="535" spans="1:27" ht="14.25" x14ac:dyDescent="0.2">
      <c r="A535" s="27"/>
      <c r="B535" s="28"/>
      <c r="C535" s="28" t="s">
        <v>495</v>
      </c>
      <c r="D535" s="30" t="s">
        <v>496</v>
      </c>
      <c r="E535" s="29">
        <f>Source!DN335</f>
        <v>112</v>
      </c>
      <c r="F535" s="32"/>
      <c r="G535" s="31"/>
      <c r="H535" s="29"/>
      <c r="I535" s="33">
        <f>SUM(Q528:Q534)</f>
        <v>38.4</v>
      </c>
      <c r="J535" s="29">
        <f>Source!BZ335</f>
        <v>95</v>
      </c>
      <c r="K535" s="33">
        <f>SUM(R528:R534)</f>
        <v>589.94000000000005</v>
      </c>
    </row>
    <row r="536" spans="1:27" ht="14.25" x14ac:dyDescent="0.2">
      <c r="A536" s="27"/>
      <c r="B536" s="28"/>
      <c r="C536" s="28" t="s">
        <v>497</v>
      </c>
      <c r="D536" s="30" t="s">
        <v>496</v>
      </c>
      <c r="E536" s="29">
        <f>Source!DO335</f>
        <v>70</v>
      </c>
      <c r="F536" s="32"/>
      <c r="G536" s="31"/>
      <c r="H536" s="29"/>
      <c r="I536" s="33">
        <f>SUM(S528:S535)</f>
        <v>24</v>
      </c>
      <c r="J536" s="29">
        <f>Source!CA335</f>
        <v>46</v>
      </c>
      <c r="K536" s="33">
        <f>SUM(T528:T535)</f>
        <v>285.66000000000003</v>
      </c>
    </row>
    <row r="537" spans="1:27" ht="14.25" x14ac:dyDescent="0.2">
      <c r="A537" s="27"/>
      <c r="B537" s="28"/>
      <c r="C537" s="28" t="s">
        <v>498</v>
      </c>
      <c r="D537" s="30" t="s">
        <v>496</v>
      </c>
      <c r="E537" s="29">
        <f>175</f>
        <v>175</v>
      </c>
      <c r="F537" s="32"/>
      <c r="G537" s="31"/>
      <c r="H537" s="29"/>
      <c r="I537" s="33">
        <f>SUM(U528:U536)</f>
        <v>3.89</v>
      </c>
      <c r="J537" s="29">
        <f>167</f>
        <v>167</v>
      </c>
      <c r="K537" s="33">
        <f>SUM(V528:V536)</f>
        <v>67.05</v>
      </c>
    </row>
    <row r="538" spans="1:27" ht="14.25" x14ac:dyDescent="0.2">
      <c r="A538" s="27"/>
      <c r="B538" s="28"/>
      <c r="C538" s="28" t="s">
        <v>499</v>
      </c>
      <c r="D538" s="30" t="s">
        <v>500</v>
      </c>
      <c r="E538" s="29">
        <f>Source!AQ335</f>
        <v>9.27</v>
      </c>
      <c r="F538" s="32"/>
      <c r="G538" s="31" t="str">
        <f>Source!DI335</f>
        <v/>
      </c>
      <c r="H538" s="29">
        <f>Source!AV335</f>
        <v>1</v>
      </c>
      <c r="I538" s="33">
        <f>Source!U335</f>
        <v>2.7809999999999997</v>
      </c>
      <c r="J538" s="29"/>
      <c r="K538" s="33"/>
    </row>
    <row r="539" spans="1:27" ht="15" x14ac:dyDescent="0.25">
      <c r="A539" s="38"/>
      <c r="B539" s="38"/>
      <c r="C539" s="38"/>
      <c r="D539" s="38"/>
      <c r="E539" s="38"/>
      <c r="F539" s="38"/>
      <c r="G539" s="38"/>
      <c r="H539" s="39">
        <f>I530+I531+I533+I535+I536+I537+SUM(I534:I534)</f>
        <v>445.51</v>
      </c>
      <c r="I539" s="39"/>
      <c r="J539" s="39">
        <f>K530+K531+K533+K535+K536+K537+SUM(K534:K534)</f>
        <v>3087.24</v>
      </c>
      <c r="K539" s="39"/>
      <c r="O539" s="36">
        <f>I530+I531+I533+I535+I536+I537+SUM(I534:I534)</f>
        <v>445.51</v>
      </c>
      <c r="P539" s="36">
        <f>K530+K531+K533+K535+K536+K537+SUM(K534:K534)</f>
        <v>3087.24</v>
      </c>
      <c r="X539">
        <f>IF(Source!BI335&lt;=1,I530+I531+I533+I535+I536+I537-0, 0)</f>
        <v>0</v>
      </c>
      <c r="Y539">
        <f>IF(Source!BI335=2,I530+I531+I533+I535+I536+I537-0, 0)</f>
        <v>170.96999999999997</v>
      </c>
      <c r="Z539">
        <f>IF(Source!BI335=3,I530+I531+I533+I535+I536+I537-0, 0)</f>
        <v>0</v>
      </c>
      <c r="AA539">
        <f>IF(Source!BI335=4,I530+I531+I533+I535+I536+I537,0)</f>
        <v>0</v>
      </c>
    </row>
    <row r="540" spans="1:27" ht="14.25" x14ac:dyDescent="0.2">
      <c r="A540" s="27" t="str">
        <f>Source!E337</f>
        <v>61</v>
      </c>
      <c r="B540" s="28" t="str">
        <f>Source!F337</f>
        <v>1.1-1-491</v>
      </c>
      <c r="C540" s="28" t="str">
        <f>Source!G337</f>
        <v>Лак битумный, марка БТ-123</v>
      </c>
      <c r="D540" s="30" t="str">
        <f>Source!H337</f>
        <v>т</v>
      </c>
      <c r="E540" s="29">
        <f>Source!I337</f>
        <v>0.01</v>
      </c>
      <c r="F540" s="32">
        <f>Source!AL337</f>
        <v>11242.42</v>
      </c>
      <c r="G540" s="31" t="str">
        <f>Source!DD337</f>
        <v/>
      </c>
      <c r="H540" s="29">
        <f>Source!AW337</f>
        <v>1</v>
      </c>
      <c r="I540" s="33">
        <f>ROUND((Source!AC337*Source!AW337)*Source!I337, 2)</f>
        <v>112.42</v>
      </c>
      <c r="J540" s="29">
        <f>IF(Source!BC337&lt;&gt; 0, Source!BC337, 1)</f>
        <v>4.7300000000000004</v>
      </c>
      <c r="K540" s="33">
        <f>Source!P337</f>
        <v>531.77</v>
      </c>
      <c r="Q540">
        <f>ROUND((Source!DN337/100)*ROUND((Source!AF337*Source!AV337)*Source!I337, 2), 2)</f>
        <v>0</v>
      </c>
      <c r="R540">
        <f>Source!X337</f>
        <v>0</v>
      </c>
      <c r="S540">
        <f>ROUND((Source!DO337/100)*ROUND((Source!AF337*Source!AV337)*Source!I337, 2), 2)</f>
        <v>0</v>
      </c>
      <c r="T540">
        <f>Source!Y337</f>
        <v>0</v>
      </c>
      <c r="U540">
        <f>ROUND((175/100)*ROUND((Source!AE337*Source!AV337)*Source!I337, 2), 2)</f>
        <v>0</v>
      </c>
      <c r="V540">
        <f>ROUND((167/100)*ROUND(Source!CS337*Source!I337, 2), 2)</f>
        <v>0</v>
      </c>
    </row>
    <row r="541" spans="1:27" ht="15" x14ac:dyDescent="0.25">
      <c r="A541" s="38"/>
      <c r="B541" s="38"/>
      <c r="C541" s="38"/>
      <c r="D541" s="38"/>
      <c r="E541" s="38"/>
      <c r="F541" s="38"/>
      <c r="G541" s="38"/>
      <c r="H541" s="39">
        <f>I540</f>
        <v>112.42</v>
      </c>
      <c r="I541" s="39"/>
      <c r="J541" s="39">
        <f>K540</f>
        <v>531.77</v>
      </c>
      <c r="K541" s="39"/>
      <c r="O541" s="36">
        <f>I540</f>
        <v>112.42</v>
      </c>
      <c r="P541" s="36">
        <f>K540</f>
        <v>531.77</v>
      </c>
      <c r="X541">
        <f>IF(Source!BI337&lt;=1,I540-0, 0)</f>
        <v>0</v>
      </c>
      <c r="Y541">
        <f>IF(Source!BI337=2,I540-0, 0)</f>
        <v>112.42</v>
      </c>
      <c r="Z541">
        <f>IF(Source!BI337=3,I540-0, 0)</f>
        <v>0</v>
      </c>
      <c r="AA541">
        <f>IF(Source!BI337=4,I540,0)</f>
        <v>0</v>
      </c>
    </row>
    <row r="543" spans="1:27" ht="15" x14ac:dyDescent="0.25">
      <c r="A543" s="42" t="str">
        <f>CONCATENATE("Итого по подразделу: ",IF(Source!G339&lt;&gt;"Новый подраздел", Source!G339, ""))</f>
        <v>Итого по подразделу: 2.10</v>
      </c>
      <c r="B543" s="42"/>
      <c r="C543" s="42"/>
      <c r="D543" s="42"/>
      <c r="E543" s="42"/>
      <c r="F543" s="42"/>
      <c r="G543" s="42"/>
      <c r="H543" s="37">
        <f>SUM(O448:O542)</f>
        <v>318371.94</v>
      </c>
      <c r="I543" s="41"/>
      <c r="J543" s="37">
        <f>SUM(P448:P542)</f>
        <v>1318483.6000000003</v>
      </c>
      <c r="K543" s="41"/>
    </row>
    <row r="544" spans="1:27" ht="15" hidden="1" x14ac:dyDescent="0.25">
      <c r="A544" s="42" t="s">
        <v>502</v>
      </c>
      <c r="B544" s="42"/>
      <c r="C544" s="42"/>
      <c r="D544" s="42"/>
      <c r="E544" s="42"/>
      <c r="F544" s="42"/>
      <c r="G544" s="42"/>
      <c r="H544" s="37">
        <f>SUM(AC448:AC543)</f>
        <v>0</v>
      </c>
      <c r="I544" s="41"/>
      <c r="J544" s="37">
        <f>SUM(AD448:AD543)</f>
        <v>0</v>
      </c>
      <c r="K544" s="41"/>
    </row>
    <row r="546" spans="1:27" ht="16.5" x14ac:dyDescent="0.25">
      <c r="A546" s="25" t="str">
        <f>CONCATENATE("Подраздел: ",IF(Source!G368&lt;&gt;"Новый подраздел", Source!G368, ""))</f>
        <v>Подраздел: 3.1 ПНР</v>
      </c>
      <c r="B546" s="25"/>
      <c r="C546" s="25"/>
      <c r="D546" s="25"/>
      <c r="E546" s="25"/>
      <c r="F546" s="25"/>
      <c r="G546" s="25"/>
      <c r="H546" s="25"/>
      <c r="I546" s="25"/>
      <c r="J546" s="25"/>
      <c r="K546" s="25"/>
    </row>
    <row r="547" spans="1:27" ht="28.5" x14ac:dyDescent="0.2">
      <c r="A547" s="27" t="str">
        <f>Source!E372</f>
        <v>62</v>
      </c>
      <c r="B547" s="28" t="str">
        <f>Source!F372</f>
        <v>5.1-175-1</v>
      </c>
      <c r="C547" s="28" t="str">
        <f>Source!G372</f>
        <v>Кабели силовые напряжением до 10 кВ</v>
      </c>
      <c r="D547" s="30" t="str">
        <f>Source!H372</f>
        <v>испытание</v>
      </c>
      <c r="E547" s="29">
        <f>Source!I372</f>
        <v>30</v>
      </c>
      <c r="F547" s="32"/>
      <c r="G547" s="31"/>
      <c r="H547" s="29"/>
      <c r="I547" s="33"/>
      <c r="J547" s="29"/>
      <c r="K547" s="33"/>
      <c r="Q547">
        <f>ROUND((Source!DN372/100)*ROUND((Source!AF372*Source!AV372)*Source!I372, 2), 2)</f>
        <v>1460.16</v>
      </c>
      <c r="R547">
        <f>Source!X372</f>
        <v>25385.759999999998</v>
      </c>
      <c r="S547">
        <f>ROUND((Source!DO372/100)*ROUND((Source!AF372*Source!AV372)*Source!I372, 2), 2)</f>
        <v>1362.82</v>
      </c>
      <c r="T547">
        <f>Source!Y372</f>
        <v>15513.52</v>
      </c>
      <c r="U547">
        <f>ROUND((175/100)*ROUND((Source!AE372*Source!AV372)*Source!I372, 2), 2)</f>
        <v>0</v>
      </c>
      <c r="V547">
        <f>ROUND((167/100)*ROUND(Source!CS372*Source!I372, 2), 2)</f>
        <v>0</v>
      </c>
    </row>
    <row r="548" spans="1:27" ht="14.25" x14ac:dyDescent="0.2">
      <c r="A548" s="27"/>
      <c r="B548" s="28"/>
      <c r="C548" s="28" t="s">
        <v>492</v>
      </c>
      <c r="D548" s="30"/>
      <c r="E548" s="29"/>
      <c r="F548" s="32">
        <f>Source!AO372</f>
        <v>81.12</v>
      </c>
      <c r="G548" s="31" t="str">
        <f>Source!DG372</f>
        <v>)*0,8</v>
      </c>
      <c r="H548" s="29">
        <f>Source!AV372</f>
        <v>1</v>
      </c>
      <c r="I548" s="33">
        <f>ROUND((Source!AF372*Source!AV372)*Source!I372, 2)</f>
        <v>1946.88</v>
      </c>
      <c r="J548" s="29">
        <f>IF(Source!BA372&lt;&gt; 0, Source!BA372, 1)</f>
        <v>18.11</v>
      </c>
      <c r="K548" s="33">
        <f>Source!S372</f>
        <v>35258</v>
      </c>
      <c r="W548">
        <f>I548</f>
        <v>1946.88</v>
      </c>
    </row>
    <row r="549" spans="1:27" ht="14.25" x14ac:dyDescent="0.2">
      <c r="A549" s="27"/>
      <c r="B549" s="28"/>
      <c r="C549" s="28" t="s">
        <v>495</v>
      </c>
      <c r="D549" s="30" t="s">
        <v>496</v>
      </c>
      <c r="E549" s="29">
        <f>Source!DN372</f>
        <v>75</v>
      </c>
      <c r="F549" s="32"/>
      <c r="G549" s="31"/>
      <c r="H549" s="29"/>
      <c r="I549" s="33">
        <f>SUM(Q547:Q548)</f>
        <v>1460.16</v>
      </c>
      <c r="J549" s="29">
        <f>Source!BZ372</f>
        <v>72</v>
      </c>
      <c r="K549" s="33">
        <f>SUM(R547:R548)</f>
        <v>25385.759999999998</v>
      </c>
    </row>
    <row r="550" spans="1:27" ht="14.25" x14ac:dyDescent="0.2">
      <c r="A550" s="27"/>
      <c r="B550" s="28"/>
      <c r="C550" s="28" t="s">
        <v>497</v>
      </c>
      <c r="D550" s="30" t="s">
        <v>496</v>
      </c>
      <c r="E550" s="29">
        <f>Source!DO372</f>
        <v>70</v>
      </c>
      <c r="F550" s="32"/>
      <c r="G550" s="31"/>
      <c r="H550" s="29"/>
      <c r="I550" s="33">
        <f>SUM(S547:S549)</f>
        <v>1362.82</v>
      </c>
      <c r="J550" s="29">
        <f>Source!CA372</f>
        <v>44</v>
      </c>
      <c r="K550" s="33">
        <f>SUM(T547:T549)</f>
        <v>15513.52</v>
      </c>
    </row>
    <row r="551" spans="1:27" ht="14.25" x14ac:dyDescent="0.2">
      <c r="A551" s="27"/>
      <c r="B551" s="28"/>
      <c r="C551" s="28" t="s">
        <v>499</v>
      </c>
      <c r="D551" s="30" t="s">
        <v>500</v>
      </c>
      <c r="E551" s="29">
        <f>Source!AQ372</f>
        <v>5.4</v>
      </c>
      <c r="F551" s="32"/>
      <c r="G551" s="31" t="str">
        <f>Source!DI372</f>
        <v>)*0,8</v>
      </c>
      <c r="H551" s="29">
        <f>Source!AV372</f>
        <v>1</v>
      </c>
      <c r="I551" s="33">
        <f>Source!U372</f>
        <v>129.60000000000002</v>
      </c>
      <c r="J551" s="29"/>
      <c r="K551" s="33"/>
    </row>
    <row r="552" spans="1:27" ht="15" x14ac:dyDescent="0.25">
      <c r="A552" s="38"/>
      <c r="B552" s="38"/>
      <c r="C552" s="38"/>
      <c r="D552" s="38"/>
      <c r="E552" s="38"/>
      <c r="F552" s="38"/>
      <c r="G552" s="38"/>
      <c r="H552" s="39">
        <f>I548+I549+I550</f>
        <v>4769.8599999999997</v>
      </c>
      <c r="I552" s="39"/>
      <c r="J552" s="39">
        <f>K548+K549+K550</f>
        <v>76157.279999999999</v>
      </c>
      <c r="K552" s="39"/>
      <c r="O552" s="36">
        <f>I548+I549+I550</f>
        <v>4769.8599999999997</v>
      </c>
      <c r="P552" s="36">
        <f>K548+K549+K550</f>
        <v>76157.279999999999</v>
      </c>
      <c r="X552">
        <f>IF(Source!BI372&lt;=1,I548+I549+I550-0, 0)</f>
        <v>0</v>
      </c>
      <c r="Y552">
        <f>IF(Source!BI372=2,I548+I549+I550-0, 0)</f>
        <v>0</v>
      </c>
      <c r="Z552">
        <f>IF(Source!BI372=3,I548+I549+I550-0, 0)</f>
        <v>0</v>
      </c>
      <c r="AA552">
        <f>IF(Source!BI372=4,I548+I549+I550,0)</f>
        <v>4769.8599999999997</v>
      </c>
    </row>
    <row r="553" spans="1:27" ht="42.75" x14ac:dyDescent="0.2">
      <c r="A553" s="27" t="str">
        <f>Source!E373</f>
        <v>63</v>
      </c>
      <c r="B553" s="28" t="str">
        <f>Source!F373</f>
        <v>5.1-87-1</v>
      </c>
      <c r="C553" s="28" t="str">
        <f>Source!G373</f>
        <v>Устройство АВР со схемой восстановления напряжения</v>
      </c>
      <c r="D553" s="30" t="str">
        <f>Source!H373</f>
        <v>1 устройство</v>
      </c>
      <c r="E553" s="29">
        <f>Source!I373</f>
        <v>4</v>
      </c>
      <c r="F553" s="32"/>
      <c r="G553" s="31"/>
      <c r="H553" s="29"/>
      <c r="I553" s="33"/>
      <c r="J553" s="29"/>
      <c r="K553" s="33"/>
      <c r="Q553">
        <f>ROUND((Source!DN373/100)*ROUND((Source!AF373*Source!AV373)*Source!I373, 2), 2)</f>
        <v>1037.02</v>
      </c>
      <c r="R553">
        <f>Source!X373</f>
        <v>18029.150000000001</v>
      </c>
      <c r="S553">
        <f>ROUND((Source!DO373/100)*ROUND((Source!AF373*Source!AV373)*Source!I373, 2), 2)</f>
        <v>967.88</v>
      </c>
      <c r="T553">
        <f>Source!Y373</f>
        <v>11017.81</v>
      </c>
      <c r="U553">
        <f>ROUND((175/100)*ROUND((Source!AE373*Source!AV373)*Source!I373, 2), 2)</f>
        <v>0</v>
      </c>
      <c r="V553">
        <f>ROUND((167/100)*ROUND(Source!CS373*Source!I373, 2), 2)</f>
        <v>0</v>
      </c>
    </row>
    <row r="554" spans="1:27" ht="14.25" x14ac:dyDescent="0.2">
      <c r="A554" s="27"/>
      <c r="B554" s="28"/>
      <c r="C554" s="28" t="s">
        <v>492</v>
      </c>
      <c r="D554" s="30"/>
      <c r="E554" s="29"/>
      <c r="F554" s="32">
        <f>Source!AO373</f>
        <v>432.09</v>
      </c>
      <c r="G554" s="31" t="str">
        <f>Source!DG373</f>
        <v>)*0,8</v>
      </c>
      <c r="H554" s="29">
        <f>Source!AV373</f>
        <v>1</v>
      </c>
      <c r="I554" s="33">
        <f>ROUND((Source!AF373*Source!AV373)*Source!I373, 2)</f>
        <v>1382.69</v>
      </c>
      <c r="J554" s="29">
        <f>IF(Source!BA373&lt;&gt; 0, Source!BA373, 1)</f>
        <v>18.11</v>
      </c>
      <c r="K554" s="33">
        <f>Source!S373</f>
        <v>25040.48</v>
      </c>
      <c r="W554">
        <f>I554</f>
        <v>1382.69</v>
      </c>
    </row>
    <row r="555" spans="1:27" ht="14.25" x14ac:dyDescent="0.2">
      <c r="A555" s="27"/>
      <c r="B555" s="28"/>
      <c r="C555" s="28" t="s">
        <v>495</v>
      </c>
      <c r="D555" s="30" t="s">
        <v>496</v>
      </c>
      <c r="E555" s="29">
        <f>Source!DN373</f>
        <v>75</v>
      </c>
      <c r="F555" s="32"/>
      <c r="G555" s="31"/>
      <c r="H555" s="29"/>
      <c r="I555" s="33">
        <f>SUM(Q553:Q554)</f>
        <v>1037.02</v>
      </c>
      <c r="J555" s="29">
        <f>Source!BZ373</f>
        <v>72</v>
      </c>
      <c r="K555" s="33">
        <f>SUM(R553:R554)</f>
        <v>18029.150000000001</v>
      </c>
    </row>
    <row r="556" spans="1:27" ht="14.25" x14ac:dyDescent="0.2">
      <c r="A556" s="27"/>
      <c r="B556" s="28"/>
      <c r="C556" s="28" t="s">
        <v>497</v>
      </c>
      <c r="D556" s="30" t="s">
        <v>496</v>
      </c>
      <c r="E556" s="29">
        <f>Source!DO373</f>
        <v>70</v>
      </c>
      <c r="F556" s="32"/>
      <c r="G556" s="31"/>
      <c r="H556" s="29"/>
      <c r="I556" s="33">
        <f>SUM(S553:S555)</f>
        <v>967.88</v>
      </c>
      <c r="J556" s="29">
        <f>Source!CA373</f>
        <v>44</v>
      </c>
      <c r="K556" s="33">
        <f>SUM(T553:T555)</f>
        <v>11017.81</v>
      </c>
    </row>
    <row r="557" spans="1:27" ht="14.25" x14ac:dyDescent="0.2">
      <c r="A557" s="27"/>
      <c r="B557" s="28"/>
      <c r="C557" s="28" t="s">
        <v>499</v>
      </c>
      <c r="D557" s="30" t="s">
        <v>500</v>
      </c>
      <c r="E557" s="29">
        <f>Source!AQ373</f>
        <v>26</v>
      </c>
      <c r="F557" s="32"/>
      <c r="G557" s="31" t="str">
        <f>Source!DI373</f>
        <v>)*0,8</v>
      </c>
      <c r="H557" s="29">
        <f>Source!AV373</f>
        <v>1</v>
      </c>
      <c r="I557" s="33">
        <f>Source!U373</f>
        <v>83.2</v>
      </c>
      <c r="J557" s="29"/>
      <c r="K557" s="33"/>
    </row>
    <row r="558" spans="1:27" ht="15" x14ac:dyDescent="0.25">
      <c r="A558" s="38"/>
      <c r="B558" s="38"/>
      <c r="C558" s="38"/>
      <c r="D558" s="38"/>
      <c r="E558" s="38"/>
      <c r="F558" s="38"/>
      <c r="G558" s="38"/>
      <c r="H558" s="39">
        <f>I554+I555+I556</f>
        <v>3387.59</v>
      </c>
      <c r="I558" s="39"/>
      <c r="J558" s="39">
        <f>K554+K555+K556</f>
        <v>54087.44</v>
      </c>
      <c r="K558" s="39"/>
      <c r="O558" s="36">
        <f>I554+I555+I556</f>
        <v>3387.59</v>
      </c>
      <c r="P558" s="36">
        <f>K554+K555+K556</f>
        <v>54087.44</v>
      </c>
      <c r="X558">
        <f>IF(Source!BI373&lt;=1,I554+I555+I556-0, 0)</f>
        <v>0</v>
      </c>
      <c r="Y558">
        <f>IF(Source!BI373=2,I554+I555+I556-0, 0)</f>
        <v>0</v>
      </c>
      <c r="Z558">
        <f>IF(Source!BI373=3,I554+I555+I556-0, 0)</f>
        <v>0</v>
      </c>
      <c r="AA558">
        <f>IF(Source!BI373=4,I554+I555+I556,0)</f>
        <v>3387.59</v>
      </c>
    </row>
    <row r="559" spans="1:27" ht="71.25" x14ac:dyDescent="0.2">
      <c r="A559" s="27" t="str">
        <f>Source!E374</f>
        <v>64</v>
      </c>
      <c r="B559" s="28" t="str">
        <f>Source!F374</f>
        <v>5.1-99-1</v>
      </c>
      <c r="C559" s="28" t="str">
        <f>Source!G374</f>
        <v>Шкафы автоматики, автоматика повышения пропускной способности линий электропередач напряжением свыше 300 кВ шкаф автоматики типа ШП 2701</v>
      </c>
      <c r="D559" s="30" t="str">
        <f>Source!H374</f>
        <v>1 устройство</v>
      </c>
      <c r="E559" s="29">
        <f>Source!I374</f>
        <v>25</v>
      </c>
      <c r="F559" s="32"/>
      <c r="G559" s="31"/>
      <c r="H559" s="29"/>
      <c r="I559" s="33"/>
      <c r="J559" s="29"/>
      <c r="K559" s="33"/>
      <c r="Q559">
        <f>ROUND((Source!DN374/100)*ROUND((Source!AF374*Source!AV374)*Source!I374, 2), 2)</f>
        <v>38846.85</v>
      </c>
      <c r="R559">
        <f>Source!X374</f>
        <v>675375.8</v>
      </c>
      <c r="S559">
        <f>ROUND((Source!DO374/100)*ROUND((Source!AF374*Source!AV374)*Source!I374, 2), 2)</f>
        <v>36257.06</v>
      </c>
      <c r="T559">
        <f>Source!Y374</f>
        <v>412729.65</v>
      </c>
      <c r="U559">
        <f>ROUND((175/100)*ROUND((Source!AE374*Source!AV374)*Source!I374, 2), 2)</f>
        <v>0</v>
      </c>
      <c r="V559">
        <f>ROUND((167/100)*ROUND(Source!CS374*Source!I374, 2), 2)</f>
        <v>0</v>
      </c>
    </row>
    <row r="560" spans="1:27" ht="14.25" x14ac:dyDescent="0.2">
      <c r="A560" s="27"/>
      <c r="B560" s="28"/>
      <c r="C560" s="28" t="s">
        <v>492</v>
      </c>
      <c r="D560" s="30"/>
      <c r="E560" s="29"/>
      <c r="F560" s="32">
        <f>Source!AO374</f>
        <v>2589.79</v>
      </c>
      <c r="G560" s="31" t="str">
        <f>Source!DG374</f>
        <v>)*0,8</v>
      </c>
      <c r="H560" s="29">
        <f>Source!AV374</f>
        <v>1</v>
      </c>
      <c r="I560" s="33">
        <f>ROUND((Source!AF374*Source!AV374)*Source!I374, 2)</f>
        <v>51795.8</v>
      </c>
      <c r="J560" s="29">
        <f>IF(Source!BA374&lt;&gt; 0, Source!BA374, 1)</f>
        <v>18.11</v>
      </c>
      <c r="K560" s="33">
        <f>Source!S374</f>
        <v>938021.94</v>
      </c>
      <c r="W560">
        <f>I560</f>
        <v>51795.8</v>
      </c>
    </row>
    <row r="561" spans="1:27" ht="14.25" x14ac:dyDescent="0.2">
      <c r="A561" s="27"/>
      <c r="B561" s="28"/>
      <c r="C561" s="28" t="s">
        <v>495</v>
      </c>
      <c r="D561" s="30" t="s">
        <v>496</v>
      </c>
      <c r="E561" s="29">
        <f>Source!DN374</f>
        <v>75</v>
      </c>
      <c r="F561" s="32"/>
      <c r="G561" s="31"/>
      <c r="H561" s="29"/>
      <c r="I561" s="33">
        <f>SUM(Q559:Q560)</f>
        <v>38846.85</v>
      </c>
      <c r="J561" s="29">
        <f>Source!BZ374</f>
        <v>72</v>
      </c>
      <c r="K561" s="33">
        <f>SUM(R559:R560)</f>
        <v>675375.8</v>
      </c>
    </row>
    <row r="562" spans="1:27" ht="14.25" x14ac:dyDescent="0.2">
      <c r="A562" s="27"/>
      <c r="B562" s="28"/>
      <c r="C562" s="28" t="s">
        <v>497</v>
      </c>
      <c r="D562" s="30" t="s">
        <v>496</v>
      </c>
      <c r="E562" s="29">
        <f>Source!DO374</f>
        <v>70</v>
      </c>
      <c r="F562" s="32"/>
      <c r="G562" s="31"/>
      <c r="H562" s="29"/>
      <c r="I562" s="33">
        <f>SUM(S559:S561)</f>
        <v>36257.06</v>
      </c>
      <c r="J562" s="29">
        <f>Source!CA374</f>
        <v>44</v>
      </c>
      <c r="K562" s="33">
        <f>SUM(T559:T561)</f>
        <v>412729.65</v>
      </c>
    </row>
    <row r="563" spans="1:27" ht="14.25" x14ac:dyDescent="0.2">
      <c r="A563" s="27"/>
      <c r="B563" s="28"/>
      <c r="C563" s="28" t="s">
        <v>499</v>
      </c>
      <c r="D563" s="30" t="s">
        <v>500</v>
      </c>
      <c r="E563" s="29">
        <f>Source!AQ374</f>
        <v>143</v>
      </c>
      <c r="F563" s="32"/>
      <c r="G563" s="31" t="str">
        <f>Source!DI374</f>
        <v>)*0,8</v>
      </c>
      <c r="H563" s="29">
        <f>Source!AV374</f>
        <v>1</v>
      </c>
      <c r="I563" s="33">
        <f>Source!U374</f>
        <v>2860</v>
      </c>
      <c r="J563" s="29"/>
      <c r="K563" s="33"/>
    </row>
    <row r="564" spans="1:27" ht="15" x14ac:dyDescent="0.25">
      <c r="A564" s="38"/>
      <c r="B564" s="38"/>
      <c r="C564" s="38"/>
      <c r="D564" s="38"/>
      <c r="E564" s="38"/>
      <c r="F564" s="38"/>
      <c r="G564" s="38"/>
      <c r="H564" s="39">
        <f>I560+I561+I562</f>
        <v>126899.70999999999</v>
      </c>
      <c r="I564" s="39"/>
      <c r="J564" s="39">
        <f>K560+K561+K562</f>
        <v>2026127.3900000001</v>
      </c>
      <c r="K564" s="39"/>
      <c r="O564" s="36">
        <f>I560+I561+I562</f>
        <v>126899.70999999999</v>
      </c>
      <c r="P564" s="36">
        <f>K560+K561+K562</f>
        <v>2026127.3900000001</v>
      </c>
      <c r="X564">
        <f>IF(Source!BI374&lt;=1,I560+I561+I562-0, 0)</f>
        <v>0</v>
      </c>
      <c r="Y564">
        <f>IF(Source!BI374=2,I560+I561+I562-0, 0)</f>
        <v>0</v>
      </c>
      <c r="Z564">
        <f>IF(Source!BI374=3,I560+I561+I562-0, 0)</f>
        <v>0</v>
      </c>
      <c r="AA564">
        <f>IF(Source!BI374=4,I560+I561+I562,0)</f>
        <v>126899.70999999999</v>
      </c>
    </row>
    <row r="565" spans="1:27" ht="99.75" x14ac:dyDescent="0.2">
      <c r="A565" s="27" t="str">
        <f>Source!E375</f>
        <v>65</v>
      </c>
      <c r="B565" s="28" t="str">
        <f>Source!F375</f>
        <v>5.1-162-1</v>
      </c>
      <c r="C565" s="28" t="str">
        <f>Source!G375</f>
        <v>Измерение сопротивления изоляции мегаомметром кабельных и других линий напряжением до 1 кВ, предназначенных для передачи электроэнергии к распределительным устройствам, щитам, шкафам и коммутационным аппаратам</v>
      </c>
      <c r="D565" s="30" t="str">
        <f>Source!H375</f>
        <v>измерение</v>
      </c>
      <c r="E565" s="29">
        <f>Source!I375</f>
        <v>4</v>
      </c>
      <c r="F565" s="32"/>
      <c r="G565" s="31"/>
      <c r="H565" s="29"/>
      <c r="I565" s="33"/>
      <c r="J565" s="29"/>
      <c r="K565" s="33"/>
      <c r="Q565">
        <f>ROUND((Source!DN375/100)*ROUND((Source!AF375*Source!AV375)*Source!I375, 2), 2)</f>
        <v>13.68</v>
      </c>
      <c r="R565">
        <f>Source!X375</f>
        <v>237.84</v>
      </c>
      <c r="S565">
        <f>ROUND((Source!DO375/100)*ROUND((Source!AF375*Source!AV375)*Source!I375, 2), 2)</f>
        <v>12.77</v>
      </c>
      <c r="T565">
        <f>Source!Y375</f>
        <v>145.35</v>
      </c>
      <c r="U565">
        <f>ROUND((175/100)*ROUND((Source!AE375*Source!AV375)*Source!I375, 2), 2)</f>
        <v>0</v>
      </c>
      <c r="V565">
        <f>ROUND((167/100)*ROUND(Source!CS375*Source!I375, 2), 2)</f>
        <v>0</v>
      </c>
    </row>
    <row r="566" spans="1:27" ht="14.25" x14ac:dyDescent="0.2">
      <c r="A566" s="27"/>
      <c r="B566" s="28"/>
      <c r="C566" s="28" t="s">
        <v>492</v>
      </c>
      <c r="D566" s="30"/>
      <c r="E566" s="29"/>
      <c r="F566" s="32">
        <f>Source!AO375</f>
        <v>5.7</v>
      </c>
      <c r="G566" s="31" t="str">
        <f>Source!DG375</f>
        <v>)*0,8</v>
      </c>
      <c r="H566" s="29">
        <f>Source!AV375</f>
        <v>1</v>
      </c>
      <c r="I566" s="33">
        <f>ROUND((Source!AF375*Source!AV375)*Source!I375, 2)</f>
        <v>18.239999999999998</v>
      </c>
      <c r="J566" s="29">
        <f>IF(Source!BA375&lt;&gt; 0, Source!BA375, 1)</f>
        <v>18.11</v>
      </c>
      <c r="K566" s="33">
        <f>Source!S375</f>
        <v>330.33</v>
      </c>
      <c r="W566">
        <f>I566</f>
        <v>18.239999999999998</v>
      </c>
    </row>
    <row r="567" spans="1:27" ht="14.25" x14ac:dyDescent="0.2">
      <c r="A567" s="27"/>
      <c r="B567" s="28"/>
      <c r="C567" s="28" t="s">
        <v>495</v>
      </c>
      <c r="D567" s="30" t="s">
        <v>496</v>
      </c>
      <c r="E567" s="29">
        <f>Source!DN375</f>
        <v>75</v>
      </c>
      <c r="F567" s="32"/>
      <c r="G567" s="31"/>
      <c r="H567" s="29"/>
      <c r="I567" s="33">
        <f>SUM(Q565:Q566)</f>
        <v>13.68</v>
      </c>
      <c r="J567" s="29">
        <f>Source!BZ375</f>
        <v>72</v>
      </c>
      <c r="K567" s="33">
        <f>SUM(R565:R566)</f>
        <v>237.84</v>
      </c>
    </row>
    <row r="568" spans="1:27" ht="14.25" x14ac:dyDescent="0.2">
      <c r="A568" s="27"/>
      <c r="B568" s="28"/>
      <c r="C568" s="28" t="s">
        <v>497</v>
      </c>
      <c r="D568" s="30" t="s">
        <v>496</v>
      </c>
      <c r="E568" s="29">
        <f>Source!DO375</f>
        <v>70</v>
      </c>
      <c r="F568" s="32"/>
      <c r="G568" s="31"/>
      <c r="H568" s="29"/>
      <c r="I568" s="33">
        <f>SUM(S565:S567)</f>
        <v>12.77</v>
      </c>
      <c r="J568" s="29">
        <f>Source!CA375</f>
        <v>44</v>
      </c>
      <c r="K568" s="33">
        <f>SUM(T565:T567)</f>
        <v>145.35</v>
      </c>
    </row>
    <row r="569" spans="1:27" ht="14.25" x14ac:dyDescent="0.2">
      <c r="A569" s="27"/>
      <c r="B569" s="28"/>
      <c r="C569" s="28" t="s">
        <v>499</v>
      </c>
      <c r="D569" s="30" t="s">
        <v>500</v>
      </c>
      <c r="E569" s="29">
        <f>Source!AQ375</f>
        <v>0.36</v>
      </c>
      <c r="F569" s="32"/>
      <c r="G569" s="31" t="str">
        <f>Source!DI375</f>
        <v>)*0,8</v>
      </c>
      <c r="H569" s="29">
        <f>Source!AV375</f>
        <v>1</v>
      </c>
      <c r="I569" s="33">
        <f>Source!U375</f>
        <v>1.1519999999999999</v>
      </c>
      <c r="J569" s="29"/>
      <c r="K569" s="33"/>
    </row>
    <row r="570" spans="1:27" ht="15" x14ac:dyDescent="0.25">
      <c r="A570" s="38"/>
      <c r="B570" s="38"/>
      <c r="C570" s="38"/>
      <c r="D570" s="38"/>
      <c r="E570" s="38"/>
      <c r="F570" s="38"/>
      <c r="G570" s="38"/>
      <c r="H570" s="39">
        <f>I566+I567+I568</f>
        <v>44.69</v>
      </c>
      <c r="I570" s="39"/>
      <c r="J570" s="39">
        <f>K566+K567+K568</f>
        <v>713.52</v>
      </c>
      <c r="K570" s="39"/>
      <c r="O570" s="36">
        <f>I566+I567+I568</f>
        <v>44.69</v>
      </c>
      <c r="P570" s="36">
        <f>K566+K567+K568</f>
        <v>713.52</v>
      </c>
      <c r="X570">
        <f>IF(Source!BI375&lt;=1,I566+I567+I568-0, 0)</f>
        <v>0</v>
      </c>
      <c r="Y570">
        <f>IF(Source!BI375=2,I566+I567+I568-0, 0)</f>
        <v>0</v>
      </c>
      <c r="Z570">
        <f>IF(Source!BI375=3,I566+I567+I568-0, 0)</f>
        <v>0</v>
      </c>
      <c r="AA570">
        <f>IF(Source!BI375=4,I566+I567+I568,0)</f>
        <v>44.69</v>
      </c>
    </row>
    <row r="571" spans="1:27" ht="57" x14ac:dyDescent="0.2">
      <c r="A571" s="27" t="str">
        <f>Source!E376</f>
        <v>66</v>
      </c>
      <c r="B571" s="28" t="str">
        <f>Source!F376</f>
        <v>5.10-38-1</v>
      </c>
      <c r="C571" s="28" t="str">
        <f>Source!G376</f>
        <v>Совместная комплексная наладка технических средств (шкафа АСУЭ) со средствами вычислительной техники по проводной связи</v>
      </c>
      <c r="D571" s="30" t="str">
        <f>Source!H376</f>
        <v>1 ШКАФ</v>
      </c>
      <c r="E571" s="29">
        <f>Source!I376</f>
        <v>4</v>
      </c>
      <c r="F571" s="32"/>
      <c r="G571" s="31"/>
      <c r="H571" s="29"/>
      <c r="I571" s="33"/>
      <c r="J571" s="29"/>
      <c r="K571" s="33"/>
      <c r="Q571">
        <f>ROUND((Source!DN376/100)*ROUND((Source!AF376*Source!AV376)*Source!I376, 2), 2)</f>
        <v>13574.4</v>
      </c>
      <c r="R571">
        <f>Source!X376</f>
        <v>235999.09</v>
      </c>
      <c r="S571">
        <f>ROUND((Source!DO376/100)*ROUND((Source!AF376*Source!AV376)*Source!I376, 2), 2)</f>
        <v>12669.44</v>
      </c>
      <c r="T571">
        <f>Source!Y376</f>
        <v>144221.66</v>
      </c>
      <c r="U571">
        <f>ROUND((175/100)*ROUND((Source!AE376*Source!AV376)*Source!I376, 2), 2)</f>
        <v>0</v>
      </c>
      <c r="V571">
        <f>ROUND((167/100)*ROUND(Source!CS376*Source!I376, 2), 2)</f>
        <v>0</v>
      </c>
    </row>
    <row r="572" spans="1:27" ht="14.25" x14ac:dyDescent="0.2">
      <c r="A572" s="27"/>
      <c r="B572" s="28"/>
      <c r="C572" s="28" t="s">
        <v>492</v>
      </c>
      <c r="D572" s="30"/>
      <c r="E572" s="29"/>
      <c r="F572" s="32">
        <f>Source!AO376</f>
        <v>5656</v>
      </c>
      <c r="G572" s="31" t="str">
        <f>Source!DG376</f>
        <v>)*0,8</v>
      </c>
      <c r="H572" s="29">
        <f>Source!AV376</f>
        <v>1</v>
      </c>
      <c r="I572" s="33">
        <f>ROUND((Source!AF376*Source!AV376)*Source!I376, 2)</f>
        <v>18099.2</v>
      </c>
      <c r="J572" s="29">
        <f>IF(Source!BA376&lt;&gt; 0, Source!BA376, 1)</f>
        <v>18.11</v>
      </c>
      <c r="K572" s="33">
        <f>Source!S376</f>
        <v>327776.51</v>
      </c>
      <c r="W572">
        <f>I572</f>
        <v>18099.2</v>
      </c>
    </row>
    <row r="573" spans="1:27" ht="14.25" x14ac:dyDescent="0.2">
      <c r="A573" s="27"/>
      <c r="B573" s="28"/>
      <c r="C573" s="28" t="s">
        <v>495</v>
      </c>
      <c r="D573" s="30" t="s">
        <v>496</v>
      </c>
      <c r="E573" s="29">
        <f>Source!DN376</f>
        <v>75</v>
      </c>
      <c r="F573" s="32"/>
      <c r="G573" s="31"/>
      <c r="H573" s="29"/>
      <c r="I573" s="33">
        <f>SUM(Q571:Q572)</f>
        <v>13574.4</v>
      </c>
      <c r="J573" s="29">
        <f>Source!BZ376</f>
        <v>72</v>
      </c>
      <c r="K573" s="33">
        <f>SUM(R571:R572)</f>
        <v>235999.09</v>
      </c>
    </row>
    <row r="574" spans="1:27" ht="14.25" x14ac:dyDescent="0.2">
      <c r="A574" s="27"/>
      <c r="B574" s="28"/>
      <c r="C574" s="28" t="s">
        <v>497</v>
      </c>
      <c r="D574" s="30" t="s">
        <v>496</v>
      </c>
      <c r="E574" s="29">
        <f>Source!DO376</f>
        <v>70</v>
      </c>
      <c r="F574" s="32"/>
      <c r="G574" s="31"/>
      <c r="H574" s="29"/>
      <c r="I574" s="33">
        <f>SUM(S571:S573)</f>
        <v>12669.44</v>
      </c>
      <c r="J574" s="29">
        <f>Source!CA376</f>
        <v>44</v>
      </c>
      <c r="K574" s="33">
        <f>SUM(T571:T573)</f>
        <v>144221.66</v>
      </c>
    </row>
    <row r="575" spans="1:27" ht="14.25" x14ac:dyDescent="0.2">
      <c r="A575" s="27"/>
      <c r="B575" s="28"/>
      <c r="C575" s="28" t="s">
        <v>499</v>
      </c>
      <c r="D575" s="30" t="s">
        <v>500</v>
      </c>
      <c r="E575" s="29">
        <f>Source!AQ376</f>
        <v>355</v>
      </c>
      <c r="F575" s="32"/>
      <c r="G575" s="31" t="str">
        <f>Source!DI376</f>
        <v>)*0,8</v>
      </c>
      <c r="H575" s="29">
        <f>Source!AV376</f>
        <v>1</v>
      </c>
      <c r="I575" s="33">
        <f>Source!U376</f>
        <v>1136</v>
      </c>
      <c r="J575" s="29"/>
      <c r="K575" s="33"/>
    </row>
    <row r="576" spans="1:27" ht="15" x14ac:dyDescent="0.25">
      <c r="A576" s="38"/>
      <c r="B576" s="38"/>
      <c r="C576" s="38"/>
      <c r="D576" s="38"/>
      <c r="E576" s="38"/>
      <c r="F576" s="38"/>
      <c r="G576" s="38"/>
      <c r="H576" s="39">
        <f>I572+I573+I574</f>
        <v>44343.040000000001</v>
      </c>
      <c r="I576" s="39"/>
      <c r="J576" s="39">
        <f>K572+K573+K574</f>
        <v>707997.26</v>
      </c>
      <c r="K576" s="39"/>
      <c r="O576" s="36">
        <f>I572+I573+I574</f>
        <v>44343.040000000001</v>
      </c>
      <c r="P576" s="36">
        <f>K572+K573+K574</f>
        <v>707997.26</v>
      </c>
      <c r="X576">
        <f>IF(Source!BI376&lt;=1,I572+I573+I574-0, 0)</f>
        <v>0</v>
      </c>
      <c r="Y576">
        <f>IF(Source!BI376=2,I572+I573+I574-0, 0)</f>
        <v>0</v>
      </c>
      <c r="Z576">
        <f>IF(Source!BI376=3,I572+I573+I574-0, 0)</f>
        <v>0</v>
      </c>
      <c r="AA576">
        <f>IF(Source!BI376=4,I572+I573+I574,0)</f>
        <v>44343.040000000001</v>
      </c>
    </row>
    <row r="577" spans="1:27" ht="28.5" x14ac:dyDescent="0.2">
      <c r="A577" s="27" t="str">
        <f>Source!E377</f>
        <v>67</v>
      </c>
      <c r="B577" s="28" t="str">
        <f>Source!F377</f>
        <v>5.1-151-1</v>
      </c>
      <c r="C577" s="28" t="str">
        <f>Source!G377</f>
        <v>Измерение сопротивления растеканию тока заземлителя</v>
      </c>
      <c r="D577" s="30" t="str">
        <f>Source!H377</f>
        <v>измерение</v>
      </c>
      <c r="E577" s="29">
        <f>Source!I377</f>
        <v>4</v>
      </c>
      <c r="F577" s="32"/>
      <c r="G577" s="31"/>
      <c r="H577" s="29"/>
      <c r="I577" s="33"/>
      <c r="J577" s="29"/>
      <c r="K577" s="33"/>
      <c r="Q577">
        <f>ROUND((Source!DN377/100)*ROUND((Source!AF377*Source!AV377)*Source!I377, 2), 2)</f>
        <v>38</v>
      </c>
      <c r="R577">
        <f>Source!X377</f>
        <v>660.51</v>
      </c>
      <c r="S577">
        <f>ROUND((Source!DO377/100)*ROUND((Source!AF377*Source!AV377)*Source!I377, 2), 2)</f>
        <v>35.46</v>
      </c>
      <c r="T577">
        <f>Source!Y377</f>
        <v>403.65</v>
      </c>
      <c r="U577">
        <f>ROUND((175/100)*ROUND((Source!AE377*Source!AV377)*Source!I377, 2), 2)</f>
        <v>0</v>
      </c>
      <c r="V577">
        <f>ROUND((167/100)*ROUND(Source!CS377*Source!I377, 2), 2)</f>
        <v>0</v>
      </c>
    </row>
    <row r="578" spans="1:27" ht="14.25" x14ac:dyDescent="0.2">
      <c r="A578" s="27"/>
      <c r="B578" s="28"/>
      <c r="C578" s="28" t="s">
        <v>492</v>
      </c>
      <c r="D578" s="30"/>
      <c r="E578" s="29"/>
      <c r="F578" s="32">
        <f>Source!AO377</f>
        <v>15.83</v>
      </c>
      <c r="G578" s="31" t="str">
        <f>Source!DG377</f>
        <v>)*0,8</v>
      </c>
      <c r="H578" s="29">
        <f>Source!AV377</f>
        <v>1</v>
      </c>
      <c r="I578" s="33">
        <f>ROUND((Source!AF377*Source!AV377)*Source!I377, 2)</f>
        <v>50.66</v>
      </c>
      <c r="J578" s="29">
        <f>IF(Source!BA377&lt;&gt; 0, Source!BA377, 1)</f>
        <v>18.11</v>
      </c>
      <c r="K578" s="33">
        <f>Source!S377</f>
        <v>917.38</v>
      </c>
      <c r="W578">
        <f>I578</f>
        <v>50.66</v>
      </c>
    </row>
    <row r="579" spans="1:27" ht="14.25" x14ac:dyDescent="0.2">
      <c r="A579" s="27"/>
      <c r="B579" s="28"/>
      <c r="C579" s="28" t="s">
        <v>495</v>
      </c>
      <c r="D579" s="30" t="s">
        <v>496</v>
      </c>
      <c r="E579" s="29">
        <f>Source!DN377</f>
        <v>75</v>
      </c>
      <c r="F579" s="32"/>
      <c r="G579" s="31"/>
      <c r="H579" s="29"/>
      <c r="I579" s="33">
        <f>SUM(Q577:Q578)</f>
        <v>38</v>
      </c>
      <c r="J579" s="29">
        <f>Source!BZ377</f>
        <v>72</v>
      </c>
      <c r="K579" s="33">
        <f>SUM(R577:R578)</f>
        <v>660.51</v>
      </c>
    </row>
    <row r="580" spans="1:27" ht="14.25" x14ac:dyDescent="0.2">
      <c r="A580" s="27"/>
      <c r="B580" s="28"/>
      <c r="C580" s="28" t="s">
        <v>497</v>
      </c>
      <c r="D580" s="30" t="s">
        <v>496</v>
      </c>
      <c r="E580" s="29">
        <f>Source!DO377</f>
        <v>70</v>
      </c>
      <c r="F580" s="32"/>
      <c r="G580" s="31"/>
      <c r="H580" s="29"/>
      <c r="I580" s="33">
        <f>SUM(S577:S579)</f>
        <v>35.46</v>
      </c>
      <c r="J580" s="29">
        <f>Source!CA377</f>
        <v>44</v>
      </c>
      <c r="K580" s="33">
        <f>SUM(T577:T579)</f>
        <v>403.65</v>
      </c>
    </row>
    <row r="581" spans="1:27" ht="14.25" x14ac:dyDescent="0.2">
      <c r="A581" s="27"/>
      <c r="B581" s="28"/>
      <c r="C581" s="28" t="s">
        <v>499</v>
      </c>
      <c r="D581" s="30" t="s">
        <v>500</v>
      </c>
      <c r="E581" s="29">
        <f>Source!AQ377</f>
        <v>1</v>
      </c>
      <c r="F581" s="32"/>
      <c r="G581" s="31" t="str">
        <f>Source!DI377</f>
        <v>)*0,8</v>
      </c>
      <c r="H581" s="29">
        <f>Source!AV377</f>
        <v>1</v>
      </c>
      <c r="I581" s="33">
        <f>Source!U377</f>
        <v>3.2</v>
      </c>
      <c r="J581" s="29"/>
      <c r="K581" s="33"/>
    </row>
    <row r="582" spans="1:27" ht="15" x14ac:dyDescent="0.25">
      <c r="A582" s="38"/>
      <c r="B582" s="38"/>
      <c r="C582" s="38"/>
      <c r="D582" s="38"/>
      <c r="E582" s="38"/>
      <c r="F582" s="38"/>
      <c r="G582" s="38"/>
      <c r="H582" s="39">
        <f>I578+I579+I580</f>
        <v>124.12</v>
      </c>
      <c r="I582" s="39"/>
      <c r="J582" s="39">
        <f>K578+K579+K580</f>
        <v>1981.54</v>
      </c>
      <c r="K582" s="39"/>
      <c r="O582" s="36">
        <f>I578+I579+I580</f>
        <v>124.12</v>
      </c>
      <c r="P582" s="36">
        <f>K578+K579+K580</f>
        <v>1981.54</v>
      </c>
      <c r="X582">
        <f>IF(Source!BI377&lt;=1,I578+I579+I580-0, 0)</f>
        <v>0</v>
      </c>
      <c r="Y582">
        <f>IF(Source!BI377=2,I578+I579+I580-0, 0)</f>
        <v>0</v>
      </c>
      <c r="Z582">
        <f>IF(Source!BI377=3,I578+I579+I580-0, 0)</f>
        <v>0</v>
      </c>
      <c r="AA582">
        <f>IF(Source!BI377=4,I578+I579+I580,0)</f>
        <v>124.12</v>
      </c>
    </row>
    <row r="583" spans="1:27" ht="42.75" x14ac:dyDescent="0.2">
      <c r="A583" s="27" t="str">
        <f>Source!E378</f>
        <v>68</v>
      </c>
      <c r="B583" s="28" t="str">
        <f>Source!F378</f>
        <v>5.1-152-1</v>
      </c>
      <c r="C583" s="28" t="str">
        <f>Source!G378</f>
        <v>Проверка наличия цепи между заземлителями и заземленными элементами</v>
      </c>
      <c r="D583" s="30" t="str">
        <f>Source!H378</f>
        <v>1 ТОЧКА</v>
      </c>
      <c r="E583" s="29">
        <f>Source!I378</f>
        <v>4</v>
      </c>
      <c r="F583" s="32"/>
      <c r="G583" s="31"/>
      <c r="H583" s="29"/>
      <c r="I583" s="33"/>
      <c r="J583" s="29"/>
      <c r="K583" s="33"/>
      <c r="Q583">
        <f>ROUND((Source!DN378/100)*ROUND((Source!AF378*Source!AV378)*Source!I378, 2), 2)</f>
        <v>5.69</v>
      </c>
      <c r="R583">
        <f>Source!X378</f>
        <v>98.89</v>
      </c>
      <c r="S583">
        <f>ROUND((Source!DO378/100)*ROUND((Source!AF378*Source!AV378)*Source!I378, 2), 2)</f>
        <v>5.31</v>
      </c>
      <c r="T583">
        <f>Source!Y378</f>
        <v>60.43</v>
      </c>
      <c r="U583">
        <f>ROUND((175/100)*ROUND((Source!AE378*Source!AV378)*Source!I378, 2), 2)</f>
        <v>0</v>
      </c>
      <c r="V583">
        <f>ROUND((167/100)*ROUND(Source!CS378*Source!I378, 2), 2)</f>
        <v>0</v>
      </c>
    </row>
    <row r="584" spans="1:27" ht="14.25" x14ac:dyDescent="0.2">
      <c r="A584" s="27"/>
      <c r="B584" s="28"/>
      <c r="C584" s="28" t="s">
        <v>492</v>
      </c>
      <c r="D584" s="30"/>
      <c r="E584" s="29"/>
      <c r="F584" s="32">
        <f>Source!AO378</f>
        <v>2.37</v>
      </c>
      <c r="G584" s="31" t="str">
        <f>Source!DG378</f>
        <v>)*0,8</v>
      </c>
      <c r="H584" s="29">
        <f>Source!AV378</f>
        <v>1</v>
      </c>
      <c r="I584" s="33">
        <f>ROUND((Source!AF378*Source!AV378)*Source!I378, 2)</f>
        <v>7.58</v>
      </c>
      <c r="J584" s="29">
        <f>IF(Source!BA378&lt;&gt; 0, Source!BA378, 1)</f>
        <v>18.11</v>
      </c>
      <c r="K584" s="33">
        <f>Source!S378</f>
        <v>137.35</v>
      </c>
      <c r="W584">
        <f>I584</f>
        <v>7.58</v>
      </c>
    </row>
    <row r="585" spans="1:27" ht="14.25" x14ac:dyDescent="0.2">
      <c r="A585" s="27"/>
      <c r="B585" s="28"/>
      <c r="C585" s="28" t="s">
        <v>495</v>
      </c>
      <c r="D585" s="30" t="s">
        <v>496</v>
      </c>
      <c r="E585" s="29">
        <f>Source!DN378</f>
        <v>75</v>
      </c>
      <c r="F585" s="32"/>
      <c r="G585" s="31"/>
      <c r="H585" s="29"/>
      <c r="I585" s="33">
        <f>SUM(Q583:Q584)</f>
        <v>5.69</v>
      </c>
      <c r="J585" s="29">
        <f>Source!BZ378</f>
        <v>72</v>
      </c>
      <c r="K585" s="33">
        <f>SUM(R583:R584)</f>
        <v>98.89</v>
      </c>
    </row>
    <row r="586" spans="1:27" ht="14.25" x14ac:dyDescent="0.2">
      <c r="A586" s="27"/>
      <c r="B586" s="28"/>
      <c r="C586" s="28" t="s">
        <v>497</v>
      </c>
      <c r="D586" s="30" t="s">
        <v>496</v>
      </c>
      <c r="E586" s="29">
        <f>Source!DO378</f>
        <v>70</v>
      </c>
      <c r="F586" s="32"/>
      <c r="G586" s="31"/>
      <c r="H586" s="29"/>
      <c r="I586" s="33">
        <f>SUM(S583:S585)</f>
        <v>5.31</v>
      </c>
      <c r="J586" s="29">
        <f>Source!CA378</f>
        <v>44</v>
      </c>
      <c r="K586" s="33">
        <f>SUM(T583:T585)</f>
        <v>60.43</v>
      </c>
    </row>
    <row r="587" spans="1:27" ht="14.25" x14ac:dyDescent="0.2">
      <c r="A587" s="27"/>
      <c r="B587" s="28"/>
      <c r="C587" s="28" t="s">
        <v>499</v>
      </c>
      <c r="D587" s="30" t="s">
        <v>500</v>
      </c>
      <c r="E587" s="29">
        <f>Source!AQ378</f>
        <v>0.15</v>
      </c>
      <c r="F587" s="32"/>
      <c r="G587" s="31" t="str">
        <f>Source!DI378</f>
        <v>)*0,8</v>
      </c>
      <c r="H587" s="29">
        <f>Source!AV378</f>
        <v>1</v>
      </c>
      <c r="I587" s="33">
        <f>Source!U378</f>
        <v>0.48</v>
      </c>
      <c r="J587" s="29"/>
      <c r="K587" s="33"/>
    </row>
    <row r="588" spans="1:27" ht="15" x14ac:dyDescent="0.25">
      <c r="A588" s="38"/>
      <c r="B588" s="38"/>
      <c r="C588" s="38"/>
      <c r="D588" s="38"/>
      <c r="E588" s="38"/>
      <c r="F588" s="38"/>
      <c r="G588" s="38"/>
      <c r="H588" s="39">
        <f>I584+I585+I586</f>
        <v>18.579999999999998</v>
      </c>
      <c r="I588" s="39"/>
      <c r="J588" s="39">
        <f>K584+K585+K586</f>
        <v>296.67</v>
      </c>
      <c r="K588" s="39"/>
      <c r="O588" s="36">
        <f>I584+I585+I586</f>
        <v>18.579999999999998</v>
      </c>
      <c r="P588" s="36">
        <f>K584+K585+K586</f>
        <v>296.67</v>
      </c>
      <c r="X588">
        <f>IF(Source!BI378&lt;=1,I584+I585+I586-0, 0)</f>
        <v>0</v>
      </c>
      <c r="Y588">
        <f>IF(Source!BI378=2,I584+I585+I586-0, 0)</f>
        <v>0</v>
      </c>
      <c r="Z588">
        <f>IF(Source!BI378=3,I584+I585+I586-0, 0)</f>
        <v>0</v>
      </c>
      <c r="AA588">
        <f>IF(Source!BI378=4,I584+I585+I586,0)</f>
        <v>18.579999999999998</v>
      </c>
    </row>
    <row r="589" spans="1:27" ht="28.5" x14ac:dyDescent="0.2">
      <c r="A589" s="27" t="str">
        <f>Source!E379</f>
        <v>69</v>
      </c>
      <c r="B589" s="28" t="str">
        <f>Source!F379</f>
        <v>5.1-154-1</v>
      </c>
      <c r="C589" s="28" t="str">
        <f>Source!G379</f>
        <v>Замер полного сопротивления цепи "фаза-нуль"</v>
      </c>
      <c r="D589" s="30" t="str">
        <f>Source!H379</f>
        <v>токоприемник</v>
      </c>
      <c r="E589" s="29">
        <f>Source!I379</f>
        <v>4</v>
      </c>
      <c r="F589" s="32"/>
      <c r="G589" s="31"/>
      <c r="H589" s="29"/>
      <c r="I589" s="33"/>
      <c r="J589" s="29"/>
      <c r="K589" s="33"/>
      <c r="Q589">
        <f>ROUND((Source!DN379/100)*ROUND((Source!AF379*Source!AV379)*Source!I379, 2), 2)</f>
        <v>38</v>
      </c>
      <c r="R589">
        <f>Source!X379</f>
        <v>660.51</v>
      </c>
      <c r="S589">
        <f>ROUND((Source!DO379/100)*ROUND((Source!AF379*Source!AV379)*Source!I379, 2), 2)</f>
        <v>35.46</v>
      </c>
      <c r="T589">
        <f>Source!Y379</f>
        <v>403.65</v>
      </c>
      <c r="U589">
        <f>ROUND((175/100)*ROUND((Source!AE379*Source!AV379)*Source!I379, 2), 2)</f>
        <v>0</v>
      </c>
      <c r="V589">
        <f>ROUND((167/100)*ROUND(Source!CS379*Source!I379, 2), 2)</f>
        <v>0</v>
      </c>
    </row>
    <row r="590" spans="1:27" ht="14.25" x14ac:dyDescent="0.2">
      <c r="A590" s="27"/>
      <c r="B590" s="28"/>
      <c r="C590" s="28" t="s">
        <v>492</v>
      </c>
      <c r="D590" s="30"/>
      <c r="E590" s="29"/>
      <c r="F590" s="32">
        <f>Source!AO379</f>
        <v>15.83</v>
      </c>
      <c r="G590" s="31" t="str">
        <f>Source!DG379</f>
        <v>)*0,8</v>
      </c>
      <c r="H590" s="29">
        <f>Source!AV379</f>
        <v>1</v>
      </c>
      <c r="I590" s="33">
        <f>ROUND((Source!AF379*Source!AV379)*Source!I379, 2)</f>
        <v>50.66</v>
      </c>
      <c r="J590" s="29">
        <f>IF(Source!BA379&lt;&gt; 0, Source!BA379, 1)</f>
        <v>18.11</v>
      </c>
      <c r="K590" s="33">
        <f>Source!S379</f>
        <v>917.38</v>
      </c>
      <c r="W590">
        <f>I590</f>
        <v>50.66</v>
      </c>
    </row>
    <row r="591" spans="1:27" ht="14.25" x14ac:dyDescent="0.2">
      <c r="A591" s="27"/>
      <c r="B591" s="28"/>
      <c r="C591" s="28" t="s">
        <v>495</v>
      </c>
      <c r="D591" s="30" t="s">
        <v>496</v>
      </c>
      <c r="E591" s="29">
        <f>Source!DN379</f>
        <v>75</v>
      </c>
      <c r="F591" s="32"/>
      <c r="G591" s="31"/>
      <c r="H591" s="29"/>
      <c r="I591" s="33">
        <f>SUM(Q589:Q590)</f>
        <v>38</v>
      </c>
      <c r="J591" s="29">
        <f>Source!BZ379</f>
        <v>72</v>
      </c>
      <c r="K591" s="33">
        <f>SUM(R589:R590)</f>
        <v>660.51</v>
      </c>
    </row>
    <row r="592" spans="1:27" ht="14.25" x14ac:dyDescent="0.2">
      <c r="A592" s="27"/>
      <c r="B592" s="28"/>
      <c r="C592" s="28" t="s">
        <v>497</v>
      </c>
      <c r="D592" s="30" t="s">
        <v>496</v>
      </c>
      <c r="E592" s="29">
        <f>Source!DO379</f>
        <v>70</v>
      </c>
      <c r="F592" s="32"/>
      <c r="G592" s="31"/>
      <c r="H592" s="29"/>
      <c r="I592" s="33">
        <f>SUM(S589:S591)</f>
        <v>35.46</v>
      </c>
      <c r="J592" s="29">
        <f>Source!CA379</f>
        <v>44</v>
      </c>
      <c r="K592" s="33">
        <f>SUM(T589:T591)</f>
        <v>403.65</v>
      </c>
    </row>
    <row r="593" spans="1:27" ht="14.25" x14ac:dyDescent="0.2">
      <c r="A593" s="27"/>
      <c r="B593" s="28"/>
      <c r="C593" s="28" t="s">
        <v>499</v>
      </c>
      <c r="D593" s="30" t="s">
        <v>500</v>
      </c>
      <c r="E593" s="29">
        <f>Source!AQ379</f>
        <v>1</v>
      </c>
      <c r="F593" s="32"/>
      <c r="G593" s="31" t="str">
        <f>Source!DI379</f>
        <v>)*0,8</v>
      </c>
      <c r="H593" s="29">
        <f>Source!AV379</f>
        <v>1</v>
      </c>
      <c r="I593" s="33">
        <f>Source!U379</f>
        <v>3.2</v>
      </c>
      <c r="J593" s="29"/>
      <c r="K593" s="33"/>
    </row>
    <row r="594" spans="1:27" ht="15" x14ac:dyDescent="0.25">
      <c r="A594" s="38"/>
      <c r="B594" s="38"/>
      <c r="C594" s="38"/>
      <c r="D594" s="38"/>
      <c r="E594" s="38"/>
      <c r="F594" s="38"/>
      <c r="G594" s="38"/>
      <c r="H594" s="39">
        <f>I590+I591+I592</f>
        <v>124.12</v>
      </c>
      <c r="I594" s="39"/>
      <c r="J594" s="39">
        <f>K590+K591+K592</f>
        <v>1981.54</v>
      </c>
      <c r="K594" s="39"/>
      <c r="O594" s="36">
        <f>I590+I591+I592</f>
        <v>124.12</v>
      </c>
      <c r="P594" s="36">
        <f>K590+K591+K592</f>
        <v>1981.54</v>
      </c>
      <c r="X594">
        <f>IF(Source!BI379&lt;=1,I590+I591+I592-0, 0)</f>
        <v>0</v>
      </c>
      <c r="Y594">
        <f>IF(Source!BI379=2,I590+I591+I592-0, 0)</f>
        <v>0</v>
      </c>
      <c r="Z594">
        <f>IF(Source!BI379=3,I590+I591+I592-0, 0)</f>
        <v>0</v>
      </c>
      <c r="AA594">
        <f>IF(Source!BI379=4,I590+I591+I592,0)</f>
        <v>124.12</v>
      </c>
    </row>
    <row r="595" spans="1:27" ht="71.25" x14ac:dyDescent="0.2">
      <c r="A595" s="27" t="str">
        <f>Source!E380</f>
        <v>70</v>
      </c>
      <c r="B595" s="28" t="str">
        <f>Source!F380</f>
        <v>5.10-35-1</v>
      </c>
      <c r="C595" s="28" t="str">
        <f>Source!G380</f>
        <v>Кабельные линии высокого или низкого напряжения</v>
      </c>
      <c r="D595" s="30" t="str">
        <f>Source!H380</f>
        <v>1 линия кабеля (3 испытания 1-го образца)</v>
      </c>
      <c r="E595" s="29">
        <f>Source!I380</f>
        <v>29</v>
      </c>
      <c r="F595" s="32"/>
      <c r="G595" s="31"/>
      <c r="H595" s="29"/>
      <c r="I595" s="33"/>
      <c r="J595" s="29"/>
      <c r="K595" s="33"/>
      <c r="Q595">
        <f>ROUND((Source!DN380/100)*ROUND((Source!AF380*Source!AV380)*Source!I380, 2), 2)</f>
        <v>18019.61</v>
      </c>
      <c r="R595">
        <f>Source!X380</f>
        <v>313281.8</v>
      </c>
      <c r="S595">
        <f>ROUND((Source!DO380/100)*ROUND((Source!AF380*Source!AV380)*Source!I380, 2), 2)</f>
        <v>16818.310000000001</v>
      </c>
      <c r="T595">
        <f>Source!Y380</f>
        <v>191449.99</v>
      </c>
      <c r="U595">
        <f>ROUND((175/100)*ROUND((Source!AE380*Source!AV380)*Source!I380, 2), 2)</f>
        <v>0</v>
      </c>
      <c r="V595">
        <f>ROUND((167/100)*ROUND(Source!CS380*Source!I380, 2), 2)</f>
        <v>0</v>
      </c>
    </row>
    <row r="596" spans="1:27" ht="14.25" x14ac:dyDescent="0.2">
      <c r="A596" s="27"/>
      <c r="B596" s="28"/>
      <c r="C596" s="28" t="s">
        <v>492</v>
      </c>
      <c r="D596" s="30"/>
      <c r="E596" s="29"/>
      <c r="F596" s="32">
        <f>Source!AO380</f>
        <v>1035.6099999999999</v>
      </c>
      <c r="G596" s="31" t="str">
        <f>Source!DG380</f>
        <v>)*0,8</v>
      </c>
      <c r="H596" s="29">
        <f>Source!AV380</f>
        <v>1</v>
      </c>
      <c r="I596" s="33">
        <f>ROUND((Source!AF380*Source!AV380)*Source!I380, 2)</f>
        <v>24026.15</v>
      </c>
      <c r="J596" s="29">
        <f>IF(Source!BA380&lt;&gt; 0, Source!BA380, 1)</f>
        <v>18.11</v>
      </c>
      <c r="K596" s="33">
        <f>Source!S380</f>
        <v>435113.61</v>
      </c>
      <c r="W596">
        <f>I596</f>
        <v>24026.15</v>
      </c>
    </row>
    <row r="597" spans="1:27" ht="14.25" x14ac:dyDescent="0.2">
      <c r="A597" s="27"/>
      <c r="B597" s="28"/>
      <c r="C597" s="28" t="s">
        <v>495</v>
      </c>
      <c r="D597" s="30" t="s">
        <v>496</v>
      </c>
      <c r="E597" s="29">
        <f>Source!DN380</f>
        <v>75</v>
      </c>
      <c r="F597" s="32"/>
      <c r="G597" s="31"/>
      <c r="H597" s="29"/>
      <c r="I597" s="33">
        <f>SUM(Q595:Q596)</f>
        <v>18019.61</v>
      </c>
      <c r="J597" s="29">
        <f>Source!BZ380</f>
        <v>72</v>
      </c>
      <c r="K597" s="33">
        <f>SUM(R595:R596)</f>
        <v>313281.8</v>
      </c>
    </row>
    <row r="598" spans="1:27" ht="14.25" x14ac:dyDescent="0.2">
      <c r="A598" s="27"/>
      <c r="B598" s="28"/>
      <c r="C598" s="28" t="s">
        <v>497</v>
      </c>
      <c r="D598" s="30" t="s">
        <v>496</v>
      </c>
      <c r="E598" s="29">
        <f>Source!DO380</f>
        <v>70</v>
      </c>
      <c r="F598" s="32"/>
      <c r="G598" s="31"/>
      <c r="H598" s="29"/>
      <c r="I598" s="33">
        <f>SUM(S595:S597)</f>
        <v>16818.310000000001</v>
      </c>
      <c r="J598" s="29">
        <f>Source!CA380</f>
        <v>44</v>
      </c>
      <c r="K598" s="33">
        <f>SUM(T595:T597)</f>
        <v>191449.99</v>
      </c>
    </row>
    <row r="599" spans="1:27" ht="14.25" x14ac:dyDescent="0.2">
      <c r="A599" s="27"/>
      <c r="B599" s="28"/>
      <c r="C599" s="28" t="s">
        <v>499</v>
      </c>
      <c r="D599" s="30" t="s">
        <v>500</v>
      </c>
      <c r="E599" s="29">
        <f>Source!AQ380</f>
        <v>65</v>
      </c>
      <c r="F599" s="32"/>
      <c r="G599" s="31" t="str">
        <f>Source!DI380</f>
        <v>)*0,8</v>
      </c>
      <c r="H599" s="29">
        <f>Source!AV380</f>
        <v>1</v>
      </c>
      <c r="I599" s="33">
        <f>Source!U380</f>
        <v>1508</v>
      </c>
      <c r="J599" s="29"/>
      <c r="K599" s="33"/>
    </row>
    <row r="600" spans="1:27" ht="15" x14ac:dyDescent="0.25">
      <c r="A600" s="38"/>
      <c r="B600" s="38"/>
      <c r="C600" s="38"/>
      <c r="D600" s="38"/>
      <c r="E600" s="38"/>
      <c r="F600" s="38"/>
      <c r="G600" s="38"/>
      <c r="H600" s="39">
        <f>I596+I597+I598</f>
        <v>58864.070000000007</v>
      </c>
      <c r="I600" s="39"/>
      <c r="J600" s="39">
        <f>K596+K597+K598</f>
        <v>939845.39999999991</v>
      </c>
      <c r="K600" s="39"/>
      <c r="O600" s="36">
        <f>I596+I597+I598</f>
        <v>58864.070000000007</v>
      </c>
      <c r="P600" s="36">
        <f>K596+K597+K598</f>
        <v>939845.39999999991</v>
      </c>
      <c r="X600">
        <f>IF(Source!BI380&lt;=1,I596+I597+I598-0, 0)</f>
        <v>0</v>
      </c>
      <c r="Y600">
        <f>IF(Source!BI380=2,I596+I597+I598-0, 0)</f>
        <v>0</v>
      </c>
      <c r="Z600">
        <f>IF(Source!BI380=3,I596+I597+I598-0, 0)</f>
        <v>0</v>
      </c>
      <c r="AA600">
        <f>IF(Source!BI380=4,I596+I597+I598,0)</f>
        <v>58864.070000000007</v>
      </c>
    </row>
    <row r="601" spans="1:27" ht="28.5" x14ac:dyDescent="0.2">
      <c r="A601" s="27" t="str">
        <f>Source!E381</f>
        <v>71</v>
      </c>
      <c r="B601" s="28" t="str">
        <f>Source!F381</f>
        <v>2.1-8-3</v>
      </c>
      <c r="C601" s="28" t="str">
        <f>Source!G381</f>
        <v>Автолаборатории/Расчет П.6. Т.Ч. 1,5 маш/смена х 6,82 часа*1 линия</v>
      </c>
      <c r="D601" s="30" t="str">
        <f>Source!H381</f>
        <v>маш.-ч.</v>
      </c>
      <c r="E601" s="29">
        <f>Source!I381</f>
        <v>398.97</v>
      </c>
      <c r="F601" s="32"/>
      <c r="G601" s="31"/>
      <c r="H601" s="29"/>
      <c r="I601" s="33"/>
      <c r="J601" s="29"/>
      <c r="K601" s="33"/>
      <c r="Q601">
        <f>ROUND((Source!DN381/100)*ROUND((Source!AF381*Source!AV381)*Source!I381, 2), 2)</f>
        <v>0</v>
      </c>
      <c r="R601">
        <f>Source!X381</f>
        <v>0</v>
      </c>
      <c r="S601">
        <f>ROUND((Source!DO381/100)*ROUND((Source!AF381*Source!AV381)*Source!I381, 2), 2)</f>
        <v>0</v>
      </c>
      <c r="T601">
        <f>Source!Y381</f>
        <v>0</v>
      </c>
      <c r="U601">
        <f>ROUND((175/100)*ROUND((Source!AE381*Source!AV381)*Source!I381, 2), 2)</f>
        <v>16205.16</v>
      </c>
      <c r="V601">
        <f>ROUND((167/100)*ROUND(Source!CS381*Source!I381, 2), 2)</f>
        <v>280059.5</v>
      </c>
    </row>
    <row r="602" spans="1:27" x14ac:dyDescent="0.2">
      <c r="C602" s="34" t="str">
        <f>"Объем: "&amp;Source!I381&amp;"=39*"&amp;"10,23"</f>
        <v>Объем: 398,97=39*10,23</v>
      </c>
    </row>
    <row r="603" spans="1:27" ht="14.25" x14ac:dyDescent="0.2">
      <c r="A603" s="27"/>
      <c r="B603" s="28"/>
      <c r="C603" s="28" t="s">
        <v>493</v>
      </c>
      <c r="D603" s="30"/>
      <c r="E603" s="29"/>
      <c r="F603" s="32">
        <f>Source!AM381</f>
        <v>128.38</v>
      </c>
      <c r="G603" s="31" t="str">
        <f>Source!DE381</f>
        <v/>
      </c>
      <c r="H603" s="29">
        <f>Source!AV381</f>
        <v>1</v>
      </c>
      <c r="I603" s="33">
        <f>ROUND(((((Source!ET381)-(Source!EU381))+Source!AE381)*Source!AV381)*Source!I381, 2)</f>
        <v>51219.77</v>
      </c>
      <c r="J603" s="29">
        <f>IF(Source!BB381&lt;&gt; 0, Source!BB381, 1)</f>
        <v>8.4600000000000009</v>
      </c>
      <c r="K603" s="33">
        <f>Source!Q381</f>
        <v>433319.24</v>
      </c>
    </row>
    <row r="604" spans="1:27" ht="14.25" x14ac:dyDescent="0.2">
      <c r="A604" s="27"/>
      <c r="B604" s="28"/>
      <c r="C604" s="28" t="s">
        <v>494</v>
      </c>
      <c r="D604" s="30"/>
      <c r="E604" s="29"/>
      <c r="F604" s="32">
        <f>Source!AN381</f>
        <v>23.21</v>
      </c>
      <c r="G604" s="31" t="str">
        <f>Source!DF381</f>
        <v/>
      </c>
      <c r="H604" s="29">
        <f>Source!AV381</f>
        <v>1</v>
      </c>
      <c r="I604" s="35">
        <f>ROUND((Source!AE381*Source!AV381)*Source!I381, 2)</f>
        <v>9260.09</v>
      </c>
      <c r="J604" s="29">
        <f>IF(Source!BS381&lt;&gt; 0, Source!BS381, 1)</f>
        <v>18.11</v>
      </c>
      <c r="K604" s="35">
        <f>Source!R381</f>
        <v>167700.29999999999</v>
      </c>
      <c r="W604">
        <f>I604</f>
        <v>9260.09</v>
      </c>
    </row>
    <row r="605" spans="1:27" ht="14.25" x14ac:dyDescent="0.2">
      <c r="A605" s="27"/>
      <c r="B605" s="28"/>
      <c r="C605" s="28" t="s">
        <v>498</v>
      </c>
      <c r="D605" s="30" t="s">
        <v>496</v>
      </c>
      <c r="E605" s="29">
        <f>175</f>
        <v>175</v>
      </c>
      <c r="F605" s="32"/>
      <c r="G605" s="31"/>
      <c r="H605" s="29"/>
      <c r="I605" s="33">
        <f>SUM(U601:U604)</f>
        <v>16205.16</v>
      </c>
      <c r="J605" s="29">
        <f>167</f>
        <v>167</v>
      </c>
      <c r="K605" s="33">
        <f>SUM(V601:V604)</f>
        <v>280059.5</v>
      </c>
    </row>
    <row r="606" spans="1:27" ht="15" x14ac:dyDescent="0.25">
      <c r="A606" s="38"/>
      <c r="B606" s="38"/>
      <c r="C606" s="38"/>
      <c r="D606" s="38"/>
      <c r="E606" s="38"/>
      <c r="F606" s="38"/>
      <c r="G606" s="38"/>
      <c r="H606" s="39">
        <f>I603+I605</f>
        <v>67424.929999999993</v>
      </c>
      <c r="I606" s="39"/>
      <c r="J606" s="39">
        <f>K603+K605</f>
        <v>713378.74</v>
      </c>
      <c r="K606" s="39"/>
      <c r="O606" s="36">
        <f>I603+I605</f>
        <v>67424.929999999993</v>
      </c>
      <c r="P606" s="36">
        <f>K603+K605</f>
        <v>713378.74</v>
      </c>
      <c r="X606">
        <f>IF(Source!BI381&lt;=1,I603+I605-0, 0)</f>
        <v>67424.929999999993</v>
      </c>
      <c r="Y606">
        <f>IF(Source!BI381=2,I603+I605-0, 0)</f>
        <v>0</v>
      </c>
      <c r="Z606">
        <f>IF(Source!BI381=3,I603+I605-0, 0)</f>
        <v>0</v>
      </c>
      <c r="AA606">
        <f>IF(Source!BI381=4,I603+I605,0)</f>
        <v>0</v>
      </c>
    </row>
    <row r="608" spans="1:27" ht="15" x14ac:dyDescent="0.25">
      <c r="A608" s="42" t="str">
        <f>CONCATENATE("Итого по подразделу: ",IF(Source!G383&lt;&gt;"Новый подраздел", Source!G383, ""))</f>
        <v>Итого по подразделу: 3.1 ПНР</v>
      </c>
      <c r="B608" s="42"/>
      <c r="C608" s="42"/>
      <c r="D608" s="42"/>
      <c r="E608" s="42"/>
      <c r="F608" s="42"/>
      <c r="G608" s="42"/>
      <c r="H608" s="37">
        <f>SUM(O546:O607)</f>
        <v>306000.70999999996</v>
      </c>
      <c r="I608" s="41"/>
      <c r="J608" s="37">
        <f>SUM(P546:P607)</f>
        <v>4522566.78</v>
      </c>
      <c r="K608" s="41"/>
    </row>
    <row r="609" spans="1:11" ht="15" hidden="1" x14ac:dyDescent="0.25">
      <c r="A609" s="42" t="s">
        <v>502</v>
      </c>
      <c r="B609" s="42"/>
      <c r="C609" s="42"/>
      <c r="D609" s="42"/>
      <c r="E609" s="42"/>
      <c r="F609" s="42"/>
      <c r="G609" s="42"/>
      <c r="H609" s="37">
        <f>SUM(AC546:AC608)</f>
        <v>0</v>
      </c>
      <c r="I609" s="41"/>
      <c r="J609" s="37">
        <f>SUM(AD546:AD608)</f>
        <v>0</v>
      </c>
      <c r="K609" s="41"/>
    </row>
    <row r="611" spans="1:11" ht="15" x14ac:dyDescent="0.25">
      <c r="A611" s="42" t="str">
        <f>CONCATENATE("Итого по разделу: ",IF(Source!G412&lt;&gt;"Новый раздел", Source!G412, ""))</f>
        <v>Итого по разделу: Строительные работы</v>
      </c>
      <c r="B611" s="42"/>
      <c r="C611" s="42"/>
      <c r="D611" s="42"/>
      <c r="E611" s="42"/>
      <c r="F611" s="42"/>
      <c r="G611" s="42"/>
      <c r="H611" s="37">
        <f>SUM(O26:O610)</f>
        <v>2073487.8300000003</v>
      </c>
      <c r="I611" s="41"/>
      <c r="J611" s="37">
        <f>SUM(P26:P610)</f>
        <v>13455948.239999998</v>
      </c>
      <c r="K611" s="41"/>
    </row>
    <row r="612" spans="1:11" ht="15" hidden="1" x14ac:dyDescent="0.25">
      <c r="A612" s="42" t="s">
        <v>502</v>
      </c>
      <c r="B612" s="42"/>
      <c r="C612" s="42"/>
      <c r="D612" s="42"/>
      <c r="E612" s="42"/>
      <c r="F612" s="42"/>
      <c r="G612" s="42"/>
      <c r="H612" s="37">
        <f>SUM(AC26:AC611)</f>
        <v>0</v>
      </c>
      <c r="I612" s="41"/>
      <c r="J612" s="37">
        <f>SUM(AD26:AD611)</f>
        <v>0</v>
      </c>
      <c r="K612" s="41"/>
    </row>
    <row r="614" spans="1:11" ht="15" x14ac:dyDescent="0.25">
      <c r="A614" s="42" t="str">
        <f>CONCATENATE("Итого по локальной смете: ",IF(Source!G441&lt;&gt;"Новая локальная смета", Source!G441, ""))</f>
        <v>Итого по локальной смете: Наружное электроснабжение</v>
      </c>
      <c r="B614" s="42"/>
      <c r="C614" s="42"/>
      <c r="D614" s="42"/>
      <c r="E614" s="42"/>
      <c r="F614" s="42"/>
      <c r="G614" s="42"/>
      <c r="H614" s="37">
        <f>SUM(O25:O613)</f>
        <v>2073487.8300000003</v>
      </c>
      <c r="I614" s="41"/>
      <c r="J614" s="37">
        <f>SUM(P25:P613)</f>
        <v>13455948.239999998</v>
      </c>
      <c r="K614" s="41"/>
    </row>
    <row r="615" spans="1:11" ht="15" hidden="1" x14ac:dyDescent="0.25">
      <c r="A615" s="42" t="s">
        <v>502</v>
      </c>
      <c r="B615" s="42"/>
      <c r="C615" s="42"/>
      <c r="D615" s="42"/>
      <c r="E615" s="42"/>
      <c r="F615" s="42"/>
      <c r="G615" s="42"/>
      <c r="H615" s="37">
        <f>SUM(AC25:AC614)</f>
        <v>0</v>
      </c>
      <c r="I615" s="41"/>
      <c r="J615" s="37">
        <f>SUM(AD25:AD614)</f>
        <v>0</v>
      </c>
      <c r="K615" s="41"/>
    </row>
    <row r="617" spans="1:11" ht="15" x14ac:dyDescent="0.25">
      <c r="A617" s="42" t="str">
        <f>CONCATENATE("Итого по смете: ",IF(Source!G470&lt;&gt;"Новый объект", Source!G470, ""))</f>
        <v>Итого по смете: 04-18-04.1 Наружное электроснабжение</v>
      </c>
      <c r="B617" s="42"/>
      <c r="C617" s="42"/>
      <c r="D617" s="42"/>
      <c r="E617" s="42"/>
      <c r="F617" s="42"/>
      <c r="G617" s="42"/>
      <c r="H617" s="37">
        <f>SUM(O1:O616)</f>
        <v>2073487.8300000003</v>
      </c>
      <c r="I617" s="41"/>
      <c r="J617" s="37">
        <f>SUM(P1:P616)</f>
        <v>13455948.239999998</v>
      </c>
      <c r="K617" s="41"/>
    </row>
    <row r="618" spans="1:11" ht="15" hidden="1" x14ac:dyDescent="0.25">
      <c r="A618" s="42" t="s">
        <v>502</v>
      </c>
      <c r="B618" s="42"/>
      <c r="C618" s="42"/>
      <c r="D618" s="42"/>
      <c r="E618" s="42"/>
      <c r="F618" s="42"/>
      <c r="G618" s="42"/>
      <c r="H618" s="37">
        <f>SUM(AC1:AC617)</f>
        <v>0</v>
      </c>
      <c r="I618" s="41"/>
      <c r="J618" s="37">
        <f>SUM(AD1:AD617)</f>
        <v>0</v>
      </c>
      <c r="K618" s="41"/>
    </row>
    <row r="621" spans="1:11" ht="14.25" x14ac:dyDescent="0.2">
      <c r="A621" s="43" t="s">
        <v>506</v>
      </c>
      <c r="B621" s="43"/>
      <c r="C621" s="44" t="str">
        <f>IF(Source!AC12&lt;&gt;"", Source!AC12," ")</f>
        <v xml:space="preserve"> </v>
      </c>
      <c r="D621" s="44"/>
      <c r="E621" s="44"/>
      <c r="F621" s="44"/>
      <c r="G621" s="44"/>
      <c r="H621" s="10" t="str">
        <f>IF(Source!AB12&lt;&gt;"", Source!AB12," ")</f>
        <v xml:space="preserve"> </v>
      </c>
      <c r="I621" s="10"/>
      <c r="J621" s="10"/>
      <c r="K621" s="10"/>
    </row>
    <row r="622" spans="1:11" ht="14.25" x14ac:dyDescent="0.2">
      <c r="A622" s="10"/>
      <c r="B622" s="10"/>
      <c r="C622" s="12" t="s">
        <v>507</v>
      </c>
      <c r="D622" s="12"/>
      <c r="E622" s="12"/>
      <c r="F622" s="12"/>
      <c r="G622" s="12"/>
      <c r="H622" s="10"/>
      <c r="I622" s="10"/>
      <c r="J622" s="10"/>
      <c r="K622" s="10"/>
    </row>
    <row r="623" spans="1:11" ht="14.25" x14ac:dyDescent="0.2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</row>
    <row r="624" spans="1:11" ht="14.25" x14ac:dyDescent="0.2">
      <c r="A624" s="43" t="s">
        <v>508</v>
      </c>
      <c r="B624" s="43"/>
      <c r="C624" s="44" t="str">
        <f>IF(Source!AE12&lt;&gt;"", Source!AE12," ")</f>
        <v xml:space="preserve"> </v>
      </c>
      <c r="D624" s="44"/>
      <c r="E624" s="44"/>
      <c r="F624" s="44"/>
      <c r="G624" s="44"/>
      <c r="H624" s="10" t="str">
        <f>IF(Source!AD12&lt;&gt;"", Source!AD12," ")</f>
        <v xml:space="preserve"> </v>
      </c>
      <c r="I624" s="10"/>
      <c r="J624" s="10"/>
      <c r="K624" s="10"/>
    </row>
    <row r="625" spans="1:11" ht="14.25" x14ac:dyDescent="0.2">
      <c r="A625" s="10"/>
      <c r="B625" s="10"/>
      <c r="C625" s="12" t="s">
        <v>507</v>
      </c>
      <c r="D625" s="12"/>
      <c r="E625" s="12"/>
      <c r="F625" s="12"/>
      <c r="G625" s="12"/>
      <c r="H625" s="10"/>
      <c r="I625" s="10"/>
      <c r="J625" s="10"/>
      <c r="K625" s="10"/>
    </row>
  </sheetData>
  <mergeCells count="243">
    <mergeCell ref="A621:B621"/>
    <mergeCell ref="C622:G622"/>
    <mergeCell ref="A624:B624"/>
    <mergeCell ref="C625:G625"/>
    <mergeCell ref="J617:K617"/>
    <mergeCell ref="H617:I617"/>
    <mergeCell ref="A617:G617"/>
    <mergeCell ref="J618:K618"/>
    <mergeCell ref="H618:I618"/>
    <mergeCell ref="A618:G618"/>
    <mergeCell ref="J614:K614"/>
    <mergeCell ref="H614:I614"/>
    <mergeCell ref="A614:G614"/>
    <mergeCell ref="J615:K615"/>
    <mergeCell ref="H615:I615"/>
    <mergeCell ref="A615:G615"/>
    <mergeCell ref="J611:K611"/>
    <mergeCell ref="H611:I611"/>
    <mergeCell ref="A611:G611"/>
    <mergeCell ref="J612:K612"/>
    <mergeCell ref="H612:I612"/>
    <mergeCell ref="A612:G612"/>
    <mergeCell ref="J606:K606"/>
    <mergeCell ref="H606:I606"/>
    <mergeCell ref="J608:K608"/>
    <mergeCell ref="H608:I608"/>
    <mergeCell ref="A608:G608"/>
    <mergeCell ref="J609:K609"/>
    <mergeCell ref="H609:I609"/>
    <mergeCell ref="A609:G609"/>
    <mergeCell ref="J588:K588"/>
    <mergeCell ref="H588:I588"/>
    <mergeCell ref="J594:K594"/>
    <mergeCell ref="H594:I594"/>
    <mergeCell ref="J600:K600"/>
    <mergeCell ref="H600:I600"/>
    <mergeCell ref="J570:K570"/>
    <mergeCell ref="H570:I570"/>
    <mergeCell ref="J576:K576"/>
    <mergeCell ref="H576:I576"/>
    <mergeCell ref="J582:K582"/>
    <mergeCell ref="H582:I582"/>
    <mergeCell ref="A546:K546"/>
    <mergeCell ref="J552:K552"/>
    <mergeCell ref="H552:I552"/>
    <mergeCell ref="J558:K558"/>
    <mergeCell ref="H558:I558"/>
    <mergeCell ref="J564:K564"/>
    <mergeCell ref="H564:I564"/>
    <mergeCell ref="J543:K543"/>
    <mergeCell ref="H543:I543"/>
    <mergeCell ref="A543:G543"/>
    <mergeCell ref="J544:K544"/>
    <mergeCell ref="H544:I544"/>
    <mergeCell ref="A544:G544"/>
    <mergeCell ref="J527:K527"/>
    <mergeCell ref="H527:I527"/>
    <mergeCell ref="J539:K539"/>
    <mergeCell ref="H539:I539"/>
    <mergeCell ref="J541:K541"/>
    <mergeCell ref="H541:I541"/>
    <mergeCell ref="J502:K502"/>
    <mergeCell ref="H502:I502"/>
    <mergeCell ref="J504:K504"/>
    <mergeCell ref="H504:I504"/>
    <mergeCell ref="J515:K515"/>
    <mergeCell ref="H515:I515"/>
    <mergeCell ref="J477:K477"/>
    <mergeCell ref="H477:I477"/>
    <mergeCell ref="J479:K479"/>
    <mergeCell ref="H479:I479"/>
    <mergeCell ref="J491:K491"/>
    <mergeCell ref="H491:I491"/>
    <mergeCell ref="A448:K448"/>
    <mergeCell ref="J455:K455"/>
    <mergeCell ref="H455:I455"/>
    <mergeCell ref="J465:K465"/>
    <mergeCell ref="H465:I465"/>
    <mergeCell ref="J467:K467"/>
    <mergeCell ref="H467:I467"/>
    <mergeCell ref="J445:K445"/>
    <mergeCell ref="H445:I445"/>
    <mergeCell ref="A445:G445"/>
    <mergeCell ref="J446:K446"/>
    <mergeCell ref="H446:I446"/>
    <mergeCell ref="A446:G446"/>
    <mergeCell ref="A431:K431"/>
    <mergeCell ref="J439:K439"/>
    <mergeCell ref="H439:I439"/>
    <mergeCell ref="J441:K441"/>
    <mergeCell ref="H441:I441"/>
    <mergeCell ref="J443:K443"/>
    <mergeCell ref="H443:I443"/>
    <mergeCell ref="J426:K426"/>
    <mergeCell ref="H426:I426"/>
    <mergeCell ref="J428:K428"/>
    <mergeCell ref="H428:I428"/>
    <mergeCell ref="A428:G428"/>
    <mergeCell ref="J429:K429"/>
    <mergeCell ref="H429:I429"/>
    <mergeCell ref="A429:G429"/>
    <mergeCell ref="A402:K402"/>
    <mergeCell ref="J412:K412"/>
    <mergeCell ref="H412:I412"/>
    <mergeCell ref="J414:K414"/>
    <mergeCell ref="H414:I414"/>
    <mergeCell ref="J424:K424"/>
    <mergeCell ref="H424:I424"/>
    <mergeCell ref="J397:K397"/>
    <mergeCell ref="H397:I397"/>
    <mergeCell ref="J399:K399"/>
    <mergeCell ref="H399:I399"/>
    <mergeCell ref="A399:G399"/>
    <mergeCell ref="J400:K400"/>
    <mergeCell ref="H400:I400"/>
    <mergeCell ref="A400:G400"/>
    <mergeCell ref="J372:K372"/>
    <mergeCell ref="H372:I372"/>
    <mergeCell ref="J383:K383"/>
    <mergeCell ref="H383:I383"/>
    <mergeCell ref="J394:K394"/>
    <mergeCell ref="H394:I394"/>
    <mergeCell ref="J347:K347"/>
    <mergeCell ref="H347:I347"/>
    <mergeCell ref="J358:K358"/>
    <mergeCell ref="H358:I358"/>
    <mergeCell ref="J361:K361"/>
    <mergeCell ref="H361:I361"/>
    <mergeCell ref="J322:K322"/>
    <mergeCell ref="H322:I322"/>
    <mergeCell ref="J325:K325"/>
    <mergeCell ref="H325:I325"/>
    <mergeCell ref="J336:K336"/>
    <mergeCell ref="H336:I336"/>
    <mergeCell ref="J289:K289"/>
    <mergeCell ref="H289:I289"/>
    <mergeCell ref="J300:K300"/>
    <mergeCell ref="H300:I300"/>
    <mergeCell ref="J311:K311"/>
    <mergeCell ref="H311:I311"/>
    <mergeCell ref="A253:K253"/>
    <mergeCell ref="J264:K264"/>
    <mergeCell ref="H264:I264"/>
    <mergeCell ref="J275:K275"/>
    <mergeCell ref="H275:I275"/>
    <mergeCell ref="J286:K286"/>
    <mergeCell ref="H286:I286"/>
    <mergeCell ref="J250:K250"/>
    <mergeCell ref="H250:I250"/>
    <mergeCell ref="A250:G250"/>
    <mergeCell ref="J251:K251"/>
    <mergeCell ref="H251:I251"/>
    <mergeCell ref="A251:G251"/>
    <mergeCell ref="J231:K231"/>
    <mergeCell ref="H231:I231"/>
    <mergeCell ref="J241:K241"/>
    <mergeCell ref="H241:I241"/>
    <mergeCell ref="J248:K248"/>
    <mergeCell ref="H248:I248"/>
    <mergeCell ref="J215:K215"/>
    <mergeCell ref="H215:I215"/>
    <mergeCell ref="A215:G215"/>
    <mergeCell ref="A217:K217"/>
    <mergeCell ref="J224:K224"/>
    <mergeCell ref="H224:I224"/>
    <mergeCell ref="A199:K199"/>
    <mergeCell ref="J205:K205"/>
    <mergeCell ref="H205:I205"/>
    <mergeCell ref="J212:K212"/>
    <mergeCell ref="H212:I212"/>
    <mergeCell ref="J214:K214"/>
    <mergeCell ref="H214:I214"/>
    <mergeCell ref="A214:G214"/>
    <mergeCell ref="J194:K194"/>
    <mergeCell ref="H194:I194"/>
    <mergeCell ref="J196:K196"/>
    <mergeCell ref="H196:I196"/>
    <mergeCell ref="A196:G196"/>
    <mergeCell ref="J197:K197"/>
    <mergeCell ref="H197:I197"/>
    <mergeCell ref="A197:G197"/>
    <mergeCell ref="J168:K168"/>
    <mergeCell ref="H168:I168"/>
    <mergeCell ref="J178:K178"/>
    <mergeCell ref="H178:I178"/>
    <mergeCell ref="J187:K187"/>
    <mergeCell ref="H187:I187"/>
    <mergeCell ref="J152:K152"/>
    <mergeCell ref="H152:I152"/>
    <mergeCell ref="J155:K155"/>
    <mergeCell ref="H155:I155"/>
    <mergeCell ref="J162:K162"/>
    <mergeCell ref="H162:I162"/>
    <mergeCell ref="A114:K114"/>
    <mergeCell ref="J124:K124"/>
    <mergeCell ref="H124:I124"/>
    <mergeCell ref="J134:K134"/>
    <mergeCell ref="H134:I134"/>
    <mergeCell ref="J141:K141"/>
    <mergeCell ref="H141:I141"/>
    <mergeCell ref="J111:K111"/>
    <mergeCell ref="H111:I111"/>
    <mergeCell ref="A111:G111"/>
    <mergeCell ref="J112:K112"/>
    <mergeCell ref="H112:I112"/>
    <mergeCell ref="A112:G112"/>
    <mergeCell ref="J92:K92"/>
    <mergeCell ref="H92:I92"/>
    <mergeCell ref="J102:K102"/>
    <mergeCell ref="H102:I102"/>
    <mergeCell ref="J109:K109"/>
    <mergeCell ref="H109:I109"/>
    <mergeCell ref="J69:K69"/>
    <mergeCell ref="H69:I69"/>
    <mergeCell ref="J76:K76"/>
    <mergeCell ref="H76:I76"/>
    <mergeCell ref="J82:K82"/>
    <mergeCell ref="H82:I82"/>
    <mergeCell ref="J48:K48"/>
    <mergeCell ref="H48:I48"/>
    <mergeCell ref="J55:K55"/>
    <mergeCell ref="H55:I55"/>
    <mergeCell ref="J66:K66"/>
    <mergeCell ref="H66:I66"/>
    <mergeCell ref="F20:H20"/>
    <mergeCell ref="F21:H21"/>
    <mergeCell ref="A22:K22"/>
    <mergeCell ref="A26:K26"/>
    <mergeCell ref="A28:K28"/>
    <mergeCell ref="J38:K38"/>
    <mergeCell ref="H38:I38"/>
    <mergeCell ref="A12:K12"/>
    <mergeCell ref="A14:K14"/>
    <mergeCell ref="F16:H16"/>
    <mergeCell ref="F17:H17"/>
    <mergeCell ref="F18:H18"/>
    <mergeCell ref="F19:H19"/>
    <mergeCell ref="A3:K3"/>
    <mergeCell ref="A4:K4"/>
    <mergeCell ref="A6:K6"/>
    <mergeCell ref="A7:K7"/>
    <mergeCell ref="A9:K9"/>
    <mergeCell ref="A11:K11"/>
  </mergeCells>
  <pageMargins left="0.4" right="0.2" top="0.2" bottom="0.4" header="0.2" footer="0.2"/>
  <pageSetup paperSize="9" scale="61" fitToHeight="0" orientation="portrait" horizontalDpi="0" verticalDpi="0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Normal="100" workbookViewId="0">
      <selection sqref="A1:D1"/>
    </sheetView>
  </sheetViews>
  <sheetFormatPr defaultRowHeight="12.75" x14ac:dyDescent="0.2"/>
  <cols>
    <col min="1" max="1" width="5.7109375" customWidth="1"/>
    <col min="2" max="2" width="20.7109375" customWidth="1"/>
    <col min="3" max="3" width="40.7109375" customWidth="1"/>
    <col min="4" max="10" width="12.7109375" customWidth="1"/>
    <col min="30" max="33" width="0" hidden="1" customWidth="1"/>
  </cols>
  <sheetData>
    <row r="1" spans="1:10" x14ac:dyDescent="0.2">
      <c r="A1" s="45" t="str">
        <f>SourceObSm!B1</f>
        <v>Smeta.RU  (495) 974-1589</v>
      </c>
      <c r="B1" s="45"/>
      <c r="C1" s="45"/>
      <c r="D1" s="45"/>
    </row>
    <row r="2" spans="1:10" ht="15" x14ac:dyDescent="0.25">
      <c r="A2" s="46"/>
      <c r="B2" s="46"/>
      <c r="C2" s="46"/>
      <c r="D2" s="46"/>
      <c r="E2" s="46"/>
      <c r="F2" s="46"/>
      <c r="G2" s="46"/>
      <c r="H2" s="46"/>
      <c r="I2" s="10"/>
      <c r="J2" s="47" t="s">
        <v>509</v>
      </c>
    </row>
    <row r="3" spans="1:10" ht="14.25" x14ac:dyDescent="0.2">
      <c r="A3" s="48"/>
      <c r="B3" s="10"/>
      <c r="C3" s="10"/>
      <c r="D3" s="10"/>
      <c r="E3" s="10"/>
      <c r="F3" s="10"/>
      <c r="G3" s="10"/>
      <c r="H3" s="10"/>
      <c r="I3" s="10"/>
      <c r="J3" s="10"/>
    </row>
    <row r="4" spans="1:10" ht="15.75" x14ac:dyDescent="0.2">
      <c r="A4" s="49"/>
      <c r="B4" s="50" t="str">
        <f>IF(SourceObSm!G4&lt;&gt;"",SourceObSm!G4,IF(SourceObSm!F4&lt;&gt;"",SourceObSm!F4,IF(SourceObSm!G5&lt;&gt;"",SourceObSm!G5,IF(SourceObSm!F5&lt;&gt;"",SourceObSm!F5,IF(SourceObSm!G6&lt;&gt;"",SourceObSm!G6,IF(SourceObSm!G12&lt;&gt;"",SourceObSm!G12," "))))))</f>
        <v>04-18-04.1 Наружное электроснабжение</v>
      </c>
      <c r="C4" s="50"/>
      <c r="D4" s="50"/>
      <c r="E4" s="50"/>
      <c r="F4" s="50"/>
      <c r="G4" s="50"/>
      <c r="H4" s="50"/>
      <c r="I4" s="50"/>
      <c r="J4" s="49"/>
    </row>
    <row r="5" spans="1:10" ht="14.25" x14ac:dyDescent="0.2">
      <c r="A5" s="49"/>
      <c r="B5" s="51" t="s">
        <v>510</v>
      </c>
      <c r="C5" s="51"/>
      <c r="D5" s="51"/>
      <c r="E5" s="51"/>
      <c r="F5" s="51"/>
      <c r="G5" s="51"/>
      <c r="H5" s="51"/>
      <c r="I5" s="51"/>
      <c r="J5" s="49"/>
    </row>
    <row r="6" spans="1:10" ht="14.25" x14ac:dyDescent="0.2">
      <c r="A6" s="48"/>
      <c r="B6" s="10"/>
      <c r="C6" s="10"/>
      <c r="D6" s="10"/>
      <c r="E6" s="10"/>
      <c r="F6" s="10"/>
      <c r="G6" s="10"/>
      <c r="H6" s="10"/>
      <c r="I6" s="10"/>
      <c r="J6" s="10"/>
    </row>
    <row r="7" spans="1:10" ht="15" x14ac:dyDescent="0.2">
      <c r="A7" s="52"/>
      <c r="B7" s="52"/>
      <c r="C7" s="52"/>
      <c r="D7" s="10"/>
      <c r="E7" s="10"/>
      <c r="F7" s="10"/>
      <c r="G7" s="10"/>
      <c r="H7" s="10"/>
      <c r="I7" s="10"/>
      <c r="J7" s="10"/>
    </row>
    <row r="8" spans="1:10" ht="15.75" x14ac:dyDescent="0.2">
      <c r="A8" s="53" t="s">
        <v>511</v>
      </c>
      <c r="B8" s="53"/>
      <c r="C8" s="53"/>
      <c r="D8" s="54" t="str">
        <f>SourceObSm!F12</f>
        <v>04-18-04.1</v>
      </c>
      <c r="E8" s="54"/>
      <c r="F8" s="54"/>
      <c r="G8" s="54"/>
      <c r="H8" s="54"/>
      <c r="I8" s="54"/>
      <c r="J8" s="55"/>
    </row>
    <row r="9" spans="1:10" ht="15" x14ac:dyDescent="0.2">
      <c r="A9" s="52"/>
      <c r="B9" s="52"/>
      <c r="C9" s="56"/>
      <c r="D9" s="12" t="s">
        <v>512</v>
      </c>
      <c r="E9" s="12"/>
      <c r="F9" s="12"/>
      <c r="G9" s="12"/>
      <c r="H9" s="12"/>
      <c r="I9" s="12"/>
      <c r="J9" s="56"/>
    </row>
    <row r="10" spans="1:10" ht="14.25" x14ac:dyDescent="0.2">
      <c r="A10" s="48"/>
      <c r="B10" s="10"/>
      <c r="C10" s="10"/>
      <c r="D10" s="10"/>
      <c r="E10" s="10"/>
      <c r="F10" s="10"/>
      <c r="G10" s="10"/>
      <c r="H10" s="10"/>
      <c r="I10" s="10"/>
      <c r="J10" s="10"/>
    </row>
    <row r="11" spans="1:10" ht="15.75" x14ac:dyDescent="0.2">
      <c r="A11" s="57" t="s">
        <v>513</v>
      </c>
      <c r="B11" s="57"/>
      <c r="C11" s="57"/>
      <c r="D11" s="58" t="str">
        <f>IF(SourceObSm!G12&lt;&gt;"",SourceObSm!G12,IF(SourceObSm!F12&lt;&gt;"",SourceObSm!F12," "))</f>
        <v>04-18-04.1 Наружное электроснабжение</v>
      </c>
      <c r="E11" s="58"/>
      <c r="F11" s="58"/>
      <c r="G11" s="58"/>
      <c r="H11" s="58"/>
      <c r="I11" s="58"/>
      <c r="J11" s="49"/>
    </row>
    <row r="12" spans="1:10" ht="14.25" x14ac:dyDescent="0.2">
      <c r="A12" s="48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14.25" x14ac:dyDescent="0.2">
      <c r="A13" s="57" t="s">
        <v>524</v>
      </c>
      <c r="B13" s="57"/>
      <c r="C13" s="57"/>
      <c r="D13" s="69">
        <f>(SourceObSm!F45)/1000</f>
        <v>13455.94824</v>
      </c>
      <c r="E13" s="59" t="s">
        <v>514</v>
      </c>
      <c r="F13" s="60"/>
      <c r="G13" s="10"/>
      <c r="H13" s="10"/>
      <c r="I13" s="10"/>
      <c r="J13" s="10"/>
    </row>
    <row r="14" spans="1:10" ht="14.25" x14ac:dyDescent="0.2">
      <c r="A14" s="61"/>
      <c r="B14" s="26"/>
      <c r="C14" s="26"/>
      <c r="D14" s="62"/>
      <c r="E14" s="59"/>
      <c r="F14" s="63"/>
      <c r="G14" s="10"/>
      <c r="H14" s="10"/>
      <c r="I14" s="10"/>
      <c r="J14" s="10"/>
    </row>
    <row r="15" spans="1:10" ht="14.25" x14ac:dyDescent="0.2">
      <c r="A15" s="57" t="s">
        <v>515</v>
      </c>
      <c r="B15" s="57"/>
      <c r="C15" s="57"/>
      <c r="D15" s="69">
        <f>(SourceObSm!F33)/1000</f>
        <v>2394.22127</v>
      </c>
      <c r="E15" s="59" t="s">
        <v>514</v>
      </c>
      <c r="F15" s="60"/>
      <c r="G15" s="10"/>
      <c r="H15" s="10"/>
      <c r="I15" s="10"/>
      <c r="J15" s="10"/>
    </row>
    <row r="16" spans="1:10" ht="14.25" x14ac:dyDescent="0.2">
      <c r="A16" s="48"/>
      <c r="B16" s="10"/>
      <c r="C16" s="10"/>
      <c r="D16" s="62"/>
      <c r="E16" s="59"/>
      <c r="F16" s="10"/>
      <c r="G16" s="10"/>
      <c r="H16" s="10"/>
      <c r="I16" s="10"/>
      <c r="J16" s="10"/>
    </row>
    <row r="17" spans="1:10" ht="14.25" x14ac:dyDescent="0.2">
      <c r="A17" s="57" t="s">
        <v>516</v>
      </c>
      <c r="B17" s="57"/>
      <c r="C17" s="57"/>
      <c r="D17" s="70">
        <f>SourceObSm!I12</f>
        <v>0</v>
      </c>
      <c r="E17" s="64" t="str">
        <f>SourceObSm!H12</f>
        <v/>
      </c>
      <c r="F17" s="65"/>
      <c r="G17" s="10"/>
      <c r="H17" s="10"/>
      <c r="I17" s="10"/>
      <c r="J17" s="10"/>
    </row>
    <row r="18" spans="1:10" ht="14.25" x14ac:dyDescent="0.2">
      <c r="A18" s="48"/>
      <c r="B18" s="10"/>
      <c r="C18" s="10"/>
      <c r="D18" s="10"/>
      <c r="E18" s="10"/>
      <c r="F18" s="10"/>
      <c r="G18" s="10"/>
      <c r="H18" s="10"/>
      <c r="I18" s="10"/>
      <c r="J18" s="10"/>
    </row>
    <row r="19" spans="1:10" ht="14.25" x14ac:dyDescent="0.2">
      <c r="A19" s="57" t="s">
        <v>491</v>
      </c>
      <c r="B19" s="57"/>
      <c r="C19" s="57"/>
      <c r="D19" s="57"/>
      <c r="E19" s="57"/>
      <c r="F19" s="57"/>
      <c r="G19" s="57"/>
      <c r="H19" s="57"/>
      <c r="I19" s="57"/>
      <c r="J19" s="57"/>
    </row>
    <row r="20" spans="1:10" ht="14.25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 t="s">
        <v>514</v>
      </c>
    </row>
    <row r="21" spans="1:10" ht="14.25" x14ac:dyDescent="0.2">
      <c r="A21" s="66" t="s">
        <v>517</v>
      </c>
      <c r="B21" s="66" t="s">
        <v>518</v>
      </c>
      <c r="C21" s="66" t="s">
        <v>481</v>
      </c>
      <c r="D21" s="67" t="s">
        <v>524</v>
      </c>
      <c r="E21" s="67"/>
      <c r="F21" s="67"/>
      <c r="G21" s="67"/>
      <c r="H21" s="67"/>
      <c r="I21" s="66" t="s">
        <v>525</v>
      </c>
      <c r="J21" s="66" t="s">
        <v>519</v>
      </c>
    </row>
    <row r="22" spans="1:10" ht="57" x14ac:dyDescent="0.2">
      <c r="A22" s="68"/>
      <c r="B22" s="68"/>
      <c r="C22" s="68"/>
      <c r="D22" s="23" t="s">
        <v>520</v>
      </c>
      <c r="E22" s="23" t="s">
        <v>521</v>
      </c>
      <c r="F22" s="23" t="s">
        <v>522</v>
      </c>
      <c r="G22" s="23" t="s">
        <v>523</v>
      </c>
      <c r="H22" s="23" t="s">
        <v>124</v>
      </c>
      <c r="I22" s="68"/>
      <c r="J22" s="68"/>
    </row>
    <row r="23" spans="1:10" ht="14.25" x14ac:dyDescent="0.2">
      <c r="A23" s="72">
        <v>1</v>
      </c>
      <c r="B23" s="72">
        <v>2</v>
      </c>
      <c r="C23" s="72">
        <v>3</v>
      </c>
      <c r="D23" s="72">
        <v>4</v>
      </c>
      <c r="E23" s="72">
        <v>5</v>
      </c>
      <c r="F23" s="72">
        <v>6</v>
      </c>
      <c r="G23" s="72">
        <v>7</v>
      </c>
      <c r="H23" s="72">
        <v>8</v>
      </c>
      <c r="I23" s="72">
        <v>9</v>
      </c>
      <c r="J23" s="72">
        <v>10</v>
      </c>
    </row>
    <row r="24" spans="1:10" ht="14.25" x14ac:dyDescent="0.2">
      <c r="A24" s="73">
        <v>1</v>
      </c>
      <c r="B24" s="74" t="str">
        <f>SourceObSm!C16</f>
        <v>04-14-03.1</v>
      </c>
      <c r="C24" s="74" t="str">
        <f>SourceObSm!D16</f>
        <v>Наружное электроснабжение</v>
      </c>
      <c r="D24" s="75">
        <f>IF(SourceObSm!E16=0, "-", ROUND(SourceObSm!E16,6))</f>
        <v>4438.8171499999999</v>
      </c>
      <c r="E24" s="75">
        <f>IF(SourceObSm!F16=0, "-", ROUND(SourceObSm!F16,6))</f>
        <v>3987.9805099999999</v>
      </c>
      <c r="F24" s="75">
        <f>IF(SourceObSm!G16=0, "-", ROUND(SourceObSm!G16,6))</f>
        <v>1219.96254</v>
      </c>
      <c r="G24" s="75">
        <f>IF(SourceObSm!H16=0, "-", ROUND(SourceObSm!H16,6))</f>
        <v>3809.18804</v>
      </c>
      <c r="H24" s="75">
        <f>IF(SourceObSm!I16=0, "-", ROUND(SourceObSm!I16,6))</f>
        <v>13455.94824</v>
      </c>
      <c r="I24" s="75">
        <f>IF(SourceObSm!J16=0, "-", ROUND(SourceObSm!J16,6))</f>
        <v>2394.22127</v>
      </c>
      <c r="J24" s="75" t="str">
        <f>IF(H24="-","-",IF(SourceObSm!I12=0,"-",H24/SourceObSm!I12))</f>
        <v>-</v>
      </c>
    </row>
    <row r="25" spans="1:10" ht="15" x14ac:dyDescent="0.25">
      <c r="A25" s="76"/>
      <c r="B25" s="77"/>
      <c r="C25" s="77" t="s">
        <v>526</v>
      </c>
      <c r="D25" s="78">
        <f>IF(SUM(D24:D24)=0, "-", ROUND(SUM(D24:D24),6))</f>
        <v>4438.8171499999999</v>
      </c>
      <c r="E25" s="78">
        <f>IF(SUM(E24:E24)=0, "-", ROUND(SUM(E24:E24),6))</f>
        <v>3987.9805099999999</v>
      </c>
      <c r="F25" s="78">
        <f>IF(SUM(F24:F24)=0, "-", ROUND(SUM(F24:F24),6))</f>
        <v>1219.96254</v>
      </c>
      <c r="G25" s="78">
        <f>IF(SUM(G24:G24)=0, "-", ROUND(SUM(G24:G24),6))</f>
        <v>3809.18804</v>
      </c>
      <c r="H25" s="78">
        <f>IF(SUM(H24:H24)=0, "-", ROUND(SUM(H24:H24),6))</f>
        <v>13455.94824</v>
      </c>
      <c r="I25" s="78">
        <f>IF(SUM(I24:I24)=0, "-", ROUND(SUM(I24:I24),6))</f>
        <v>2394.22127</v>
      </c>
      <c r="J25" s="78"/>
    </row>
    <row r="29" spans="1:10" ht="14.25" x14ac:dyDescent="0.2">
      <c r="A29" s="10"/>
      <c r="B29" s="79" t="s">
        <v>527</v>
      </c>
      <c r="C29" s="79"/>
      <c r="D29" s="80" t="str">
        <f>IF(SourceObSm!X12&lt;&gt;"",SourceObSm!X12,"")</f>
        <v/>
      </c>
      <c r="E29" s="81"/>
      <c r="F29" s="81"/>
      <c r="G29" s="81"/>
      <c r="H29" s="63"/>
      <c r="I29" s="10"/>
      <c r="J29" s="10"/>
    </row>
    <row r="30" spans="1:10" ht="14.25" x14ac:dyDescent="0.2">
      <c r="A30" s="10"/>
      <c r="B30" s="48"/>
      <c r="C30" s="10"/>
      <c r="D30" s="82" t="s">
        <v>528</v>
      </c>
      <c r="E30" s="82"/>
      <c r="F30" s="82"/>
      <c r="G30" s="82"/>
      <c r="H30" s="56"/>
      <c r="I30" s="10"/>
      <c r="J30" s="10"/>
    </row>
    <row r="31" spans="1:10" ht="14.25" x14ac:dyDescent="0.2">
      <c r="A31" s="10"/>
      <c r="B31" s="48"/>
      <c r="C31" s="71"/>
      <c r="D31" s="10"/>
      <c r="E31" s="56"/>
      <c r="F31" s="56"/>
      <c r="G31" s="56"/>
      <c r="H31" s="56"/>
      <c r="I31" s="10"/>
      <c r="J31" s="10"/>
    </row>
    <row r="32" spans="1:10" ht="14.25" x14ac:dyDescent="0.2">
      <c r="A32" s="10"/>
      <c r="B32" s="83" t="s">
        <v>529</v>
      </c>
      <c r="C32" s="80" t="str">
        <f>IF(SourceObSm!AA12&lt;&gt;"",SourceObSm!AA12,"")</f>
        <v/>
      </c>
      <c r="D32" s="71" t="s">
        <v>530</v>
      </c>
      <c r="E32" s="44"/>
      <c r="F32" s="44"/>
      <c r="G32" s="44"/>
      <c r="H32" s="64" t="str">
        <f>IF(SourceObSm!Y12&lt;&gt;"",SourceObSm!Y12,"")</f>
        <v/>
      </c>
      <c r="I32" s="10"/>
      <c r="J32" s="10"/>
    </row>
    <row r="33" spans="1:10" ht="14.25" x14ac:dyDescent="0.2">
      <c r="A33" s="10"/>
      <c r="B33" s="29"/>
      <c r="C33" s="84" t="s">
        <v>531</v>
      </c>
      <c r="D33" s="85"/>
      <c r="E33" s="12" t="s">
        <v>528</v>
      </c>
      <c r="F33" s="12"/>
      <c r="G33" s="12"/>
      <c r="H33" s="56"/>
      <c r="I33" s="10"/>
      <c r="J33" s="10"/>
    </row>
    <row r="34" spans="1:10" ht="14.25" x14ac:dyDescent="0.2">
      <c r="A34" s="10"/>
      <c r="B34" s="83"/>
      <c r="C34" s="10"/>
      <c r="D34" s="10"/>
      <c r="E34" s="10"/>
      <c r="F34" s="10"/>
      <c r="G34" s="10"/>
      <c r="H34" s="10"/>
      <c r="I34" s="10"/>
      <c r="J34" s="10"/>
    </row>
    <row r="35" spans="1:10" ht="14.25" x14ac:dyDescent="0.2">
      <c r="A35" s="10"/>
      <c r="B35" s="83" t="s">
        <v>532</v>
      </c>
      <c r="C35" s="80" t="str">
        <f>IF(SourceObSm!AC12&lt;&gt;"",SourceObSm!AC12,"")</f>
        <v/>
      </c>
      <c r="D35" s="44"/>
      <c r="E35" s="44"/>
      <c r="F35" s="64" t="str">
        <f>IF(SourceObSm!AB12&lt;&gt;"",SourceObSm!AB12,"")</f>
        <v/>
      </c>
      <c r="G35" s="63"/>
      <c r="H35" s="10"/>
      <c r="I35" s="10"/>
      <c r="J35" s="10"/>
    </row>
    <row r="36" spans="1:10" ht="14.25" x14ac:dyDescent="0.2">
      <c r="A36" s="10"/>
      <c r="B36" s="83"/>
      <c r="C36" s="12" t="s">
        <v>507</v>
      </c>
      <c r="D36" s="12"/>
      <c r="E36" s="12"/>
      <c r="F36" s="56"/>
      <c r="G36" s="56"/>
      <c r="H36" s="10"/>
      <c r="I36" s="10"/>
      <c r="J36" s="10"/>
    </row>
    <row r="37" spans="1:10" ht="14.25" x14ac:dyDescent="0.2">
      <c r="A37" s="10"/>
      <c r="B37" s="83"/>
      <c r="C37" s="86"/>
      <c r="D37" s="86"/>
      <c r="E37" s="86"/>
      <c r="F37" s="56"/>
      <c r="G37" s="56"/>
      <c r="H37" s="10"/>
      <c r="I37" s="10"/>
      <c r="J37" s="10"/>
    </row>
    <row r="38" spans="1:10" ht="14.25" x14ac:dyDescent="0.2">
      <c r="A38" s="10"/>
      <c r="B38" s="83" t="s">
        <v>533</v>
      </c>
      <c r="C38" s="80" t="str">
        <f>IF(SourceObSm!AE12&lt;&gt;"",SourceObSm!AE12,"")</f>
        <v/>
      </c>
      <c r="D38" s="44"/>
      <c r="E38" s="44"/>
      <c r="F38" s="64" t="str">
        <f>IF(SourceObSm!AD12&lt;&gt;"",SourceObSm!AD12,"")</f>
        <v/>
      </c>
      <c r="G38" s="63"/>
      <c r="H38" s="10"/>
      <c r="I38" s="10"/>
      <c r="J38" s="10"/>
    </row>
    <row r="39" spans="1:10" ht="14.25" x14ac:dyDescent="0.2">
      <c r="A39" s="10"/>
      <c r="B39" s="48"/>
      <c r="C39" s="12" t="s">
        <v>507</v>
      </c>
      <c r="D39" s="12"/>
      <c r="E39" s="12"/>
      <c r="F39" s="56"/>
      <c r="G39" s="56"/>
      <c r="H39" s="10"/>
      <c r="I39" s="10"/>
      <c r="J39" s="10"/>
    </row>
  </sheetData>
  <mergeCells count="23">
    <mergeCell ref="B29:C29"/>
    <mergeCell ref="D30:G30"/>
    <mergeCell ref="E33:G33"/>
    <mergeCell ref="C36:E36"/>
    <mergeCell ref="C39:E39"/>
    <mergeCell ref="A21:A22"/>
    <mergeCell ref="B21:B22"/>
    <mergeCell ref="C21:C22"/>
    <mergeCell ref="D21:H21"/>
    <mergeCell ref="I21:I22"/>
    <mergeCell ref="J21:J22"/>
    <mergeCell ref="A11:C11"/>
    <mergeCell ref="D11:I11"/>
    <mergeCell ref="A13:C13"/>
    <mergeCell ref="A15:C15"/>
    <mergeCell ref="A17:C17"/>
    <mergeCell ref="A19:J19"/>
    <mergeCell ref="A1:D1"/>
    <mergeCell ref="B4:I4"/>
    <mergeCell ref="B5:I5"/>
    <mergeCell ref="A8:C8"/>
    <mergeCell ref="D8:I8"/>
    <mergeCell ref="D9:I9"/>
  </mergeCells>
  <pageMargins left="0.4" right="0.2" top="0.2" bottom="0.4" header="0.2" footer="0.2"/>
  <pageSetup paperSize="9" scale="63" fitToHeight="0" orientation="portrait" horizontalDpi="0" verticalDpi="0" r:id="rId1"/>
  <headerFooter>
    <oddHeader>&amp;C&amp;P страница из &amp;N&amp;L&amp;8</oddHeader>
  </headerFooter>
  <rowBreaks count="1" manualBreakCount="1">
    <brk id="3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507"/>
  <sheetViews>
    <sheetView workbookViewId="0">
      <selection activeCell="F21" sqref="F21"/>
    </sheetView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0</v>
      </c>
      <c r="L1">
        <v>30290</v>
      </c>
      <c r="M1">
        <v>10</v>
      </c>
    </row>
    <row r="12" spans="1:133" x14ac:dyDescent="0.2">
      <c r="A12" s="1">
        <v>1</v>
      </c>
      <c r="B12" s="1">
        <v>502</v>
      </c>
      <c r="C12" s="1">
        <v>0</v>
      </c>
      <c r="D12" s="1">
        <f>ROW(A470)</f>
        <v>470</v>
      </c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/>
      <c r="M12" s="1"/>
      <c r="N12" s="1"/>
      <c r="O12" s="1">
        <v>0</v>
      </c>
      <c r="P12" s="1">
        <v>0</v>
      </c>
      <c r="Q12" s="1">
        <v>0</v>
      </c>
      <c r="R12" s="1">
        <v>167</v>
      </c>
      <c r="S12" s="1"/>
      <c r="T12" s="1"/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/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1</v>
      </c>
      <c r="BU12" s="1">
        <v>0</v>
      </c>
      <c r="BV12" s="1">
        <v>1</v>
      </c>
      <c r="BW12" s="1">
        <v>0</v>
      </c>
      <c r="BX12" s="1">
        <v>0</v>
      </c>
      <c r="BY12" s="1" t="s">
        <v>3</v>
      </c>
      <c r="BZ12" s="1" t="s">
        <v>8</v>
      </c>
      <c r="CA12" s="1" t="s">
        <v>9</v>
      </c>
      <c r="CB12" s="1" t="s">
        <v>9</v>
      </c>
      <c r="CC12" s="1" t="s">
        <v>9</v>
      </c>
      <c r="CD12" s="1" t="s">
        <v>9</v>
      </c>
      <c r="CE12" s="1" t="s">
        <v>10</v>
      </c>
      <c r="CF12" s="1">
        <v>0</v>
      </c>
      <c r="CG12" s="1">
        <v>0</v>
      </c>
      <c r="CH12" s="1">
        <v>8200</v>
      </c>
      <c r="CI12" s="1" t="s">
        <v>3</v>
      </c>
      <c r="CJ12" s="1" t="s">
        <v>3</v>
      </c>
      <c r="CK12" s="1">
        <v>45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 x14ac:dyDescent="0.2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45" x14ac:dyDescent="0.2">
      <c r="A18" s="2">
        <v>52</v>
      </c>
      <c r="B18" s="2">
        <f t="shared" ref="B18:G18" si="0">B470</f>
        <v>502</v>
      </c>
      <c r="C18" s="2">
        <f t="shared" si="0"/>
        <v>1</v>
      </c>
      <c r="D18" s="2">
        <f t="shared" si="0"/>
        <v>12</v>
      </c>
      <c r="E18" s="2">
        <f t="shared" si="0"/>
        <v>0</v>
      </c>
      <c r="F18" s="2" t="str">
        <f t="shared" si="0"/>
        <v>04-18-04.1</v>
      </c>
      <c r="G18" s="2" t="str">
        <f t="shared" si="0"/>
        <v>04-18-04.1 Наружное электроснабжение</v>
      </c>
      <c r="H18" s="2"/>
      <c r="I18" s="2"/>
      <c r="J18" s="2"/>
      <c r="K18" s="2"/>
      <c r="L18" s="2"/>
      <c r="M18" s="2"/>
      <c r="N18" s="2"/>
      <c r="O18" s="2">
        <f t="shared" ref="O18:AT18" si="1">O470</f>
        <v>9687633.9700000007</v>
      </c>
      <c r="P18" s="2">
        <f t="shared" si="1"/>
        <v>6112992.8200000003</v>
      </c>
      <c r="Q18" s="2">
        <f t="shared" si="1"/>
        <v>1180419.8799999999</v>
      </c>
      <c r="R18" s="2">
        <f t="shared" si="1"/>
        <v>502876.4</v>
      </c>
      <c r="S18" s="2">
        <f t="shared" si="1"/>
        <v>2394221.27</v>
      </c>
      <c r="T18" s="2">
        <f t="shared" si="1"/>
        <v>0</v>
      </c>
      <c r="U18" s="2">
        <f t="shared" si="1"/>
        <v>8752.443617429999</v>
      </c>
      <c r="V18" s="2">
        <f t="shared" si="1"/>
        <v>0</v>
      </c>
      <c r="W18" s="2">
        <f t="shared" si="1"/>
        <v>0</v>
      </c>
      <c r="X18" s="2">
        <f t="shared" si="1"/>
        <v>1862104.57</v>
      </c>
      <c r="Y18" s="2">
        <f t="shared" si="1"/>
        <v>1066406.1000000001</v>
      </c>
      <c r="Z18" s="2">
        <f t="shared" si="1"/>
        <v>0</v>
      </c>
      <c r="AA18" s="2">
        <f t="shared" si="1"/>
        <v>0</v>
      </c>
      <c r="AB18" s="2">
        <f t="shared" si="1"/>
        <v>0</v>
      </c>
      <c r="AC18" s="2">
        <f t="shared" si="1"/>
        <v>0</v>
      </c>
      <c r="AD18" s="2">
        <f t="shared" si="1"/>
        <v>0</v>
      </c>
      <c r="AE18" s="2">
        <f t="shared" si="1"/>
        <v>0</v>
      </c>
      <c r="AF18" s="2">
        <f t="shared" si="1"/>
        <v>0</v>
      </c>
      <c r="AG18" s="2">
        <f t="shared" si="1"/>
        <v>0</v>
      </c>
      <c r="AH18" s="2">
        <f t="shared" si="1"/>
        <v>0</v>
      </c>
      <c r="AI18" s="2">
        <f t="shared" si="1"/>
        <v>0</v>
      </c>
      <c r="AJ18" s="2">
        <f t="shared" si="1"/>
        <v>0</v>
      </c>
      <c r="AK18" s="2">
        <f t="shared" si="1"/>
        <v>0</v>
      </c>
      <c r="AL18" s="2">
        <f t="shared" si="1"/>
        <v>0</v>
      </c>
      <c r="AM18" s="2">
        <f t="shared" si="1"/>
        <v>0</v>
      </c>
      <c r="AN18" s="2">
        <f t="shared" si="1"/>
        <v>0</v>
      </c>
      <c r="AO18" s="2">
        <f t="shared" si="1"/>
        <v>0</v>
      </c>
      <c r="AP18" s="2">
        <f t="shared" si="1"/>
        <v>1219962.54</v>
      </c>
      <c r="AQ18" s="2">
        <f t="shared" si="1"/>
        <v>0</v>
      </c>
      <c r="AR18" s="2">
        <f t="shared" si="1"/>
        <v>13455948.24</v>
      </c>
      <c r="AS18" s="2">
        <f t="shared" si="1"/>
        <v>4438817.1500000004</v>
      </c>
      <c r="AT18" s="2">
        <f t="shared" si="1"/>
        <v>3987980.51</v>
      </c>
      <c r="AU18" s="2">
        <f t="shared" ref="AU18:BZ18" si="2">AU470</f>
        <v>3809188.04</v>
      </c>
      <c r="AV18" s="2">
        <f t="shared" si="2"/>
        <v>6112992.8200000003</v>
      </c>
      <c r="AW18" s="2">
        <f t="shared" si="2"/>
        <v>4893030.28</v>
      </c>
      <c r="AX18" s="2">
        <f t="shared" si="2"/>
        <v>0</v>
      </c>
      <c r="AY18" s="2">
        <f t="shared" si="2"/>
        <v>4893030.28</v>
      </c>
      <c r="AZ18" s="2">
        <f t="shared" si="2"/>
        <v>1219962.54</v>
      </c>
      <c r="BA18" s="2">
        <f t="shared" si="2"/>
        <v>0</v>
      </c>
      <c r="BB18" s="2">
        <f t="shared" si="2"/>
        <v>0</v>
      </c>
      <c r="BC18" s="2">
        <f t="shared" si="2"/>
        <v>0</v>
      </c>
      <c r="BD18" s="2">
        <f t="shared" si="2"/>
        <v>0</v>
      </c>
      <c r="BE18" s="2">
        <f t="shared" si="2"/>
        <v>0</v>
      </c>
      <c r="BF18" s="2">
        <f t="shared" si="2"/>
        <v>0</v>
      </c>
      <c r="BG18" s="2">
        <f t="shared" si="2"/>
        <v>0</v>
      </c>
      <c r="BH18" s="2">
        <f t="shared" si="2"/>
        <v>0</v>
      </c>
      <c r="BI18" s="2">
        <f t="shared" si="2"/>
        <v>0</v>
      </c>
      <c r="BJ18" s="2">
        <f t="shared" si="2"/>
        <v>0</v>
      </c>
      <c r="BK18" s="2">
        <f t="shared" si="2"/>
        <v>0</v>
      </c>
      <c r="BL18" s="2">
        <f t="shared" si="2"/>
        <v>0</v>
      </c>
      <c r="BM18" s="2">
        <f t="shared" si="2"/>
        <v>0</v>
      </c>
      <c r="BN18" s="2">
        <f t="shared" si="2"/>
        <v>0</v>
      </c>
      <c r="BO18" s="2">
        <f t="shared" si="2"/>
        <v>0</v>
      </c>
      <c r="BP18" s="2">
        <f t="shared" si="2"/>
        <v>0</v>
      </c>
      <c r="BQ18" s="2">
        <f t="shared" si="2"/>
        <v>0</v>
      </c>
      <c r="BR18" s="2">
        <f t="shared" si="2"/>
        <v>0</v>
      </c>
      <c r="BS18" s="2">
        <f t="shared" si="2"/>
        <v>0</v>
      </c>
      <c r="BT18" s="2">
        <f t="shared" si="2"/>
        <v>0</v>
      </c>
      <c r="BU18" s="2">
        <f t="shared" si="2"/>
        <v>0</v>
      </c>
      <c r="BV18" s="2">
        <f t="shared" si="2"/>
        <v>0</v>
      </c>
      <c r="BW18" s="2">
        <f t="shared" si="2"/>
        <v>0</v>
      </c>
      <c r="BX18" s="2">
        <f t="shared" si="2"/>
        <v>0</v>
      </c>
      <c r="BY18" s="2">
        <f t="shared" si="2"/>
        <v>0</v>
      </c>
      <c r="BZ18" s="2">
        <f t="shared" si="2"/>
        <v>0</v>
      </c>
      <c r="CA18" s="2">
        <f t="shared" ref="CA18:DF18" si="3">CA470</f>
        <v>0</v>
      </c>
      <c r="CB18" s="2">
        <f t="shared" si="3"/>
        <v>0</v>
      </c>
      <c r="CC18" s="2">
        <f t="shared" si="3"/>
        <v>0</v>
      </c>
      <c r="CD18" s="2">
        <f t="shared" si="3"/>
        <v>0</v>
      </c>
      <c r="CE18" s="2">
        <f t="shared" si="3"/>
        <v>0</v>
      </c>
      <c r="CF18" s="2">
        <f t="shared" si="3"/>
        <v>0</v>
      </c>
      <c r="CG18" s="2">
        <f t="shared" si="3"/>
        <v>0</v>
      </c>
      <c r="CH18" s="2">
        <f t="shared" si="3"/>
        <v>0</v>
      </c>
      <c r="CI18" s="2">
        <f t="shared" si="3"/>
        <v>0</v>
      </c>
      <c r="CJ18" s="2">
        <f t="shared" si="3"/>
        <v>0</v>
      </c>
      <c r="CK18" s="2">
        <f t="shared" si="3"/>
        <v>0</v>
      </c>
      <c r="CL18" s="2">
        <f t="shared" si="3"/>
        <v>0</v>
      </c>
      <c r="CM18" s="2">
        <f t="shared" si="3"/>
        <v>0</v>
      </c>
      <c r="CN18" s="2">
        <f t="shared" si="3"/>
        <v>0</v>
      </c>
      <c r="CO18" s="2">
        <f t="shared" si="3"/>
        <v>0</v>
      </c>
      <c r="CP18" s="2">
        <f t="shared" si="3"/>
        <v>0</v>
      </c>
      <c r="CQ18" s="2">
        <f t="shared" si="3"/>
        <v>0</v>
      </c>
      <c r="CR18" s="2">
        <f t="shared" si="3"/>
        <v>0</v>
      </c>
      <c r="CS18" s="2">
        <f t="shared" si="3"/>
        <v>0</v>
      </c>
      <c r="CT18" s="2">
        <f t="shared" si="3"/>
        <v>0</v>
      </c>
      <c r="CU18" s="2">
        <f t="shared" si="3"/>
        <v>0</v>
      </c>
      <c r="CV18" s="2">
        <f t="shared" si="3"/>
        <v>0</v>
      </c>
      <c r="CW18" s="2">
        <f t="shared" si="3"/>
        <v>0</v>
      </c>
      <c r="CX18" s="2">
        <f t="shared" si="3"/>
        <v>0</v>
      </c>
      <c r="CY18" s="2">
        <f t="shared" si="3"/>
        <v>0</v>
      </c>
      <c r="CZ18" s="2">
        <f t="shared" si="3"/>
        <v>0</v>
      </c>
      <c r="DA18" s="2">
        <f t="shared" si="3"/>
        <v>0</v>
      </c>
      <c r="DB18" s="2">
        <f t="shared" si="3"/>
        <v>0</v>
      </c>
      <c r="DC18" s="2">
        <f t="shared" si="3"/>
        <v>0</v>
      </c>
      <c r="DD18" s="2">
        <f t="shared" si="3"/>
        <v>0</v>
      </c>
      <c r="DE18" s="2">
        <f t="shared" si="3"/>
        <v>0</v>
      </c>
      <c r="DF18" s="2">
        <f t="shared" si="3"/>
        <v>0</v>
      </c>
      <c r="DG18" s="3">
        <f t="shared" ref="DG18:EL18" si="4">DG470</f>
        <v>0</v>
      </c>
      <c r="DH18" s="3">
        <f t="shared" si="4"/>
        <v>0</v>
      </c>
      <c r="DI18" s="3">
        <f t="shared" si="4"/>
        <v>0</v>
      </c>
      <c r="DJ18" s="3">
        <f t="shared" si="4"/>
        <v>0</v>
      </c>
      <c r="DK18" s="3">
        <f t="shared" si="4"/>
        <v>0</v>
      </c>
      <c r="DL18" s="3">
        <f t="shared" si="4"/>
        <v>0</v>
      </c>
      <c r="DM18" s="3">
        <f t="shared" si="4"/>
        <v>0</v>
      </c>
      <c r="DN18" s="3">
        <f t="shared" si="4"/>
        <v>0</v>
      </c>
      <c r="DO18" s="3">
        <f t="shared" si="4"/>
        <v>0</v>
      </c>
      <c r="DP18" s="3">
        <f t="shared" si="4"/>
        <v>0</v>
      </c>
      <c r="DQ18" s="3">
        <f t="shared" si="4"/>
        <v>0</v>
      </c>
      <c r="DR18" s="3">
        <f t="shared" si="4"/>
        <v>0</v>
      </c>
      <c r="DS18" s="3">
        <f t="shared" si="4"/>
        <v>0</v>
      </c>
      <c r="DT18" s="3">
        <f t="shared" si="4"/>
        <v>0</v>
      </c>
      <c r="DU18" s="3">
        <f t="shared" si="4"/>
        <v>0</v>
      </c>
      <c r="DV18" s="3">
        <f t="shared" si="4"/>
        <v>0</v>
      </c>
      <c r="DW18" s="3">
        <f t="shared" si="4"/>
        <v>0</v>
      </c>
      <c r="DX18" s="3">
        <f t="shared" si="4"/>
        <v>0</v>
      </c>
      <c r="DY18" s="3">
        <f t="shared" si="4"/>
        <v>0</v>
      </c>
      <c r="DZ18" s="3">
        <f t="shared" si="4"/>
        <v>0</v>
      </c>
      <c r="EA18" s="3">
        <f t="shared" si="4"/>
        <v>0</v>
      </c>
      <c r="EB18" s="3">
        <f t="shared" si="4"/>
        <v>0</v>
      </c>
      <c r="EC18" s="3">
        <f t="shared" si="4"/>
        <v>0</v>
      </c>
      <c r="ED18" s="3">
        <f t="shared" si="4"/>
        <v>0</v>
      </c>
      <c r="EE18" s="3">
        <f t="shared" si="4"/>
        <v>0</v>
      </c>
      <c r="EF18" s="3">
        <f t="shared" si="4"/>
        <v>0</v>
      </c>
      <c r="EG18" s="3">
        <f t="shared" si="4"/>
        <v>0</v>
      </c>
      <c r="EH18" s="3">
        <f t="shared" si="4"/>
        <v>0</v>
      </c>
      <c r="EI18" s="3">
        <f t="shared" si="4"/>
        <v>0</v>
      </c>
      <c r="EJ18" s="3">
        <f t="shared" si="4"/>
        <v>0</v>
      </c>
      <c r="EK18" s="3">
        <f t="shared" si="4"/>
        <v>0</v>
      </c>
      <c r="EL18" s="3">
        <f t="shared" si="4"/>
        <v>0</v>
      </c>
      <c r="EM18" s="3">
        <f t="shared" ref="EM18:FR18" si="5">EM470</f>
        <v>0</v>
      </c>
      <c r="EN18" s="3">
        <f t="shared" si="5"/>
        <v>0</v>
      </c>
      <c r="EO18" s="3">
        <f t="shared" si="5"/>
        <v>0</v>
      </c>
      <c r="EP18" s="3">
        <f t="shared" si="5"/>
        <v>0</v>
      </c>
      <c r="EQ18" s="3">
        <f t="shared" si="5"/>
        <v>0</v>
      </c>
      <c r="ER18" s="3">
        <f t="shared" si="5"/>
        <v>0</v>
      </c>
      <c r="ES18" s="3">
        <f t="shared" si="5"/>
        <v>0</v>
      </c>
      <c r="ET18" s="3">
        <f t="shared" si="5"/>
        <v>0</v>
      </c>
      <c r="EU18" s="3">
        <f t="shared" si="5"/>
        <v>0</v>
      </c>
      <c r="EV18" s="3">
        <f t="shared" si="5"/>
        <v>0</v>
      </c>
      <c r="EW18" s="3">
        <f t="shared" si="5"/>
        <v>0</v>
      </c>
      <c r="EX18" s="3">
        <f t="shared" si="5"/>
        <v>0</v>
      </c>
      <c r="EY18" s="3">
        <f t="shared" si="5"/>
        <v>0</v>
      </c>
      <c r="EZ18" s="3">
        <f t="shared" si="5"/>
        <v>0</v>
      </c>
      <c r="FA18" s="3">
        <f t="shared" si="5"/>
        <v>0</v>
      </c>
      <c r="FB18" s="3">
        <f t="shared" si="5"/>
        <v>0</v>
      </c>
      <c r="FC18" s="3">
        <f t="shared" si="5"/>
        <v>0</v>
      </c>
      <c r="FD18" s="3">
        <f t="shared" si="5"/>
        <v>0</v>
      </c>
      <c r="FE18" s="3">
        <f t="shared" si="5"/>
        <v>0</v>
      </c>
      <c r="FF18" s="3">
        <f t="shared" si="5"/>
        <v>0</v>
      </c>
      <c r="FG18" s="3">
        <f t="shared" si="5"/>
        <v>0</v>
      </c>
      <c r="FH18" s="3">
        <f t="shared" si="5"/>
        <v>0</v>
      </c>
      <c r="FI18" s="3">
        <f t="shared" si="5"/>
        <v>0</v>
      </c>
      <c r="FJ18" s="3">
        <f t="shared" si="5"/>
        <v>0</v>
      </c>
      <c r="FK18" s="3">
        <f t="shared" si="5"/>
        <v>0</v>
      </c>
      <c r="FL18" s="3">
        <f t="shared" si="5"/>
        <v>0</v>
      </c>
      <c r="FM18" s="3">
        <f t="shared" si="5"/>
        <v>0</v>
      </c>
      <c r="FN18" s="3">
        <f t="shared" si="5"/>
        <v>0</v>
      </c>
      <c r="FO18" s="3">
        <f t="shared" si="5"/>
        <v>0</v>
      </c>
      <c r="FP18" s="3">
        <f t="shared" si="5"/>
        <v>0</v>
      </c>
      <c r="FQ18" s="3">
        <f t="shared" si="5"/>
        <v>0</v>
      </c>
      <c r="FR18" s="3">
        <f t="shared" si="5"/>
        <v>0</v>
      </c>
      <c r="FS18" s="3">
        <f t="shared" ref="FS18:GX18" si="6">FS470</f>
        <v>0</v>
      </c>
      <c r="FT18" s="3">
        <f t="shared" si="6"/>
        <v>0</v>
      </c>
      <c r="FU18" s="3">
        <f t="shared" si="6"/>
        <v>0</v>
      </c>
      <c r="FV18" s="3">
        <f t="shared" si="6"/>
        <v>0</v>
      </c>
      <c r="FW18" s="3">
        <f t="shared" si="6"/>
        <v>0</v>
      </c>
      <c r="FX18" s="3">
        <f t="shared" si="6"/>
        <v>0</v>
      </c>
      <c r="FY18" s="3">
        <f t="shared" si="6"/>
        <v>0</v>
      </c>
      <c r="FZ18" s="3">
        <f t="shared" si="6"/>
        <v>0</v>
      </c>
      <c r="GA18" s="3">
        <f t="shared" si="6"/>
        <v>0</v>
      </c>
      <c r="GB18" s="3">
        <f t="shared" si="6"/>
        <v>0</v>
      </c>
      <c r="GC18" s="3">
        <f t="shared" si="6"/>
        <v>0</v>
      </c>
      <c r="GD18" s="3">
        <f t="shared" si="6"/>
        <v>0</v>
      </c>
      <c r="GE18" s="3">
        <f t="shared" si="6"/>
        <v>0</v>
      </c>
      <c r="GF18" s="3">
        <f t="shared" si="6"/>
        <v>0</v>
      </c>
      <c r="GG18" s="3">
        <f t="shared" si="6"/>
        <v>0</v>
      </c>
      <c r="GH18" s="3">
        <f t="shared" si="6"/>
        <v>0</v>
      </c>
      <c r="GI18" s="3">
        <f t="shared" si="6"/>
        <v>0</v>
      </c>
      <c r="GJ18" s="3">
        <f t="shared" si="6"/>
        <v>0</v>
      </c>
      <c r="GK18" s="3">
        <f t="shared" si="6"/>
        <v>0</v>
      </c>
      <c r="GL18" s="3">
        <f t="shared" si="6"/>
        <v>0</v>
      </c>
      <c r="GM18" s="3">
        <f t="shared" si="6"/>
        <v>0</v>
      </c>
      <c r="GN18" s="3">
        <f t="shared" si="6"/>
        <v>0</v>
      </c>
      <c r="GO18" s="3">
        <f t="shared" si="6"/>
        <v>0</v>
      </c>
      <c r="GP18" s="3">
        <f t="shared" si="6"/>
        <v>0</v>
      </c>
      <c r="GQ18" s="3">
        <f t="shared" si="6"/>
        <v>0</v>
      </c>
      <c r="GR18" s="3">
        <f t="shared" si="6"/>
        <v>0</v>
      </c>
      <c r="GS18" s="3">
        <f t="shared" si="6"/>
        <v>0</v>
      </c>
      <c r="GT18" s="3">
        <f t="shared" si="6"/>
        <v>0</v>
      </c>
      <c r="GU18" s="3">
        <f t="shared" si="6"/>
        <v>0</v>
      </c>
      <c r="GV18" s="3">
        <f t="shared" si="6"/>
        <v>0</v>
      </c>
      <c r="GW18" s="3">
        <f t="shared" si="6"/>
        <v>0</v>
      </c>
      <c r="GX18" s="3">
        <f t="shared" si="6"/>
        <v>0</v>
      </c>
    </row>
    <row r="20" spans="1:245" x14ac:dyDescent="0.2">
      <c r="A20" s="1">
        <v>3</v>
      </c>
      <c r="B20" s="1">
        <v>1</v>
      </c>
      <c r="C20" s="1"/>
      <c r="D20" s="1">
        <f>ROW(A441)</f>
        <v>441</v>
      </c>
      <c r="E20" s="1"/>
      <c r="F20" s="1" t="s">
        <v>534</v>
      </c>
      <c r="G20" s="1" t="s">
        <v>12</v>
      </c>
      <c r="H20" s="1" t="s">
        <v>3</v>
      </c>
      <c r="I20" s="1">
        <v>0</v>
      </c>
      <c r="J20" s="1" t="s">
        <v>3</v>
      </c>
      <c r="K20" s="1">
        <v>-1</v>
      </c>
      <c r="L20" s="1" t="s">
        <v>3</v>
      </c>
      <c r="M20" s="1"/>
      <c r="N20" s="1"/>
      <c r="O20" s="1"/>
      <c r="P20" s="1"/>
      <c r="Q20" s="1"/>
      <c r="R20" s="1"/>
      <c r="S20" s="1"/>
      <c r="T20" s="1"/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</row>
    <row r="22" spans="1:245" x14ac:dyDescent="0.2">
      <c r="A22" s="2">
        <v>52</v>
      </c>
      <c r="B22" s="2">
        <f t="shared" ref="B22:G22" si="7">B441</f>
        <v>1</v>
      </c>
      <c r="C22" s="2">
        <f t="shared" si="7"/>
        <v>3</v>
      </c>
      <c r="D22" s="2">
        <f t="shared" si="7"/>
        <v>20</v>
      </c>
      <c r="E22" s="2">
        <f t="shared" si="7"/>
        <v>0</v>
      </c>
      <c r="F22" s="2" t="str">
        <f t="shared" si="7"/>
        <v>04-14-04.1</v>
      </c>
      <c r="G22" s="2" t="str">
        <f t="shared" si="7"/>
        <v>Наружное электроснабжение</v>
      </c>
      <c r="H22" s="2"/>
      <c r="I22" s="2"/>
      <c r="J22" s="2"/>
      <c r="K22" s="2"/>
      <c r="L22" s="2"/>
      <c r="M22" s="2"/>
      <c r="N22" s="2"/>
      <c r="O22" s="2">
        <f t="shared" ref="O22:AT22" si="8">O441</f>
        <v>9687633.9700000007</v>
      </c>
      <c r="P22" s="2">
        <f t="shared" si="8"/>
        <v>6112992.8200000003</v>
      </c>
      <c r="Q22" s="2">
        <f t="shared" si="8"/>
        <v>1180419.8799999999</v>
      </c>
      <c r="R22" s="2">
        <f t="shared" si="8"/>
        <v>502876.4</v>
      </c>
      <c r="S22" s="2">
        <f t="shared" si="8"/>
        <v>2394221.27</v>
      </c>
      <c r="T22" s="2">
        <f t="shared" si="8"/>
        <v>0</v>
      </c>
      <c r="U22" s="2">
        <f t="shared" si="8"/>
        <v>8752.443617429999</v>
      </c>
      <c r="V22" s="2">
        <f t="shared" si="8"/>
        <v>0</v>
      </c>
      <c r="W22" s="2">
        <f t="shared" si="8"/>
        <v>0</v>
      </c>
      <c r="X22" s="2">
        <f t="shared" si="8"/>
        <v>1862104.57</v>
      </c>
      <c r="Y22" s="2">
        <f t="shared" si="8"/>
        <v>1066406.1000000001</v>
      </c>
      <c r="Z22" s="2">
        <f t="shared" si="8"/>
        <v>0</v>
      </c>
      <c r="AA22" s="2">
        <f t="shared" si="8"/>
        <v>0</v>
      </c>
      <c r="AB22" s="2">
        <f t="shared" si="8"/>
        <v>0</v>
      </c>
      <c r="AC22" s="2">
        <f t="shared" si="8"/>
        <v>0</v>
      </c>
      <c r="AD22" s="2">
        <f t="shared" si="8"/>
        <v>0</v>
      </c>
      <c r="AE22" s="2">
        <f t="shared" si="8"/>
        <v>0</v>
      </c>
      <c r="AF22" s="2">
        <f t="shared" si="8"/>
        <v>0</v>
      </c>
      <c r="AG22" s="2">
        <f t="shared" si="8"/>
        <v>0</v>
      </c>
      <c r="AH22" s="2">
        <f t="shared" si="8"/>
        <v>0</v>
      </c>
      <c r="AI22" s="2">
        <f t="shared" si="8"/>
        <v>0</v>
      </c>
      <c r="AJ22" s="2">
        <f t="shared" si="8"/>
        <v>0</v>
      </c>
      <c r="AK22" s="2">
        <f t="shared" si="8"/>
        <v>0</v>
      </c>
      <c r="AL22" s="2">
        <f t="shared" si="8"/>
        <v>0</v>
      </c>
      <c r="AM22" s="2">
        <f t="shared" si="8"/>
        <v>0</v>
      </c>
      <c r="AN22" s="2">
        <f t="shared" si="8"/>
        <v>0</v>
      </c>
      <c r="AO22" s="2">
        <f t="shared" si="8"/>
        <v>0</v>
      </c>
      <c r="AP22" s="2">
        <f t="shared" si="8"/>
        <v>1219962.54</v>
      </c>
      <c r="AQ22" s="2">
        <f t="shared" si="8"/>
        <v>0</v>
      </c>
      <c r="AR22" s="2">
        <f t="shared" si="8"/>
        <v>13455948.24</v>
      </c>
      <c r="AS22" s="2">
        <f t="shared" si="8"/>
        <v>4438817.1500000004</v>
      </c>
      <c r="AT22" s="2">
        <f t="shared" si="8"/>
        <v>3987980.51</v>
      </c>
      <c r="AU22" s="2">
        <f t="shared" ref="AU22:BZ22" si="9">AU441</f>
        <v>3809188.04</v>
      </c>
      <c r="AV22" s="2">
        <f t="shared" si="9"/>
        <v>6112992.8200000003</v>
      </c>
      <c r="AW22" s="2">
        <f t="shared" si="9"/>
        <v>4893030.28</v>
      </c>
      <c r="AX22" s="2">
        <f t="shared" si="9"/>
        <v>0</v>
      </c>
      <c r="AY22" s="2">
        <f t="shared" si="9"/>
        <v>4893030.28</v>
      </c>
      <c r="AZ22" s="2">
        <f t="shared" si="9"/>
        <v>1219962.54</v>
      </c>
      <c r="BA22" s="2">
        <f t="shared" si="9"/>
        <v>0</v>
      </c>
      <c r="BB22" s="2">
        <f t="shared" si="9"/>
        <v>0</v>
      </c>
      <c r="BC22" s="2">
        <f t="shared" si="9"/>
        <v>0</v>
      </c>
      <c r="BD22" s="2">
        <f t="shared" si="9"/>
        <v>0</v>
      </c>
      <c r="BE22" s="2">
        <f t="shared" si="9"/>
        <v>0</v>
      </c>
      <c r="BF22" s="2">
        <f t="shared" si="9"/>
        <v>0</v>
      </c>
      <c r="BG22" s="2">
        <f t="shared" si="9"/>
        <v>0</v>
      </c>
      <c r="BH22" s="2">
        <f t="shared" si="9"/>
        <v>0</v>
      </c>
      <c r="BI22" s="2">
        <f t="shared" si="9"/>
        <v>0</v>
      </c>
      <c r="BJ22" s="2">
        <f t="shared" si="9"/>
        <v>0</v>
      </c>
      <c r="BK22" s="2">
        <f t="shared" si="9"/>
        <v>0</v>
      </c>
      <c r="BL22" s="2">
        <f t="shared" si="9"/>
        <v>0</v>
      </c>
      <c r="BM22" s="2">
        <f t="shared" si="9"/>
        <v>0</v>
      </c>
      <c r="BN22" s="2">
        <f t="shared" si="9"/>
        <v>0</v>
      </c>
      <c r="BO22" s="2">
        <f t="shared" si="9"/>
        <v>0</v>
      </c>
      <c r="BP22" s="2">
        <f t="shared" si="9"/>
        <v>0</v>
      </c>
      <c r="BQ22" s="2">
        <f t="shared" si="9"/>
        <v>0</v>
      </c>
      <c r="BR22" s="2">
        <f t="shared" si="9"/>
        <v>0</v>
      </c>
      <c r="BS22" s="2">
        <f t="shared" si="9"/>
        <v>0</v>
      </c>
      <c r="BT22" s="2">
        <f t="shared" si="9"/>
        <v>0</v>
      </c>
      <c r="BU22" s="2">
        <f t="shared" si="9"/>
        <v>0</v>
      </c>
      <c r="BV22" s="2">
        <f t="shared" si="9"/>
        <v>0</v>
      </c>
      <c r="BW22" s="2">
        <f t="shared" si="9"/>
        <v>0</v>
      </c>
      <c r="BX22" s="2">
        <f t="shared" si="9"/>
        <v>0</v>
      </c>
      <c r="BY22" s="2">
        <f t="shared" si="9"/>
        <v>0</v>
      </c>
      <c r="BZ22" s="2">
        <f t="shared" si="9"/>
        <v>0</v>
      </c>
      <c r="CA22" s="2">
        <f t="shared" ref="CA22:DF22" si="10">CA441</f>
        <v>0</v>
      </c>
      <c r="CB22" s="2">
        <f t="shared" si="10"/>
        <v>0</v>
      </c>
      <c r="CC22" s="2">
        <f t="shared" si="10"/>
        <v>0</v>
      </c>
      <c r="CD22" s="2">
        <f t="shared" si="10"/>
        <v>0</v>
      </c>
      <c r="CE22" s="2">
        <f t="shared" si="10"/>
        <v>0</v>
      </c>
      <c r="CF22" s="2">
        <f t="shared" si="10"/>
        <v>0</v>
      </c>
      <c r="CG22" s="2">
        <f t="shared" si="10"/>
        <v>0</v>
      </c>
      <c r="CH22" s="2">
        <f t="shared" si="10"/>
        <v>0</v>
      </c>
      <c r="CI22" s="2">
        <f t="shared" si="10"/>
        <v>0</v>
      </c>
      <c r="CJ22" s="2">
        <f t="shared" si="10"/>
        <v>0</v>
      </c>
      <c r="CK22" s="2">
        <f t="shared" si="10"/>
        <v>0</v>
      </c>
      <c r="CL22" s="2">
        <f t="shared" si="10"/>
        <v>0</v>
      </c>
      <c r="CM22" s="2">
        <f t="shared" si="10"/>
        <v>0</v>
      </c>
      <c r="CN22" s="2">
        <f t="shared" si="10"/>
        <v>0</v>
      </c>
      <c r="CO22" s="2">
        <f t="shared" si="10"/>
        <v>0</v>
      </c>
      <c r="CP22" s="2">
        <f t="shared" si="10"/>
        <v>0</v>
      </c>
      <c r="CQ22" s="2">
        <f t="shared" si="10"/>
        <v>0</v>
      </c>
      <c r="CR22" s="2">
        <f t="shared" si="10"/>
        <v>0</v>
      </c>
      <c r="CS22" s="2">
        <f t="shared" si="10"/>
        <v>0</v>
      </c>
      <c r="CT22" s="2">
        <f t="shared" si="10"/>
        <v>0</v>
      </c>
      <c r="CU22" s="2">
        <f t="shared" si="10"/>
        <v>0</v>
      </c>
      <c r="CV22" s="2">
        <f t="shared" si="10"/>
        <v>0</v>
      </c>
      <c r="CW22" s="2">
        <f t="shared" si="10"/>
        <v>0</v>
      </c>
      <c r="CX22" s="2">
        <f t="shared" si="10"/>
        <v>0</v>
      </c>
      <c r="CY22" s="2">
        <f t="shared" si="10"/>
        <v>0</v>
      </c>
      <c r="CZ22" s="2">
        <f t="shared" si="10"/>
        <v>0</v>
      </c>
      <c r="DA22" s="2">
        <f t="shared" si="10"/>
        <v>0</v>
      </c>
      <c r="DB22" s="2">
        <f t="shared" si="10"/>
        <v>0</v>
      </c>
      <c r="DC22" s="2">
        <f t="shared" si="10"/>
        <v>0</v>
      </c>
      <c r="DD22" s="2">
        <f t="shared" si="10"/>
        <v>0</v>
      </c>
      <c r="DE22" s="2">
        <f t="shared" si="10"/>
        <v>0</v>
      </c>
      <c r="DF22" s="2">
        <f t="shared" si="10"/>
        <v>0</v>
      </c>
      <c r="DG22" s="3">
        <f t="shared" ref="DG22:EL22" si="11">DG441</f>
        <v>0</v>
      </c>
      <c r="DH22" s="3">
        <f t="shared" si="11"/>
        <v>0</v>
      </c>
      <c r="DI22" s="3">
        <f t="shared" si="11"/>
        <v>0</v>
      </c>
      <c r="DJ22" s="3">
        <f t="shared" si="11"/>
        <v>0</v>
      </c>
      <c r="DK22" s="3">
        <f t="shared" si="11"/>
        <v>0</v>
      </c>
      <c r="DL22" s="3">
        <f t="shared" si="11"/>
        <v>0</v>
      </c>
      <c r="DM22" s="3">
        <f t="shared" si="11"/>
        <v>0</v>
      </c>
      <c r="DN22" s="3">
        <f t="shared" si="11"/>
        <v>0</v>
      </c>
      <c r="DO22" s="3">
        <f t="shared" si="11"/>
        <v>0</v>
      </c>
      <c r="DP22" s="3">
        <f t="shared" si="11"/>
        <v>0</v>
      </c>
      <c r="DQ22" s="3">
        <f t="shared" si="11"/>
        <v>0</v>
      </c>
      <c r="DR22" s="3">
        <f t="shared" si="11"/>
        <v>0</v>
      </c>
      <c r="DS22" s="3">
        <f t="shared" si="11"/>
        <v>0</v>
      </c>
      <c r="DT22" s="3">
        <f t="shared" si="11"/>
        <v>0</v>
      </c>
      <c r="DU22" s="3">
        <f t="shared" si="11"/>
        <v>0</v>
      </c>
      <c r="DV22" s="3">
        <f t="shared" si="11"/>
        <v>0</v>
      </c>
      <c r="DW22" s="3">
        <f t="shared" si="11"/>
        <v>0</v>
      </c>
      <c r="DX22" s="3">
        <f t="shared" si="11"/>
        <v>0</v>
      </c>
      <c r="DY22" s="3">
        <f t="shared" si="11"/>
        <v>0</v>
      </c>
      <c r="DZ22" s="3">
        <f t="shared" si="11"/>
        <v>0</v>
      </c>
      <c r="EA22" s="3">
        <f t="shared" si="11"/>
        <v>0</v>
      </c>
      <c r="EB22" s="3">
        <f t="shared" si="11"/>
        <v>0</v>
      </c>
      <c r="EC22" s="3">
        <f t="shared" si="11"/>
        <v>0</v>
      </c>
      <c r="ED22" s="3">
        <f t="shared" si="11"/>
        <v>0</v>
      </c>
      <c r="EE22" s="3">
        <f t="shared" si="11"/>
        <v>0</v>
      </c>
      <c r="EF22" s="3">
        <f t="shared" si="11"/>
        <v>0</v>
      </c>
      <c r="EG22" s="3">
        <f t="shared" si="11"/>
        <v>0</v>
      </c>
      <c r="EH22" s="3">
        <f t="shared" si="11"/>
        <v>0</v>
      </c>
      <c r="EI22" s="3">
        <f t="shared" si="11"/>
        <v>0</v>
      </c>
      <c r="EJ22" s="3">
        <f t="shared" si="11"/>
        <v>0</v>
      </c>
      <c r="EK22" s="3">
        <f t="shared" si="11"/>
        <v>0</v>
      </c>
      <c r="EL22" s="3">
        <f t="shared" si="11"/>
        <v>0</v>
      </c>
      <c r="EM22" s="3">
        <f t="shared" ref="EM22:FR22" si="12">EM441</f>
        <v>0</v>
      </c>
      <c r="EN22" s="3">
        <f t="shared" si="12"/>
        <v>0</v>
      </c>
      <c r="EO22" s="3">
        <f t="shared" si="12"/>
        <v>0</v>
      </c>
      <c r="EP22" s="3">
        <f t="shared" si="12"/>
        <v>0</v>
      </c>
      <c r="EQ22" s="3">
        <f t="shared" si="12"/>
        <v>0</v>
      </c>
      <c r="ER22" s="3">
        <f t="shared" si="12"/>
        <v>0</v>
      </c>
      <c r="ES22" s="3">
        <f t="shared" si="12"/>
        <v>0</v>
      </c>
      <c r="ET22" s="3">
        <f t="shared" si="12"/>
        <v>0</v>
      </c>
      <c r="EU22" s="3">
        <f t="shared" si="12"/>
        <v>0</v>
      </c>
      <c r="EV22" s="3">
        <f t="shared" si="12"/>
        <v>0</v>
      </c>
      <c r="EW22" s="3">
        <f t="shared" si="12"/>
        <v>0</v>
      </c>
      <c r="EX22" s="3">
        <f t="shared" si="12"/>
        <v>0</v>
      </c>
      <c r="EY22" s="3">
        <f t="shared" si="12"/>
        <v>0</v>
      </c>
      <c r="EZ22" s="3">
        <f t="shared" si="12"/>
        <v>0</v>
      </c>
      <c r="FA22" s="3">
        <f t="shared" si="12"/>
        <v>0</v>
      </c>
      <c r="FB22" s="3">
        <f t="shared" si="12"/>
        <v>0</v>
      </c>
      <c r="FC22" s="3">
        <f t="shared" si="12"/>
        <v>0</v>
      </c>
      <c r="FD22" s="3">
        <f t="shared" si="12"/>
        <v>0</v>
      </c>
      <c r="FE22" s="3">
        <f t="shared" si="12"/>
        <v>0</v>
      </c>
      <c r="FF22" s="3">
        <f t="shared" si="12"/>
        <v>0</v>
      </c>
      <c r="FG22" s="3">
        <f t="shared" si="12"/>
        <v>0</v>
      </c>
      <c r="FH22" s="3">
        <f t="shared" si="12"/>
        <v>0</v>
      </c>
      <c r="FI22" s="3">
        <f t="shared" si="12"/>
        <v>0</v>
      </c>
      <c r="FJ22" s="3">
        <f t="shared" si="12"/>
        <v>0</v>
      </c>
      <c r="FK22" s="3">
        <f t="shared" si="12"/>
        <v>0</v>
      </c>
      <c r="FL22" s="3">
        <f t="shared" si="12"/>
        <v>0</v>
      </c>
      <c r="FM22" s="3">
        <f t="shared" si="12"/>
        <v>0</v>
      </c>
      <c r="FN22" s="3">
        <f t="shared" si="12"/>
        <v>0</v>
      </c>
      <c r="FO22" s="3">
        <f t="shared" si="12"/>
        <v>0</v>
      </c>
      <c r="FP22" s="3">
        <f t="shared" si="12"/>
        <v>0</v>
      </c>
      <c r="FQ22" s="3">
        <f t="shared" si="12"/>
        <v>0</v>
      </c>
      <c r="FR22" s="3">
        <f t="shared" si="12"/>
        <v>0</v>
      </c>
      <c r="FS22" s="3">
        <f t="shared" ref="FS22:GX22" si="13">FS441</f>
        <v>0</v>
      </c>
      <c r="FT22" s="3">
        <f t="shared" si="13"/>
        <v>0</v>
      </c>
      <c r="FU22" s="3">
        <f t="shared" si="13"/>
        <v>0</v>
      </c>
      <c r="FV22" s="3">
        <f t="shared" si="13"/>
        <v>0</v>
      </c>
      <c r="FW22" s="3">
        <f t="shared" si="13"/>
        <v>0</v>
      </c>
      <c r="FX22" s="3">
        <f t="shared" si="13"/>
        <v>0</v>
      </c>
      <c r="FY22" s="3">
        <f t="shared" si="13"/>
        <v>0</v>
      </c>
      <c r="FZ22" s="3">
        <f t="shared" si="13"/>
        <v>0</v>
      </c>
      <c r="GA22" s="3">
        <f t="shared" si="13"/>
        <v>0</v>
      </c>
      <c r="GB22" s="3">
        <f t="shared" si="13"/>
        <v>0</v>
      </c>
      <c r="GC22" s="3">
        <f t="shared" si="13"/>
        <v>0</v>
      </c>
      <c r="GD22" s="3">
        <f t="shared" si="13"/>
        <v>0</v>
      </c>
      <c r="GE22" s="3">
        <f t="shared" si="13"/>
        <v>0</v>
      </c>
      <c r="GF22" s="3">
        <f t="shared" si="13"/>
        <v>0</v>
      </c>
      <c r="GG22" s="3">
        <f t="shared" si="13"/>
        <v>0</v>
      </c>
      <c r="GH22" s="3">
        <f t="shared" si="13"/>
        <v>0</v>
      </c>
      <c r="GI22" s="3">
        <f t="shared" si="13"/>
        <v>0</v>
      </c>
      <c r="GJ22" s="3">
        <f t="shared" si="13"/>
        <v>0</v>
      </c>
      <c r="GK22" s="3">
        <f t="shared" si="13"/>
        <v>0</v>
      </c>
      <c r="GL22" s="3">
        <f t="shared" si="13"/>
        <v>0</v>
      </c>
      <c r="GM22" s="3">
        <f t="shared" si="13"/>
        <v>0</v>
      </c>
      <c r="GN22" s="3">
        <f t="shared" si="13"/>
        <v>0</v>
      </c>
      <c r="GO22" s="3">
        <f t="shared" si="13"/>
        <v>0</v>
      </c>
      <c r="GP22" s="3">
        <f t="shared" si="13"/>
        <v>0</v>
      </c>
      <c r="GQ22" s="3">
        <f t="shared" si="13"/>
        <v>0</v>
      </c>
      <c r="GR22" s="3">
        <f t="shared" si="13"/>
        <v>0</v>
      </c>
      <c r="GS22" s="3">
        <f t="shared" si="13"/>
        <v>0</v>
      </c>
      <c r="GT22" s="3">
        <f t="shared" si="13"/>
        <v>0</v>
      </c>
      <c r="GU22" s="3">
        <f t="shared" si="13"/>
        <v>0</v>
      </c>
      <c r="GV22" s="3">
        <f t="shared" si="13"/>
        <v>0</v>
      </c>
      <c r="GW22" s="3">
        <f t="shared" si="13"/>
        <v>0</v>
      </c>
      <c r="GX22" s="3">
        <f t="shared" si="13"/>
        <v>0</v>
      </c>
    </row>
    <row r="24" spans="1:245" x14ac:dyDescent="0.2">
      <c r="A24" s="1">
        <v>4</v>
      </c>
      <c r="B24" s="1">
        <v>1</v>
      </c>
      <c r="C24" s="1"/>
      <c r="D24" s="1">
        <f>ROW(A412)</f>
        <v>412</v>
      </c>
      <c r="E24" s="1"/>
      <c r="F24" s="1" t="s">
        <v>13</v>
      </c>
      <c r="G24" s="1" t="s">
        <v>14</v>
      </c>
      <c r="H24" s="1" t="s">
        <v>3</v>
      </c>
      <c r="I24" s="1">
        <v>0</v>
      </c>
      <c r="J24" s="1"/>
      <c r="K24" s="1">
        <v>-1</v>
      </c>
      <c r="L24" s="1"/>
      <c r="M24" s="1"/>
      <c r="N24" s="1"/>
      <c r="O24" s="1"/>
      <c r="P24" s="1"/>
      <c r="Q24" s="1"/>
      <c r="R24" s="1"/>
      <c r="S24" s="1"/>
      <c r="T24" s="1"/>
      <c r="U24" s="1" t="s">
        <v>3</v>
      </c>
      <c r="V24" s="1">
        <v>0</v>
      </c>
      <c r="W24" s="1"/>
      <c r="X24" s="1"/>
      <c r="Y24" s="1"/>
      <c r="Z24" s="1"/>
      <c r="AA24" s="1"/>
      <c r="AB24" s="1" t="s">
        <v>3</v>
      </c>
      <c r="AC24" s="1" t="s">
        <v>3</v>
      </c>
      <c r="AD24" s="1" t="s">
        <v>3</v>
      </c>
      <c r="AE24" s="1" t="s">
        <v>3</v>
      </c>
      <c r="AF24" s="1" t="s">
        <v>3</v>
      </c>
      <c r="AG24" s="1" t="s">
        <v>3</v>
      </c>
      <c r="AH24" s="1"/>
      <c r="AI24" s="1"/>
      <c r="AJ24" s="1"/>
      <c r="AK24" s="1"/>
      <c r="AL24" s="1"/>
      <c r="AM24" s="1"/>
      <c r="AN24" s="1"/>
      <c r="AO24" s="1"/>
      <c r="AP24" s="1" t="s">
        <v>3</v>
      </c>
      <c r="AQ24" s="1" t="s">
        <v>3</v>
      </c>
      <c r="AR24" s="1" t="s">
        <v>3</v>
      </c>
      <c r="AS24" s="1"/>
      <c r="AT24" s="1"/>
      <c r="AU24" s="1"/>
      <c r="AV24" s="1"/>
      <c r="AW24" s="1"/>
      <c r="AX24" s="1"/>
      <c r="AY24" s="1"/>
      <c r="AZ24" s="1" t="s">
        <v>3</v>
      </c>
      <c r="BA24" s="1"/>
      <c r="BB24" s="1" t="s">
        <v>3</v>
      </c>
      <c r="BC24" s="1" t="s">
        <v>3</v>
      </c>
      <c r="BD24" s="1" t="s">
        <v>3</v>
      </c>
      <c r="BE24" s="1" t="s">
        <v>3</v>
      </c>
      <c r="BF24" s="1" t="s">
        <v>3</v>
      </c>
      <c r="BG24" s="1" t="s">
        <v>3</v>
      </c>
      <c r="BH24" s="1" t="s">
        <v>3</v>
      </c>
      <c r="BI24" s="1" t="s">
        <v>3</v>
      </c>
      <c r="BJ24" s="1" t="s">
        <v>3</v>
      </c>
      <c r="BK24" s="1" t="s">
        <v>3</v>
      </c>
      <c r="BL24" s="1" t="s">
        <v>3</v>
      </c>
      <c r="BM24" s="1" t="s">
        <v>3</v>
      </c>
      <c r="BN24" s="1" t="s">
        <v>3</v>
      </c>
      <c r="BO24" s="1" t="s">
        <v>3</v>
      </c>
      <c r="BP24" s="1" t="s">
        <v>3</v>
      </c>
      <c r="BQ24" s="1"/>
      <c r="BR24" s="1"/>
      <c r="BS24" s="1"/>
      <c r="BT24" s="1"/>
      <c r="BU24" s="1"/>
      <c r="BV24" s="1"/>
      <c r="BW24" s="1"/>
      <c r="BX24" s="1">
        <v>0</v>
      </c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>
        <v>0</v>
      </c>
    </row>
    <row r="26" spans="1:245" x14ac:dyDescent="0.2">
      <c r="A26" s="2">
        <v>52</v>
      </c>
      <c r="B26" s="2">
        <f t="shared" ref="B26:G26" si="14">B412</f>
        <v>1</v>
      </c>
      <c r="C26" s="2">
        <f t="shared" si="14"/>
        <v>4</v>
      </c>
      <c r="D26" s="2">
        <f t="shared" si="14"/>
        <v>24</v>
      </c>
      <c r="E26" s="2">
        <f t="shared" si="14"/>
        <v>0</v>
      </c>
      <c r="F26" s="2" t="str">
        <f t="shared" si="14"/>
        <v>Новый раздел</v>
      </c>
      <c r="G26" s="2" t="str">
        <f t="shared" si="14"/>
        <v>Строительные работы</v>
      </c>
      <c r="H26" s="2"/>
      <c r="I26" s="2"/>
      <c r="J26" s="2"/>
      <c r="K26" s="2"/>
      <c r="L26" s="2"/>
      <c r="M26" s="2"/>
      <c r="N26" s="2"/>
      <c r="O26" s="2">
        <f t="shared" ref="O26:AT26" si="15">O412</f>
        <v>9687633.9700000007</v>
      </c>
      <c r="P26" s="2">
        <f t="shared" si="15"/>
        <v>6112992.8200000003</v>
      </c>
      <c r="Q26" s="2">
        <f t="shared" si="15"/>
        <v>1180419.8799999999</v>
      </c>
      <c r="R26" s="2">
        <f t="shared" si="15"/>
        <v>502876.4</v>
      </c>
      <c r="S26" s="2">
        <f t="shared" si="15"/>
        <v>2394221.27</v>
      </c>
      <c r="T26" s="2">
        <f t="shared" si="15"/>
        <v>0</v>
      </c>
      <c r="U26" s="2">
        <f t="shared" si="15"/>
        <v>8752.443617429999</v>
      </c>
      <c r="V26" s="2">
        <f t="shared" si="15"/>
        <v>0</v>
      </c>
      <c r="W26" s="2">
        <f t="shared" si="15"/>
        <v>0</v>
      </c>
      <c r="X26" s="2">
        <f t="shared" si="15"/>
        <v>1862104.57</v>
      </c>
      <c r="Y26" s="2">
        <f t="shared" si="15"/>
        <v>1066406.1000000001</v>
      </c>
      <c r="Z26" s="2">
        <f t="shared" si="15"/>
        <v>0</v>
      </c>
      <c r="AA26" s="2">
        <f t="shared" si="15"/>
        <v>0</v>
      </c>
      <c r="AB26" s="2">
        <f t="shared" si="15"/>
        <v>0</v>
      </c>
      <c r="AC26" s="2">
        <f t="shared" si="15"/>
        <v>0</v>
      </c>
      <c r="AD26" s="2">
        <f t="shared" si="15"/>
        <v>0</v>
      </c>
      <c r="AE26" s="2">
        <f t="shared" si="15"/>
        <v>0</v>
      </c>
      <c r="AF26" s="2">
        <f t="shared" si="15"/>
        <v>0</v>
      </c>
      <c r="AG26" s="2">
        <f t="shared" si="15"/>
        <v>0</v>
      </c>
      <c r="AH26" s="2">
        <f t="shared" si="15"/>
        <v>0</v>
      </c>
      <c r="AI26" s="2">
        <f t="shared" si="15"/>
        <v>0</v>
      </c>
      <c r="AJ26" s="2">
        <f t="shared" si="15"/>
        <v>0</v>
      </c>
      <c r="AK26" s="2">
        <f t="shared" si="15"/>
        <v>0</v>
      </c>
      <c r="AL26" s="2">
        <f t="shared" si="15"/>
        <v>0</v>
      </c>
      <c r="AM26" s="2">
        <f t="shared" si="15"/>
        <v>0</v>
      </c>
      <c r="AN26" s="2">
        <f t="shared" si="15"/>
        <v>0</v>
      </c>
      <c r="AO26" s="2">
        <f t="shared" si="15"/>
        <v>0</v>
      </c>
      <c r="AP26" s="2">
        <f t="shared" si="15"/>
        <v>1219962.54</v>
      </c>
      <c r="AQ26" s="2">
        <f t="shared" si="15"/>
        <v>0</v>
      </c>
      <c r="AR26" s="2">
        <f t="shared" si="15"/>
        <v>13455948.24</v>
      </c>
      <c r="AS26" s="2">
        <f t="shared" si="15"/>
        <v>4438817.1500000004</v>
      </c>
      <c r="AT26" s="2">
        <f t="shared" si="15"/>
        <v>3987980.51</v>
      </c>
      <c r="AU26" s="2">
        <f t="shared" ref="AU26:BZ26" si="16">AU412</f>
        <v>3809188.04</v>
      </c>
      <c r="AV26" s="2">
        <f t="shared" si="16"/>
        <v>6112992.8200000003</v>
      </c>
      <c r="AW26" s="2">
        <f t="shared" si="16"/>
        <v>4893030.28</v>
      </c>
      <c r="AX26" s="2">
        <f t="shared" si="16"/>
        <v>0</v>
      </c>
      <c r="AY26" s="2">
        <f t="shared" si="16"/>
        <v>4893030.28</v>
      </c>
      <c r="AZ26" s="2">
        <f t="shared" si="16"/>
        <v>1219962.54</v>
      </c>
      <c r="BA26" s="2">
        <f t="shared" si="16"/>
        <v>0</v>
      </c>
      <c r="BB26" s="2">
        <f t="shared" si="16"/>
        <v>0</v>
      </c>
      <c r="BC26" s="2">
        <f t="shared" si="16"/>
        <v>0</v>
      </c>
      <c r="BD26" s="2">
        <f t="shared" si="16"/>
        <v>0</v>
      </c>
      <c r="BE26" s="2">
        <f t="shared" si="16"/>
        <v>0</v>
      </c>
      <c r="BF26" s="2">
        <f t="shared" si="16"/>
        <v>0</v>
      </c>
      <c r="BG26" s="2">
        <f t="shared" si="16"/>
        <v>0</v>
      </c>
      <c r="BH26" s="2">
        <f t="shared" si="16"/>
        <v>0</v>
      </c>
      <c r="BI26" s="2">
        <f t="shared" si="16"/>
        <v>0</v>
      </c>
      <c r="BJ26" s="2">
        <f t="shared" si="16"/>
        <v>0</v>
      </c>
      <c r="BK26" s="2">
        <f t="shared" si="16"/>
        <v>0</v>
      </c>
      <c r="BL26" s="2">
        <f t="shared" si="16"/>
        <v>0</v>
      </c>
      <c r="BM26" s="2">
        <f t="shared" si="16"/>
        <v>0</v>
      </c>
      <c r="BN26" s="2">
        <f t="shared" si="16"/>
        <v>0</v>
      </c>
      <c r="BO26" s="2">
        <f t="shared" si="16"/>
        <v>0</v>
      </c>
      <c r="BP26" s="2">
        <f t="shared" si="16"/>
        <v>0</v>
      </c>
      <c r="BQ26" s="2">
        <f t="shared" si="16"/>
        <v>0</v>
      </c>
      <c r="BR26" s="2">
        <f t="shared" si="16"/>
        <v>0</v>
      </c>
      <c r="BS26" s="2">
        <f t="shared" si="16"/>
        <v>0</v>
      </c>
      <c r="BT26" s="2">
        <f t="shared" si="16"/>
        <v>0</v>
      </c>
      <c r="BU26" s="2">
        <f t="shared" si="16"/>
        <v>0</v>
      </c>
      <c r="BV26" s="2">
        <f t="shared" si="16"/>
        <v>0</v>
      </c>
      <c r="BW26" s="2">
        <f t="shared" si="16"/>
        <v>0</v>
      </c>
      <c r="BX26" s="2">
        <f t="shared" si="16"/>
        <v>0</v>
      </c>
      <c r="BY26" s="2">
        <f t="shared" si="16"/>
        <v>0</v>
      </c>
      <c r="BZ26" s="2">
        <f t="shared" si="16"/>
        <v>0</v>
      </c>
      <c r="CA26" s="2">
        <f t="shared" ref="CA26:DF26" si="17">CA412</f>
        <v>0</v>
      </c>
      <c r="CB26" s="2">
        <f t="shared" si="17"/>
        <v>0</v>
      </c>
      <c r="CC26" s="2">
        <f t="shared" si="17"/>
        <v>0</v>
      </c>
      <c r="CD26" s="2">
        <f t="shared" si="17"/>
        <v>0</v>
      </c>
      <c r="CE26" s="2">
        <f t="shared" si="17"/>
        <v>0</v>
      </c>
      <c r="CF26" s="2">
        <f t="shared" si="17"/>
        <v>0</v>
      </c>
      <c r="CG26" s="2">
        <f t="shared" si="17"/>
        <v>0</v>
      </c>
      <c r="CH26" s="2">
        <f t="shared" si="17"/>
        <v>0</v>
      </c>
      <c r="CI26" s="2">
        <f t="shared" si="17"/>
        <v>0</v>
      </c>
      <c r="CJ26" s="2">
        <f t="shared" si="17"/>
        <v>0</v>
      </c>
      <c r="CK26" s="2">
        <f t="shared" si="17"/>
        <v>0</v>
      </c>
      <c r="CL26" s="2">
        <f t="shared" si="17"/>
        <v>0</v>
      </c>
      <c r="CM26" s="2">
        <f t="shared" si="17"/>
        <v>0</v>
      </c>
      <c r="CN26" s="2">
        <f t="shared" si="17"/>
        <v>0</v>
      </c>
      <c r="CO26" s="2">
        <f t="shared" si="17"/>
        <v>0</v>
      </c>
      <c r="CP26" s="2">
        <f t="shared" si="17"/>
        <v>0</v>
      </c>
      <c r="CQ26" s="2">
        <f t="shared" si="17"/>
        <v>0</v>
      </c>
      <c r="CR26" s="2">
        <f t="shared" si="17"/>
        <v>0</v>
      </c>
      <c r="CS26" s="2">
        <f t="shared" si="17"/>
        <v>0</v>
      </c>
      <c r="CT26" s="2">
        <f t="shared" si="17"/>
        <v>0</v>
      </c>
      <c r="CU26" s="2">
        <f t="shared" si="17"/>
        <v>0</v>
      </c>
      <c r="CV26" s="2">
        <f t="shared" si="17"/>
        <v>0</v>
      </c>
      <c r="CW26" s="2">
        <f t="shared" si="17"/>
        <v>0</v>
      </c>
      <c r="CX26" s="2">
        <f t="shared" si="17"/>
        <v>0</v>
      </c>
      <c r="CY26" s="2">
        <f t="shared" si="17"/>
        <v>0</v>
      </c>
      <c r="CZ26" s="2">
        <f t="shared" si="17"/>
        <v>0</v>
      </c>
      <c r="DA26" s="2">
        <f t="shared" si="17"/>
        <v>0</v>
      </c>
      <c r="DB26" s="2">
        <f t="shared" si="17"/>
        <v>0</v>
      </c>
      <c r="DC26" s="2">
        <f t="shared" si="17"/>
        <v>0</v>
      </c>
      <c r="DD26" s="2">
        <f t="shared" si="17"/>
        <v>0</v>
      </c>
      <c r="DE26" s="2">
        <f t="shared" si="17"/>
        <v>0</v>
      </c>
      <c r="DF26" s="2">
        <f t="shared" si="17"/>
        <v>0</v>
      </c>
      <c r="DG26" s="3">
        <f t="shared" ref="DG26:EL26" si="18">DG412</f>
        <v>0</v>
      </c>
      <c r="DH26" s="3">
        <f t="shared" si="18"/>
        <v>0</v>
      </c>
      <c r="DI26" s="3">
        <f t="shared" si="18"/>
        <v>0</v>
      </c>
      <c r="DJ26" s="3">
        <f t="shared" si="18"/>
        <v>0</v>
      </c>
      <c r="DK26" s="3">
        <f t="shared" si="18"/>
        <v>0</v>
      </c>
      <c r="DL26" s="3">
        <f t="shared" si="18"/>
        <v>0</v>
      </c>
      <c r="DM26" s="3">
        <f t="shared" si="18"/>
        <v>0</v>
      </c>
      <c r="DN26" s="3">
        <f t="shared" si="18"/>
        <v>0</v>
      </c>
      <c r="DO26" s="3">
        <f t="shared" si="18"/>
        <v>0</v>
      </c>
      <c r="DP26" s="3">
        <f t="shared" si="18"/>
        <v>0</v>
      </c>
      <c r="DQ26" s="3">
        <f t="shared" si="18"/>
        <v>0</v>
      </c>
      <c r="DR26" s="3">
        <f t="shared" si="18"/>
        <v>0</v>
      </c>
      <c r="DS26" s="3">
        <f t="shared" si="18"/>
        <v>0</v>
      </c>
      <c r="DT26" s="3">
        <f t="shared" si="18"/>
        <v>0</v>
      </c>
      <c r="DU26" s="3">
        <f t="shared" si="18"/>
        <v>0</v>
      </c>
      <c r="DV26" s="3">
        <f t="shared" si="18"/>
        <v>0</v>
      </c>
      <c r="DW26" s="3">
        <f t="shared" si="18"/>
        <v>0</v>
      </c>
      <c r="DX26" s="3">
        <f t="shared" si="18"/>
        <v>0</v>
      </c>
      <c r="DY26" s="3">
        <f t="shared" si="18"/>
        <v>0</v>
      </c>
      <c r="DZ26" s="3">
        <f t="shared" si="18"/>
        <v>0</v>
      </c>
      <c r="EA26" s="3">
        <f t="shared" si="18"/>
        <v>0</v>
      </c>
      <c r="EB26" s="3">
        <f t="shared" si="18"/>
        <v>0</v>
      </c>
      <c r="EC26" s="3">
        <f t="shared" si="18"/>
        <v>0</v>
      </c>
      <c r="ED26" s="3">
        <f t="shared" si="18"/>
        <v>0</v>
      </c>
      <c r="EE26" s="3">
        <f t="shared" si="18"/>
        <v>0</v>
      </c>
      <c r="EF26" s="3">
        <f t="shared" si="18"/>
        <v>0</v>
      </c>
      <c r="EG26" s="3">
        <f t="shared" si="18"/>
        <v>0</v>
      </c>
      <c r="EH26" s="3">
        <f t="shared" si="18"/>
        <v>0</v>
      </c>
      <c r="EI26" s="3">
        <f t="shared" si="18"/>
        <v>0</v>
      </c>
      <c r="EJ26" s="3">
        <f t="shared" si="18"/>
        <v>0</v>
      </c>
      <c r="EK26" s="3">
        <f t="shared" si="18"/>
        <v>0</v>
      </c>
      <c r="EL26" s="3">
        <f t="shared" si="18"/>
        <v>0</v>
      </c>
      <c r="EM26" s="3">
        <f t="shared" ref="EM26:FR26" si="19">EM412</f>
        <v>0</v>
      </c>
      <c r="EN26" s="3">
        <f t="shared" si="19"/>
        <v>0</v>
      </c>
      <c r="EO26" s="3">
        <f t="shared" si="19"/>
        <v>0</v>
      </c>
      <c r="EP26" s="3">
        <f t="shared" si="19"/>
        <v>0</v>
      </c>
      <c r="EQ26" s="3">
        <f t="shared" si="19"/>
        <v>0</v>
      </c>
      <c r="ER26" s="3">
        <f t="shared" si="19"/>
        <v>0</v>
      </c>
      <c r="ES26" s="3">
        <f t="shared" si="19"/>
        <v>0</v>
      </c>
      <c r="ET26" s="3">
        <f t="shared" si="19"/>
        <v>0</v>
      </c>
      <c r="EU26" s="3">
        <f t="shared" si="19"/>
        <v>0</v>
      </c>
      <c r="EV26" s="3">
        <f t="shared" si="19"/>
        <v>0</v>
      </c>
      <c r="EW26" s="3">
        <f t="shared" si="19"/>
        <v>0</v>
      </c>
      <c r="EX26" s="3">
        <f t="shared" si="19"/>
        <v>0</v>
      </c>
      <c r="EY26" s="3">
        <f t="shared" si="19"/>
        <v>0</v>
      </c>
      <c r="EZ26" s="3">
        <f t="shared" si="19"/>
        <v>0</v>
      </c>
      <c r="FA26" s="3">
        <f t="shared" si="19"/>
        <v>0</v>
      </c>
      <c r="FB26" s="3">
        <f t="shared" si="19"/>
        <v>0</v>
      </c>
      <c r="FC26" s="3">
        <f t="shared" si="19"/>
        <v>0</v>
      </c>
      <c r="FD26" s="3">
        <f t="shared" si="19"/>
        <v>0</v>
      </c>
      <c r="FE26" s="3">
        <f t="shared" si="19"/>
        <v>0</v>
      </c>
      <c r="FF26" s="3">
        <f t="shared" si="19"/>
        <v>0</v>
      </c>
      <c r="FG26" s="3">
        <f t="shared" si="19"/>
        <v>0</v>
      </c>
      <c r="FH26" s="3">
        <f t="shared" si="19"/>
        <v>0</v>
      </c>
      <c r="FI26" s="3">
        <f t="shared" si="19"/>
        <v>0</v>
      </c>
      <c r="FJ26" s="3">
        <f t="shared" si="19"/>
        <v>0</v>
      </c>
      <c r="FK26" s="3">
        <f t="shared" si="19"/>
        <v>0</v>
      </c>
      <c r="FL26" s="3">
        <f t="shared" si="19"/>
        <v>0</v>
      </c>
      <c r="FM26" s="3">
        <f t="shared" si="19"/>
        <v>0</v>
      </c>
      <c r="FN26" s="3">
        <f t="shared" si="19"/>
        <v>0</v>
      </c>
      <c r="FO26" s="3">
        <f t="shared" si="19"/>
        <v>0</v>
      </c>
      <c r="FP26" s="3">
        <f t="shared" si="19"/>
        <v>0</v>
      </c>
      <c r="FQ26" s="3">
        <f t="shared" si="19"/>
        <v>0</v>
      </c>
      <c r="FR26" s="3">
        <f t="shared" si="19"/>
        <v>0</v>
      </c>
      <c r="FS26" s="3">
        <f t="shared" ref="FS26:GX26" si="20">FS412</f>
        <v>0</v>
      </c>
      <c r="FT26" s="3">
        <f t="shared" si="20"/>
        <v>0</v>
      </c>
      <c r="FU26" s="3">
        <f t="shared" si="20"/>
        <v>0</v>
      </c>
      <c r="FV26" s="3">
        <f t="shared" si="20"/>
        <v>0</v>
      </c>
      <c r="FW26" s="3">
        <f t="shared" si="20"/>
        <v>0</v>
      </c>
      <c r="FX26" s="3">
        <f t="shared" si="20"/>
        <v>0</v>
      </c>
      <c r="FY26" s="3">
        <f t="shared" si="20"/>
        <v>0</v>
      </c>
      <c r="FZ26" s="3">
        <f t="shared" si="20"/>
        <v>0</v>
      </c>
      <c r="GA26" s="3">
        <f t="shared" si="20"/>
        <v>0</v>
      </c>
      <c r="GB26" s="3">
        <f t="shared" si="20"/>
        <v>0</v>
      </c>
      <c r="GC26" s="3">
        <f t="shared" si="20"/>
        <v>0</v>
      </c>
      <c r="GD26" s="3">
        <f t="shared" si="20"/>
        <v>0</v>
      </c>
      <c r="GE26" s="3">
        <f t="shared" si="20"/>
        <v>0</v>
      </c>
      <c r="GF26" s="3">
        <f t="shared" si="20"/>
        <v>0</v>
      </c>
      <c r="GG26" s="3">
        <f t="shared" si="20"/>
        <v>0</v>
      </c>
      <c r="GH26" s="3">
        <f t="shared" si="20"/>
        <v>0</v>
      </c>
      <c r="GI26" s="3">
        <f t="shared" si="20"/>
        <v>0</v>
      </c>
      <c r="GJ26" s="3">
        <f t="shared" si="20"/>
        <v>0</v>
      </c>
      <c r="GK26" s="3">
        <f t="shared" si="20"/>
        <v>0</v>
      </c>
      <c r="GL26" s="3">
        <f t="shared" si="20"/>
        <v>0</v>
      </c>
      <c r="GM26" s="3">
        <f t="shared" si="20"/>
        <v>0</v>
      </c>
      <c r="GN26" s="3">
        <f t="shared" si="20"/>
        <v>0</v>
      </c>
      <c r="GO26" s="3">
        <f t="shared" si="20"/>
        <v>0</v>
      </c>
      <c r="GP26" s="3">
        <f t="shared" si="20"/>
        <v>0</v>
      </c>
      <c r="GQ26" s="3">
        <f t="shared" si="20"/>
        <v>0</v>
      </c>
      <c r="GR26" s="3">
        <f t="shared" si="20"/>
        <v>0</v>
      </c>
      <c r="GS26" s="3">
        <f t="shared" si="20"/>
        <v>0</v>
      </c>
      <c r="GT26" s="3">
        <f t="shared" si="20"/>
        <v>0</v>
      </c>
      <c r="GU26" s="3">
        <f t="shared" si="20"/>
        <v>0</v>
      </c>
      <c r="GV26" s="3">
        <f t="shared" si="20"/>
        <v>0</v>
      </c>
      <c r="GW26" s="3">
        <f t="shared" si="20"/>
        <v>0</v>
      </c>
      <c r="GX26" s="3">
        <f t="shared" si="20"/>
        <v>0</v>
      </c>
    </row>
    <row r="28" spans="1:245" x14ac:dyDescent="0.2">
      <c r="A28" s="1">
        <v>5</v>
      </c>
      <c r="B28" s="1">
        <v>1</v>
      </c>
      <c r="C28" s="1"/>
      <c r="D28" s="1">
        <f>ROW(A44)</f>
        <v>44</v>
      </c>
      <c r="E28" s="1"/>
      <c r="F28" s="1" t="s">
        <v>15</v>
      </c>
      <c r="G28" s="1" t="s">
        <v>16</v>
      </c>
      <c r="H28" s="1" t="s">
        <v>3</v>
      </c>
      <c r="I28" s="1">
        <v>0</v>
      </c>
      <c r="J28" s="1"/>
      <c r="K28" s="1">
        <v>0</v>
      </c>
      <c r="L28" s="1"/>
      <c r="M28" s="1"/>
      <c r="N28" s="1"/>
      <c r="O28" s="1"/>
      <c r="P28" s="1"/>
      <c r="Q28" s="1"/>
      <c r="R28" s="1"/>
      <c r="S28" s="1"/>
      <c r="T28" s="1"/>
      <c r="U28" s="1" t="s">
        <v>3</v>
      </c>
      <c r="V28" s="1">
        <v>0</v>
      </c>
      <c r="W28" s="1"/>
      <c r="X28" s="1"/>
      <c r="Y28" s="1"/>
      <c r="Z28" s="1"/>
      <c r="AA28" s="1"/>
      <c r="AB28" s="1" t="s">
        <v>3</v>
      </c>
      <c r="AC28" s="1" t="s">
        <v>3</v>
      </c>
      <c r="AD28" s="1" t="s">
        <v>3</v>
      </c>
      <c r="AE28" s="1" t="s">
        <v>3</v>
      </c>
      <c r="AF28" s="1" t="s">
        <v>3</v>
      </c>
      <c r="AG28" s="1" t="s">
        <v>3</v>
      </c>
      <c r="AH28" s="1"/>
      <c r="AI28" s="1"/>
      <c r="AJ28" s="1"/>
      <c r="AK28" s="1"/>
      <c r="AL28" s="1"/>
      <c r="AM28" s="1"/>
      <c r="AN28" s="1"/>
      <c r="AO28" s="1"/>
      <c r="AP28" s="1" t="s">
        <v>3</v>
      </c>
      <c r="AQ28" s="1" t="s">
        <v>3</v>
      </c>
      <c r="AR28" s="1" t="s">
        <v>3</v>
      </c>
      <c r="AS28" s="1"/>
      <c r="AT28" s="1"/>
      <c r="AU28" s="1"/>
      <c r="AV28" s="1"/>
      <c r="AW28" s="1"/>
      <c r="AX28" s="1"/>
      <c r="AY28" s="1"/>
      <c r="AZ28" s="1" t="s">
        <v>3</v>
      </c>
      <c r="BA28" s="1"/>
      <c r="BB28" s="1" t="s">
        <v>3</v>
      </c>
      <c r="BC28" s="1" t="s">
        <v>3</v>
      </c>
      <c r="BD28" s="1" t="s">
        <v>3</v>
      </c>
      <c r="BE28" s="1" t="s">
        <v>3</v>
      </c>
      <c r="BF28" s="1" t="s">
        <v>3</v>
      </c>
      <c r="BG28" s="1" t="s">
        <v>3</v>
      </c>
      <c r="BH28" s="1" t="s">
        <v>3</v>
      </c>
      <c r="BI28" s="1" t="s">
        <v>3</v>
      </c>
      <c r="BJ28" s="1" t="s">
        <v>3</v>
      </c>
      <c r="BK28" s="1" t="s">
        <v>3</v>
      </c>
      <c r="BL28" s="1" t="s">
        <v>3</v>
      </c>
      <c r="BM28" s="1" t="s">
        <v>3</v>
      </c>
      <c r="BN28" s="1" t="s">
        <v>3</v>
      </c>
      <c r="BO28" s="1" t="s">
        <v>3</v>
      </c>
      <c r="BP28" s="1" t="s">
        <v>3</v>
      </c>
      <c r="BQ28" s="1"/>
      <c r="BR28" s="1"/>
      <c r="BS28" s="1"/>
      <c r="BT28" s="1"/>
      <c r="BU28" s="1"/>
      <c r="BV28" s="1"/>
      <c r="BW28" s="1"/>
      <c r="BX28" s="1">
        <v>0</v>
      </c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>
        <v>0</v>
      </c>
    </row>
    <row r="30" spans="1:245" x14ac:dyDescent="0.2">
      <c r="A30" s="2">
        <v>52</v>
      </c>
      <c r="B30" s="2">
        <f t="shared" ref="B30:G30" si="21">B44</f>
        <v>1</v>
      </c>
      <c r="C30" s="2">
        <f t="shared" si="21"/>
        <v>5</v>
      </c>
      <c r="D30" s="2">
        <f t="shared" si="21"/>
        <v>28</v>
      </c>
      <c r="E30" s="2">
        <f t="shared" si="21"/>
        <v>0</v>
      </c>
      <c r="F30" s="2" t="str">
        <f t="shared" si="21"/>
        <v>Новый подраздел</v>
      </c>
      <c r="G30" s="2" t="str">
        <f t="shared" si="21"/>
        <v>Траншея 1.1</v>
      </c>
      <c r="H30" s="2"/>
      <c r="I30" s="2"/>
      <c r="J30" s="2"/>
      <c r="K30" s="2"/>
      <c r="L30" s="2"/>
      <c r="M30" s="2"/>
      <c r="N30" s="2"/>
      <c r="O30" s="2">
        <f t="shared" ref="O30:AT30" si="22">O44</f>
        <v>790485.44</v>
      </c>
      <c r="P30" s="2">
        <f t="shared" si="22"/>
        <v>250186.48</v>
      </c>
      <c r="Q30" s="2">
        <f t="shared" si="22"/>
        <v>385608.99</v>
      </c>
      <c r="R30" s="2">
        <f t="shared" si="22"/>
        <v>179442.32</v>
      </c>
      <c r="S30" s="2">
        <f t="shared" si="22"/>
        <v>154689.97</v>
      </c>
      <c r="T30" s="2">
        <f t="shared" si="22"/>
        <v>0</v>
      </c>
      <c r="U30" s="2">
        <f t="shared" si="22"/>
        <v>788.12473896000006</v>
      </c>
      <c r="V30" s="2">
        <f t="shared" si="22"/>
        <v>0</v>
      </c>
      <c r="W30" s="2">
        <f t="shared" si="22"/>
        <v>0</v>
      </c>
      <c r="X30" s="2">
        <f t="shared" si="22"/>
        <v>143725.87</v>
      </c>
      <c r="Y30" s="2">
        <f t="shared" si="22"/>
        <v>73142.399999999994</v>
      </c>
      <c r="Z30" s="2">
        <f t="shared" si="22"/>
        <v>0</v>
      </c>
      <c r="AA30" s="2">
        <f t="shared" si="22"/>
        <v>0</v>
      </c>
      <c r="AB30" s="2">
        <f t="shared" si="22"/>
        <v>790485.44</v>
      </c>
      <c r="AC30" s="2">
        <f t="shared" si="22"/>
        <v>250186.48</v>
      </c>
      <c r="AD30" s="2">
        <f t="shared" si="22"/>
        <v>385608.99</v>
      </c>
      <c r="AE30" s="2">
        <f t="shared" si="22"/>
        <v>179442.32</v>
      </c>
      <c r="AF30" s="2">
        <f t="shared" si="22"/>
        <v>154689.97</v>
      </c>
      <c r="AG30" s="2">
        <f t="shared" si="22"/>
        <v>0</v>
      </c>
      <c r="AH30" s="2">
        <f t="shared" si="22"/>
        <v>788.12473896000006</v>
      </c>
      <c r="AI30" s="2">
        <f t="shared" si="22"/>
        <v>0</v>
      </c>
      <c r="AJ30" s="2">
        <f t="shared" si="22"/>
        <v>0</v>
      </c>
      <c r="AK30" s="2">
        <f t="shared" si="22"/>
        <v>143725.87</v>
      </c>
      <c r="AL30" s="2">
        <f t="shared" si="22"/>
        <v>73142.399999999994</v>
      </c>
      <c r="AM30" s="2">
        <f t="shared" si="22"/>
        <v>0</v>
      </c>
      <c r="AN30" s="2">
        <f t="shared" si="22"/>
        <v>0</v>
      </c>
      <c r="AO30" s="2">
        <f t="shared" si="22"/>
        <v>0</v>
      </c>
      <c r="AP30" s="2">
        <f t="shared" si="22"/>
        <v>0</v>
      </c>
      <c r="AQ30" s="2">
        <f t="shared" si="22"/>
        <v>0</v>
      </c>
      <c r="AR30" s="2">
        <f t="shared" si="22"/>
        <v>1307022.3999999999</v>
      </c>
      <c r="AS30" s="2">
        <f t="shared" si="22"/>
        <v>998827.12</v>
      </c>
      <c r="AT30" s="2">
        <f t="shared" si="22"/>
        <v>308195.28000000003</v>
      </c>
      <c r="AU30" s="2">
        <f t="shared" ref="AU30:BZ30" si="23">AU44</f>
        <v>0</v>
      </c>
      <c r="AV30" s="2">
        <f t="shared" si="23"/>
        <v>250186.48</v>
      </c>
      <c r="AW30" s="2">
        <f t="shared" si="23"/>
        <v>250186.48</v>
      </c>
      <c r="AX30" s="2">
        <f t="shared" si="23"/>
        <v>0</v>
      </c>
      <c r="AY30" s="2">
        <f t="shared" si="23"/>
        <v>250186.48</v>
      </c>
      <c r="AZ30" s="2">
        <f t="shared" si="23"/>
        <v>0</v>
      </c>
      <c r="BA30" s="2">
        <f t="shared" si="23"/>
        <v>0</v>
      </c>
      <c r="BB30" s="2">
        <f t="shared" si="23"/>
        <v>0</v>
      </c>
      <c r="BC30" s="2">
        <f t="shared" si="23"/>
        <v>0</v>
      </c>
      <c r="BD30" s="2">
        <f t="shared" si="23"/>
        <v>0</v>
      </c>
      <c r="BE30" s="2">
        <f t="shared" si="23"/>
        <v>0</v>
      </c>
      <c r="BF30" s="2">
        <f t="shared" si="23"/>
        <v>0</v>
      </c>
      <c r="BG30" s="2">
        <f t="shared" si="23"/>
        <v>0</v>
      </c>
      <c r="BH30" s="2">
        <f t="shared" si="23"/>
        <v>0</v>
      </c>
      <c r="BI30" s="2">
        <f t="shared" si="23"/>
        <v>0</v>
      </c>
      <c r="BJ30" s="2">
        <f t="shared" si="23"/>
        <v>0</v>
      </c>
      <c r="BK30" s="2">
        <f t="shared" si="23"/>
        <v>0</v>
      </c>
      <c r="BL30" s="2">
        <f t="shared" si="23"/>
        <v>0</v>
      </c>
      <c r="BM30" s="2">
        <f t="shared" si="23"/>
        <v>0</v>
      </c>
      <c r="BN30" s="2">
        <f t="shared" si="23"/>
        <v>0</v>
      </c>
      <c r="BO30" s="2">
        <f t="shared" si="23"/>
        <v>0</v>
      </c>
      <c r="BP30" s="2">
        <f t="shared" si="23"/>
        <v>0</v>
      </c>
      <c r="BQ30" s="2">
        <f t="shared" si="23"/>
        <v>0</v>
      </c>
      <c r="BR30" s="2">
        <f t="shared" si="23"/>
        <v>0</v>
      </c>
      <c r="BS30" s="2">
        <f t="shared" si="23"/>
        <v>0</v>
      </c>
      <c r="BT30" s="2">
        <f t="shared" si="23"/>
        <v>0</v>
      </c>
      <c r="BU30" s="2">
        <f t="shared" si="23"/>
        <v>0</v>
      </c>
      <c r="BV30" s="2">
        <f t="shared" si="23"/>
        <v>0</v>
      </c>
      <c r="BW30" s="2">
        <f t="shared" si="23"/>
        <v>0</v>
      </c>
      <c r="BX30" s="2">
        <f t="shared" si="23"/>
        <v>0</v>
      </c>
      <c r="BY30" s="2">
        <f t="shared" si="23"/>
        <v>0</v>
      </c>
      <c r="BZ30" s="2">
        <f t="shared" si="23"/>
        <v>0</v>
      </c>
      <c r="CA30" s="2">
        <f t="shared" ref="CA30:DF30" si="24">CA44</f>
        <v>1307022.3999999999</v>
      </c>
      <c r="CB30" s="2">
        <f t="shared" si="24"/>
        <v>998827.12</v>
      </c>
      <c r="CC30" s="2">
        <f t="shared" si="24"/>
        <v>308195.28000000003</v>
      </c>
      <c r="CD30" s="2">
        <f t="shared" si="24"/>
        <v>0</v>
      </c>
      <c r="CE30" s="2">
        <f t="shared" si="24"/>
        <v>250186.48</v>
      </c>
      <c r="CF30" s="2">
        <f t="shared" si="24"/>
        <v>250186.48</v>
      </c>
      <c r="CG30" s="2">
        <f t="shared" si="24"/>
        <v>0</v>
      </c>
      <c r="CH30" s="2">
        <f t="shared" si="24"/>
        <v>250186.48</v>
      </c>
      <c r="CI30" s="2">
        <f t="shared" si="24"/>
        <v>0</v>
      </c>
      <c r="CJ30" s="2">
        <f t="shared" si="24"/>
        <v>0</v>
      </c>
      <c r="CK30" s="2">
        <f t="shared" si="24"/>
        <v>0</v>
      </c>
      <c r="CL30" s="2">
        <f t="shared" si="24"/>
        <v>0</v>
      </c>
      <c r="CM30" s="2">
        <f t="shared" si="24"/>
        <v>0</v>
      </c>
      <c r="CN30" s="2">
        <f t="shared" si="24"/>
        <v>0</v>
      </c>
      <c r="CO30" s="2">
        <f t="shared" si="24"/>
        <v>0</v>
      </c>
      <c r="CP30" s="2">
        <f t="shared" si="24"/>
        <v>0</v>
      </c>
      <c r="CQ30" s="2">
        <f t="shared" si="24"/>
        <v>0</v>
      </c>
      <c r="CR30" s="2">
        <f t="shared" si="24"/>
        <v>0</v>
      </c>
      <c r="CS30" s="2">
        <f t="shared" si="24"/>
        <v>0</v>
      </c>
      <c r="CT30" s="2">
        <f t="shared" si="24"/>
        <v>0</v>
      </c>
      <c r="CU30" s="2">
        <f t="shared" si="24"/>
        <v>0</v>
      </c>
      <c r="CV30" s="2">
        <f t="shared" si="24"/>
        <v>0</v>
      </c>
      <c r="CW30" s="2">
        <f t="shared" si="24"/>
        <v>0</v>
      </c>
      <c r="CX30" s="2">
        <f t="shared" si="24"/>
        <v>0</v>
      </c>
      <c r="CY30" s="2">
        <f t="shared" si="24"/>
        <v>0</v>
      </c>
      <c r="CZ30" s="2">
        <f t="shared" si="24"/>
        <v>0</v>
      </c>
      <c r="DA30" s="2">
        <f t="shared" si="24"/>
        <v>0</v>
      </c>
      <c r="DB30" s="2">
        <f t="shared" si="24"/>
        <v>0</v>
      </c>
      <c r="DC30" s="2">
        <f t="shared" si="24"/>
        <v>0</v>
      </c>
      <c r="DD30" s="2">
        <f t="shared" si="24"/>
        <v>0</v>
      </c>
      <c r="DE30" s="2">
        <f t="shared" si="24"/>
        <v>0</v>
      </c>
      <c r="DF30" s="2">
        <f t="shared" si="24"/>
        <v>0</v>
      </c>
      <c r="DG30" s="3">
        <f t="shared" ref="DG30:EL30" si="25">DG44</f>
        <v>0</v>
      </c>
      <c r="DH30" s="3">
        <f t="shared" si="25"/>
        <v>0</v>
      </c>
      <c r="DI30" s="3">
        <f t="shared" si="25"/>
        <v>0</v>
      </c>
      <c r="DJ30" s="3">
        <f t="shared" si="25"/>
        <v>0</v>
      </c>
      <c r="DK30" s="3">
        <f t="shared" si="25"/>
        <v>0</v>
      </c>
      <c r="DL30" s="3">
        <f t="shared" si="25"/>
        <v>0</v>
      </c>
      <c r="DM30" s="3">
        <f t="shared" si="25"/>
        <v>0</v>
      </c>
      <c r="DN30" s="3">
        <f t="shared" si="25"/>
        <v>0</v>
      </c>
      <c r="DO30" s="3">
        <f t="shared" si="25"/>
        <v>0</v>
      </c>
      <c r="DP30" s="3">
        <f t="shared" si="25"/>
        <v>0</v>
      </c>
      <c r="DQ30" s="3">
        <f t="shared" si="25"/>
        <v>0</v>
      </c>
      <c r="DR30" s="3">
        <f t="shared" si="25"/>
        <v>0</v>
      </c>
      <c r="DS30" s="3">
        <f t="shared" si="25"/>
        <v>0</v>
      </c>
      <c r="DT30" s="3">
        <f t="shared" si="25"/>
        <v>0</v>
      </c>
      <c r="DU30" s="3">
        <f t="shared" si="25"/>
        <v>0</v>
      </c>
      <c r="DV30" s="3">
        <f t="shared" si="25"/>
        <v>0</v>
      </c>
      <c r="DW30" s="3">
        <f t="shared" si="25"/>
        <v>0</v>
      </c>
      <c r="DX30" s="3">
        <f t="shared" si="25"/>
        <v>0</v>
      </c>
      <c r="DY30" s="3">
        <f t="shared" si="25"/>
        <v>0</v>
      </c>
      <c r="DZ30" s="3">
        <f t="shared" si="25"/>
        <v>0</v>
      </c>
      <c r="EA30" s="3">
        <f t="shared" si="25"/>
        <v>0</v>
      </c>
      <c r="EB30" s="3">
        <f t="shared" si="25"/>
        <v>0</v>
      </c>
      <c r="EC30" s="3">
        <f t="shared" si="25"/>
        <v>0</v>
      </c>
      <c r="ED30" s="3">
        <f t="shared" si="25"/>
        <v>0</v>
      </c>
      <c r="EE30" s="3">
        <f t="shared" si="25"/>
        <v>0</v>
      </c>
      <c r="EF30" s="3">
        <f t="shared" si="25"/>
        <v>0</v>
      </c>
      <c r="EG30" s="3">
        <f t="shared" si="25"/>
        <v>0</v>
      </c>
      <c r="EH30" s="3">
        <f t="shared" si="25"/>
        <v>0</v>
      </c>
      <c r="EI30" s="3">
        <f t="shared" si="25"/>
        <v>0</v>
      </c>
      <c r="EJ30" s="3">
        <f t="shared" si="25"/>
        <v>0</v>
      </c>
      <c r="EK30" s="3">
        <f t="shared" si="25"/>
        <v>0</v>
      </c>
      <c r="EL30" s="3">
        <f t="shared" si="25"/>
        <v>0</v>
      </c>
      <c r="EM30" s="3">
        <f t="shared" ref="EM30:FR30" si="26">EM44</f>
        <v>0</v>
      </c>
      <c r="EN30" s="3">
        <f t="shared" si="26"/>
        <v>0</v>
      </c>
      <c r="EO30" s="3">
        <f t="shared" si="26"/>
        <v>0</v>
      </c>
      <c r="EP30" s="3">
        <f t="shared" si="26"/>
        <v>0</v>
      </c>
      <c r="EQ30" s="3">
        <f t="shared" si="26"/>
        <v>0</v>
      </c>
      <c r="ER30" s="3">
        <f t="shared" si="26"/>
        <v>0</v>
      </c>
      <c r="ES30" s="3">
        <f t="shared" si="26"/>
        <v>0</v>
      </c>
      <c r="ET30" s="3">
        <f t="shared" si="26"/>
        <v>0</v>
      </c>
      <c r="EU30" s="3">
        <f t="shared" si="26"/>
        <v>0</v>
      </c>
      <c r="EV30" s="3">
        <f t="shared" si="26"/>
        <v>0</v>
      </c>
      <c r="EW30" s="3">
        <f t="shared" si="26"/>
        <v>0</v>
      </c>
      <c r="EX30" s="3">
        <f t="shared" si="26"/>
        <v>0</v>
      </c>
      <c r="EY30" s="3">
        <f t="shared" si="26"/>
        <v>0</v>
      </c>
      <c r="EZ30" s="3">
        <f t="shared" si="26"/>
        <v>0</v>
      </c>
      <c r="FA30" s="3">
        <f t="shared" si="26"/>
        <v>0</v>
      </c>
      <c r="FB30" s="3">
        <f t="shared" si="26"/>
        <v>0</v>
      </c>
      <c r="FC30" s="3">
        <f t="shared" si="26"/>
        <v>0</v>
      </c>
      <c r="FD30" s="3">
        <f t="shared" si="26"/>
        <v>0</v>
      </c>
      <c r="FE30" s="3">
        <f t="shared" si="26"/>
        <v>0</v>
      </c>
      <c r="FF30" s="3">
        <f t="shared" si="26"/>
        <v>0</v>
      </c>
      <c r="FG30" s="3">
        <f t="shared" si="26"/>
        <v>0</v>
      </c>
      <c r="FH30" s="3">
        <f t="shared" si="26"/>
        <v>0</v>
      </c>
      <c r="FI30" s="3">
        <f t="shared" si="26"/>
        <v>0</v>
      </c>
      <c r="FJ30" s="3">
        <f t="shared" si="26"/>
        <v>0</v>
      </c>
      <c r="FK30" s="3">
        <f t="shared" si="26"/>
        <v>0</v>
      </c>
      <c r="FL30" s="3">
        <f t="shared" si="26"/>
        <v>0</v>
      </c>
      <c r="FM30" s="3">
        <f t="shared" si="26"/>
        <v>0</v>
      </c>
      <c r="FN30" s="3">
        <f t="shared" si="26"/>
        <v>0</v>
      </c>
      <c r="FO30" s="3">
        <f t="shared" si="26"/>
        <v>0</v>
      </c>
      <c r="FP30" s="3">
        <f t="shared" si="26"/>
        <v>0</v>
      </c>
      <c r="FQ30" s="3">
        <f t="shared" si="26"/>
        <v>0</v>
      </c>
      <c r="FR30" s="3">
        <f t="shared" si="26"/>
        <v>0</v>
      </c>
      <c r="FS30" s="3">
        <f t="shared" ref="FS30:GX30" si="27">FS44</f>
        <v>0</v>
      </c>
      <c r="FT30" s="3">
        <f t="shared" si="27"/>
        <v>0</v>
      </c>
      <c r="FU30" s="3">
        <f t="shared" si="27"/>
        <v>0</v>
      </c>
      <c r="FV30" s="3">
        <f t="shared" si="27"/>
        <v>0</v>
      </c>
      <c r="FW30" s="3">
        <f t="shared" si="27"/>
        <v>0</v>
      </c>
      <c r="FX30" s="3">
        <f t="shared" si="27"/>
        <v>0</v>
      </c>
      <c r="FY30" s="3">
        <f t="shared" si="27"/>
        <v>0</v>
      </c>
      <c r="FZ30" s="3">
        <f t="shared" si="27"/>
        <v>0</v>
      </c>
      <c r="GA30" s="3">
        <f t="shared" si="27"/>
        <v>0</v>
      </c>
      <c r="GB30" s="3">
        <f t="shared" si="27"/>
        <v>0</v>
      </c>
      <c r="GC30" s="3">
        <f t="shared" si="27"/>
        <v>0</v>
      </c>
      <c r="GD30" s="3">
        <f t="shared" si="27"/>
        <v>0</v>
      </c>
      <c r="GE30" s="3">
        <f t="shared" si="27"/>
        <v>0</v>
      </c>
      <c r="GF30" s="3">
        <f t="shared" si="27"/>
        <v>0</v>
      </c>
      <c r="GG30" s="3">
        <f t="shared" si="27"/>
        <v>0</v>
      </c>
      <c r="GH30" s="3">
        <f t="shared" si="27"/>
        <v>0</v>
      </c>
      <c r="GI30" s="3">
        <f t="shared" si="27"/>
        <v>0</v>
      </c>
      <c r="GJ30" s="3">
        <f t="shared" si="27"/>
        <v>0</v>
      </c>
      <c r="GK30" s="3">
        <f t="shared" si="27"/>
        <v>0</v>
      </c>
      <c r="GL30" s="3">
        <f t="shared" si="27"/>
        <v>0</v>
      </c>
      <c r="GM30" s="3">
        <f t="shared" si="27"/>
        <v>0</v>
      </c>
      <c r="GN30" s="3">
        <f t="shared" si="27"/>
        <v>0</v>
      </c>
      <c r="GO30" s="3">
        <f t="shared" si="27"/>
        <v>0</v>
      </c>
      <c r="GP30" s="3">
        <f t="shared" si="27"/>
        <v>0</v>
      </c>
      <c r="GQ30" s="3">
        <f t="shared" si="27"/>
        <v>0</v>
      </c>
      <c r="GR30" s="3">
        <f t="shared" si="27"/>
        <v>0</v>
      </c>
      <c r="GS30" s="3">
        <f t="shared" si="27"/>
        <v>0</v>
      </c>
      <c r="GT30" s="3">
        <f t="shared" si="27"/>
        <v>0</v>
      </c>
      <c r="GU30" s="3">
        <f t="shared" si="27"/>
        <v>0</v>
      </c>
      <c r="GV30" s="3">
        <f t="shared" si="27"/>
        <v>0</v>
      </c>
      <c r="GW30" s="3">
        <f t="shared" si="27"/>
        <v>0</v>
      </c>
      <c r="GX30" s="3">
        <f t="shared" si="27"/>
        <v>0</v>
      </c>
    </row>
    <row r="32" spans="1:245" x14ac:dyDescent="0.2">
      <c r="A32">
        <v>17</v>
      </c>
      <c r="B32">
        <v>1</v>
      </c>
      <c r="C32">
        <f>ROW(SmtRes!A2)</f>
        <v>2</v>
      </c>
      <c r="D32">
        <f>ROW(EtalonRes!A2)</f>
        <v>2</v>
      </c>
      <c r="E32" t="s">
        <v>17</v>
      </c>
      <c r="F32" t="s">
        <v>18</v>
      </c>
      <c r="G32" t="s">
        <v>19</v>
      </c>
      <c r="H32" t="s">
        <v>20</v>
      </c>
      <c r="I32">
        <f>ROUND((1341.6*0.9-390)/100,9)</f>
        <v>8.1744000000000003</v>
      </c>
      <c r="J32">
        <v>0</v>
      </c>
      <c r="O32">
        <f t="shared" ref="O32:O42" si="28">ROUND(CP32,2)</f>
        <v>29646.3</v>
      </c>
      <c r="P32">
        <f t="shared" ref="P32:P42" si="29">ROUND(CQ32*I32,2)</f>
        <v>0</v>
      </c>
      <c r="Q32">
        <f t="shared" ref="Q32:Q42" si="30">ROUND(CR32*I32,2)</f>
        <v>27846.15</v>
      </c>
      <c r="R32">
        <f t="shared" ref="R32:R42" si="31">ROUND(CS32*I32,2)</f>
        <v>18747.580000000002</v>
      </c>
      <c r="S32">
        <f t="shared" ref="S32:S42" si="32">ROUND(CT32*I32,2)</f>
        <v>1800.15</v>
      </c>
      <c r="T32">
        <f t="shared" ref="T32:T42" si="33">ROUND(CU32*I32,2)</f>
        <v>0</v>
      </c>
      <c r="U32">
        <f t="shared" ref="U32:U42" si="34">CV32*I32</f>
        <v>9.7275360000000006</v>
      </c>
      <c r="V32">
        <f t="shared" ref="V32:V42" si="35">CW32*I32</f>
        <v>0</v>
      </c>
      <c r="W32">
        <f t="shared" ref="W32:W42" si="36">ROUND(CX32*I32,2)</f>
        <v>0</v>
      </c>
      <c r="X32">
        <f t="shared" ref="X32:X42" si="37">ROUND(CY32,2)</f>
        <v>1746.15</v>
      </c>
      <c r="Y32">
        <f t="shared" ref="Y32:Y42" si="38">ROUND(CZ32,2)</f>
        <v>972.08</v>
      </c>
      <c r="AA32">
        <v>42446460</v>
      </c>
      <c r="AB32">
        <f t="shared" ref="AB32:AB42" si="39">ROUND((AC32+AD32+AF32),6)</f>
        <v>424.57</v>
      </c>
      <c r="AC32">
        <f t="shared" ref="AC32:AC42" si="40">ROUND((ES32),6)</f>
        <v>0</v>
      </c>
      <c r="AD32">
        <f t="shared" ref="AD32:AD42" si="41">ROUND((((ET32)-(EU32))+AE32),6)</f>
        <v>412.41</v>
      </c>
      <c r="AE32">
        <f t="shared" ref="AE32:AE42" si="42">ROUND((EU32),6)</f>
        <v>126.64</v>
      </c>
      <c r="AF32">
        <f t="shared" ref="AF32:AF42" si="43">ROUND((EV32),6)</f>
        <v>12.16</v>
      </c>
      <c r="AG32">
        <f t="shared" ref="AG32:AG42" si="44">ROUND((AP32),6)</f>
        <v>0</v>
      </c>
      <c r="AH32">
        <f t="shared" ref="AH32:AH42" si="45">(EW32)</f>
        <v>1.19</v>
      </c>
      <c r="AI32">
        <f t="shared" ref="AI32:AI42" si="46">(EX32)</f>
        <v>0</v>
      </c>
      <c r="AJ32">
        <f t="shared" ref="AJ32:AJ42" si="47">ROUND((AS32),6)</f>
        <v>0</v>
      </c>
      <c r="AK32">
        <v>424.57</v>
      </c>
      <c r="AL32">
        <v>0</v>
      </c>
      <c r="AM32">
        <v>412.41</v>
      </c>
      <c r="AN32">
        <v>126.64</v>
      </c>
      <c r="AO32">
        <v>12.16</v>
      </c>
      <c r="AP32">
        <v>0</v>
      </c>
      <c r="AQ32">
        <v>1.19</v>
      </c>
      <c r="AR32">
        <v>0</v>
      </c>
      <c r="AS32">
        <v>0</v>
      </c>
      <c r="AT32">
        <v>97</v>
      </c>
      <c r="AU32">
        <v>54</v>
      </c>
      <c r="AV32">
        <v>1</v>
      </c>
      <c r="AW32">
        <v>1</v>
      </c>
      <c r="AZ32">
        <v>1</v>
      </c>
      <c r="BA32">
        <v>18.11</v>
      </c>
      <c r="BB32">
        <v>8.26</v>
      </c>
      <c r="BC32">
        <v>1</v>
      </c>
      <c r="BD32" t="s">
        <v>3</v>
      </c>
      <c r="BE32" t="s">
        <v>3</v>
      </c>
      <c r="BF32" t="s">
        <v>3</v>
      </c>
      <c r="BG32" t="s">
        <v>3</v>
      </c>
      <c r="BH32">
        <v>0</v>
      </c>
      <c r="BI32">
        <v>1</v>
      </c>
      <c r="BJ32" t="s">
        <v>21</v>
      </c>
      <c r="BM32">
        <v>2</v>
      </c>
      <c r="BN32">
        <v>0</v>
      </c>
      <c r="BO32" t="s">
        <v>18</v>
      </c>
      <c r="BP32">
        <v>1</v>
      </c>
      <c r="BQ32">
        <v>30</v>
      </c>
      <c r="BR32">
        <v>0</v>
      </c>
      <c r="BS32">
        <v>18.11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3</v>
      </c>
      <c r="BZ32">
        <v>97</v>
      </c>
      <c r="CA32">
        <v>54</v>
      </c>
      <c r="CF32">
        <v>0</v>
      </c>
      <c r="CG32">
        <v>0</v>
      </c>
      <c r="CM32">
        <v>0</v>
      </c>
      <c r="CN32" t="s">
        <v>3</v>
      </c>
      <c r="CO32">
        <v>0</v>
      </c>
      <c r="CP32">
        <f t="shared" ref="CP32:CP42" si="48">(P32+Q32+S32)</f>
        <v>29646.300000000003</v>
      </c>
      <c r="CQ32">
        <f t="shared" ref="CQ32:CQ42" si="49">(AC32*BC32*AW32)</f>
        <v>0</v>
      </c>
      <c r="CR32">
        <f t="shared" ref="CR32:CR42" si="50">((((ET32)*BB32-(EU32)*BS32)+AE32*BS32)*AV32)</f>
        <v>3406.5066000000002</v>
      </c>
      <c r="CS32">
        <f t="shared" ref="CS32:CS42" si="51">(AE32*BS32*AV32)</f>
        <v>2293.4503999999997</v>
      </c>
      <c r="CT32">
        <f t="shared" ref="CT32:CT42" si="52">(AF32*BA32*AV32)</f>
        <v>220.2176</v>
      </c>
      <c r="CU32">
        <f t="shared" ref="CU32:CU42" si="53">AG32</f>
        <v>0</v>
      </c>
      <c r="CV32">
        <f t="shared" ref="CV32:CV42" si="54">(AH32*AV32)</f>
        <v>1.19</v>
      </c>
      <c r="CW32">
        <f t="shared" ref="CW32:CW42" si="55">AI32</f>
        <v>0</v>
      </c>
      <c r="CX32">
        <f t="shared" ref="CX32:CX42" si="56">AJ32</f>
        <v>0</v>
      </c>
      <c r="CY32">
        <f t="shared" ref="CY32:CY42" si="57">S32*(BZ32/100)</f>
        <v>1746.1455000000001</v>
      </c>
      <c r="CZ32">
        <f t="shared" ref="CZ32:CZ42" si="58">S32*(CA32/100)</f>
        <v>972.08100000000013</v>
      </c>
      <c r="DC32" t="s">
        <v>3</v>
      </c>
      <c r="DD32" t="s">
        <v>3</v>
      </c>
      <c r="DE32" t="s">
        <v>3</v>
      </c>
      <c r="DF32" t="s">
        <v>3</v>
      </c>
      <c r="DG32" t="s">
        <v>3</v>
      </c>
      <c r="DH32" t="s">
        <v>3</v>
      </c>
      <c r="DI32" t="s">
        <v>3</v>
      </c>
      <c r="DJ32" t="s">
        <v>3</v>
      </c>
      <c r="DK32" t="s">
        <v>3</v>
      </c>
      <c r="DL32" t="s">
        <v>3</v>
      </c>
      <c r="DM32" t="s">
        <v>3</v>
      </c>
      <c r="DN32">
        <v>98</v>
      </c>
      <c r="DO32">
        <v>77</v>
      </c>
      <c r="DP32">
        <v>1.1919999999999999</v>
      </c>
      <c r="DQ32">
        <v>1</v>
      </c>
      <c r="DU32">
        <v>1013</v>
      </c>
      <c r="DV32" t="s">
        <v>20</v>
      </c>
      <c r="DW32" t="s">
        <v>20</v>
      </c>
      <c r="DX32">
        <v>1</v>
      </c>
      <c r="EE32">
        <v>42186049</v>
      </c>
      <c r="EF32">
        <v>30</v>
      </c>
      <c r="EG32" t="s">
        <v>14</v>
      </c>
      <c r="EH32">
        <v>0</v>
      </c>
      <c r="EI32" t="s">
        <v>3</v>
      </c>
      <c r="EJ32">
        <v>1</v>
      </c>
      <c r="EK32">
        <v>2</v>
      </c>
      <c r="EL32" t="s">
        <v>22</v>
      </c>
      <c r="EM32" t="s">
        <v>23</v>
      </c>
      <c r="EO32" t="s">
        <v>3</v>
      </c>
      <c r="EQ32">
        <v>131072</v>
      </c>
      <c r="ER32">
        <v>424.57</v>
      </c>
      <c r="ES32">
        <v>0</v>
      </c>
      <c r="ET32">
        <v>412.41</v>
      </c>
      <c r="EU32">
        <v>126.64</v>
      </c>
      <c r="EV32">
        <v>12.16</v>
      </c>
      <c r="EW32">
        <v>1.19</v>
      </c>
      <c r="EX32">
        <v>0</v>
      </c>
      <c r="EY32">
        <v>0</v>
      </c>
      <c r="FQ32">
        <v>0</v>
      </c>
      <c r="FR32">
        <f t="shared" ref="FR32:FR42" si="59">ROUND(IF(AND(BH32=3,BI32=3),P32,0),2)</f>
        <v>0</v>
      </c>
      <c r="FS32">
        <v>0</v>
      </c>
      <c r="FX32">
        <v>98</v>
      </c>
      <c r="FY32">
        <v>77</v>
      </c>
      <c r="GA32" t="s">
        <v>3</v>
      </c>
      <c r="GD32">
        <v>0</v>
      </c>
      <c r="GF32">
        <v>-2106513073</v>
      </c>
      <c r="GG32">
        <v>2</v>
      </c>
      <c r="GH32">
        <v>0</v>
      </c>
      <c r="GI32">
        <v>0</v>
      </c>
      <c r="GJ32">
        <v>0</v>
      </c>
      <c r="GK32">
        <f>ROUND(R32*(R12)/100,2)</f>
        <v>31308.46</v>
      </c>
      <c r="GL32">
        <f t="shared" ref="GL32:GL42" si="60">ROUND(IF(AND(BH32=3,BI32=3,FS32&lt;&gt;0),P32,0),2)</f>
        <v>0</v>
      </c>
      <c r="GM32">
        <f t="shared" ref="GM32:GM42" si="61">ROUND(O32+X32+Y32+GK32,2)+GX32</f>
        <v>63672.99</v>
      </c>
      <c r="GN32">
        <f t="shared" ref="GN32:GN42" si="62">IF(OR(BI32=0,BI32=1),ROUND(O32+X32+Y32+GK32,2),0)</f>
        <v>63672.99</v>
      </c>
      <c r="GO32">
        <f t="shared" ref="GO32:GO42" si="63">IF(BI32=2,ROUND(O32+X32+Y32+GK32,2),0)</f>
        <v>0</v>
      </c>
      <c r="GP32">
        <f t="shared" ref="GP32:GP42" si="64">IF(BI32=4,ROUND(O32+X32+Y32+GK32,2)+GX32,0)</f>
        <v>0</v>
      </c>
      <c r="GR32">
        <v>0</v>
      </c>
      <c r="GS32">
        <v>0</v>
      </c>
      <c r="GT32">
        <v>0</v>
      </c>
      <c r="GU32" t="s">
        <v>3</v>
      </c>
      <c r="GV32">
        <f t="shared" ref="GV32:GV42" si="65">ROUND(GT32,6)</f>
        <v>0</v>
      </c>
      <c r="GW32">
        <v>1</v>
      </c>
      <c r="GX32">
        <f t="shared" ref="GX32:GX42" si="66">ROUND(GV32*GW32*I32,2)</f>
        <v>0</v>
      </c>
      <c r="HA32">
        <v>0</v>
      </c>
      <c r="HB32">
        <v>0</v>
      </c>
      <c r="IK32">
        <v>0</v>
      </c>
    </row>
    <row r="33" spans="1:245" x14ac:dyDescent="0.2">
      <c r="A33">
        <v>17</v>
      </c>
      <c r="B33">
        <v>1</v>
      </c>
      <c r="C33">
        <f>ROW(SmtRes!A5)</f>
        <v>5</v>
      </c>
      <c r="D33">
        <f>ROW(EtalonRes!A5)</f>
        <v>5</v>
      </c>
      <c r="E33" t="s">
        <v>24</v>
      </c>
      <c r="F33" t="s">
        <v>25</v>
      </c>
      <c r="G33" t="s">
        <v>26</v>
      </c>
      <c r="H33" t="s">
        <v>20</v>
      </c>
      <c r="I33">
        <f>ROUND((390)/100,9)</f>
        <v>3.9</v>
      </c>
      <c r="J33">
        <v>0</v>
      </c>
      <c r="O33">
        <f t="shared" si="28"/>
        <v>26833.51</v>
      </c>
      <c r="P33">
        <f t="shared" si="29"/>
        <v>0</v>
      </c>
      <c r="Q33">
        <f t="shared" si="30"/>
        <v>24295.19</v>
      </c>
      <c r="R33">
        <f t="shared" si="31"/>
        <v>15684.55</v>
      </c>
      <c r="S33">
        <f t="shared" si="32"/>
        <v>2538.3200000000002</v>
      </c>
      <c r="T33">
        <f t="shared" si="33"/>
        <v>0</v>
      </c>
      <c r="U33">
        <f t="shared" si="34"/>
        <v>13.71396</v>
      </c>
      <c r="V33">
        <f t="shared" si="35"/>
        <v>0</v>
      </c>
      <c r="W33">
        <f t="shared" si="36"/>
        <v>0</v>
      </c>
      <c r="X33">
        <f t="shared" si="37"/>
        <v>2462.17</v>
      </c>
      <c r="Y33">
        <f t="shared" si="38"/>
        <v>1370.69</v>
      </c>
      <c r="AA33">
        <v>42446460</v>
      </c>
      <c r="AB33">
        <f t="shared" si="39"/>
        <v>675.35</v>
      </c>
      <c r="AC33">
        <f t="shared" si="40"/>
        <v>0</v>
      </c>
      <c r="AD33">
        <f t="shared" si="41"/>
        <v>645.20000000000005</v>
      </c>
      <c r="AE33">
        <f t="shared" si="42"/>
        <v>186.3</v>
      </c>
      <c r="AF33">
        <f t="shared" si="43"/>
        <v>30.15</v>
      </c>
      <c r="AG33">
        <f t="shared" si="44"/>
        <v>0</v>
      </c>
      <c r="AH33">
        <f t="shared" si="45"/>
        <v>2.95</v>
      </c>
      <c r="AI33">
        <f t="shared" si="46"/>
        <v>0</v>
      </c>
      <c r="AJ33">
        <f t="shared" si="47"/>
        <v>0</v>
      </c>
      <c r="AK33">
        <v>675.35</v>
      </c>
      <c r="AL33">
        <v>0</v>
      </c>
      <c r="AM33">
        <v>645.20000000000005</v>
      </c>
      <c r="AN33">
        <v>186.3</v>
      </c>
      <c r="AO33">
        <v>30.15</v>
      </c>
      <c r="AP33">
        <v>0</v>
      </c>
      <c r="AQ33">
        <v>2.95</v>
      </c>
      <c r="AR33">
        <v>0</v>
      </c>
      <c r="AS33">
        <v>0</v>
      </c>
      <c r="AT33">
        <v>97</v>
      </c>
      <c r="AU33">
        <v>54</v>
      </c>
      <c r="AV33">
        <v>1.1919999999999999</v>
      </c>
      <c r="AW33">
        <v>1</v>
      </c>
      <c r="AZ33">
        <v>1</v>
      </c>
      <c r="BA33">
        <v>18.11</v>
      </c>
      <c r="BB33">
        <v>8.1</v>
      </c>
      <c r="BC33">
        <v>1</v>
      </c>
      <c r="BD33" t="s">
        <v>3</v>
      </c>
      <c r="BE33" t="s">
        <v>3</v>
      </c>
      <c r="BF33" t="s">
        <v>3</v>
      </c>
      <c r="BG33" t="s">
        <v>3</v>
      </c>
      <c r="BH33">
        <v>0</v>
      </c>
      <c r="BI33">
        <v>1</v>
      </c>
      <c r="BJ33" t="s">
        <v>27</v>
      </c>
      <c r="BM33">
        <v>2</v>
      </c>
      <c r="BN33">
        <v>0</v>
      </c>
      <c r="BO33" t="s">
        <v>25</v>
      </c>
      <c r="BP33">
        <v>1</v>
      </c>
      <c r="BQ33">
        <v>30</v>
      </c>
      <c r="BR33">
        <v>0</v>
      </c>
      <c r="BS33">
        <v>18.11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3</v>
      </c>
      <c r="BZ33">
        <v>97</v>
      </c>
      <c r="CA33">
        <v>54</v>
      </c>
      <c r="CF33">
        <v>0</v>
      </c>
      <c r="CG33">
        <v>0</v>
      </c>
      <c r="CM33">
        <v>0</v>
      </c>
      <c r="CN33" t="s">
        <v>3</v>
      </c>
      <c r="CO33">
        <v>0</v>
      </c>
      <c r="CP33">
        <f t="shared" si="48"/>
        <v>26833.51</v>
      </c>
      <c r="CQ33">
        <f t="shared" si="49"/>
        <v>0</v>
      </c>
      <c r="CR33">
        <f t="shared" si="50"/>
        <v>6229.5350399999998</v>
      </c>
      <c r="CS33">
        <f t="shared" si="51"/>
        <v>4021.680456</v>
      </c>
      <c r="CT33">
        <f t="shared" si="52"/>
        <v>650.8516679999999</v>
      </c>
      <c r="CU33">
        <f t="shared" si="53"/>
        <v>0</v>
      </c>
      <c r="CV33">
        <f t="shared" si="54"/>
        <v>3.5164</v>
      </c>
      <c r="CW33">
        <f t="shared" si="55"/>
        <v>0</v>
      </c>
      <c r="CX33">
        <f t="shared" si="56"/>
        <v>0</v>
      </c>
      <c r="CY33">
        <f t="shared" si="57"/>
        <v>2462.1704</v>
      </c>
      <c r="CZ33">
        <f t="shared" si="58"/>
        <v>1370.6928000000003</v>
      </c>
      <c r="DC33" t="s">
        <v>3</v>
      </c>
      <c r="DD33" t="s">
        <v>3</v>
      </c>
      <c r="DE33" t="s">
        <v>3</v>
      </c>
      <c r="DF33" t="s">
        <v>3</v>
      </c>
      <c r="DG33" t="s">
        <v>3</v>
      </c>
      <c r="DH33" t="s">
        <v>3</v>
      </c>
      <c r="DI33" t="s">
        <v>3</v>
      </c>
      <c r="DJ33" t="s">
        <v>3</v>
      </c>
      <c r="DK33" t="s">
        <v>3</v>
      </c>
      <c r="DL33" t="s">
        <v>3</v>
      </c>
      <c r="DM33" t="s">
        <v>3</v>
      </c>
      <c r="DN33">
        <v>98</v>
      </c>
      <c r="DO33">
        <v>77</v>
      </c>
      <c r="DP33">
        <v>1.1919999999999999</v>
      </c>
      <c r="DQ33">
        <v>1</v>
      </c>
      <c r="DU33">
        <v>1013</v>
      </c>
      <c r="DV33" t="s">
        <v>20</v>
      </c>
      <c r="DW33" t="s">
        <v>20</v>
      </c>
      <c r="DX33">
        <v>1</v>
      </c>
      <c r="EE33">
        <v>42186049</v>
      </c>
      <c r="EF33">
        <v>30</v>
      </c>
      <c r="EG33" t="s">
        <v>14</v>
      </c>
      <c r="EH33">
        <v>0</v>
      </c>
      <c r="EI33" t="s">
        <v>3</v>
      </c>
      <c r="EJ33">
        <v>1</v>
      </c>
      <c r="EK33">
        <v>2</v>
      </c>
      <c r="EL33" t="s">
        <v>22</v>
      </c>
      <c r="EM33" t="s">
        <v>23</v>
      </c>
      <c r="EO33" t="s">
        <v>3</v>
      </c>
      <c r="EQ33">
        <v>0</v>
      </c>
      <c r="ER33">
        <v>675.35</v>
      </c>
      <c r="ES33">
        <v>0</v>
      </c>
      <c r="ET33">
        <v>645.20000000000005</v>
      </c>
      <c r="EU33">
        <v>186.3</v>
      </c>
      <c r="EV33">
        <v>30.15</v>
      </c>
      <c r="EW33">
        <v>2.95</v>
      </c>
      <c r="EX33">
        <v>0</v>
      </c>
      <c r="EY33">
        <v>0</v>
      </c>
      <c r="FQ33">
        <v>0</v>
      </c>
      <c r="FR33">
        <f t="shared" si="59"/>
        <v>0</v>
      </c>
      <c r="FS33">
        <v>0</v>
      </c>
      <c r="FX33">
        <v>98</v>
      </c>
      <c r="FY33">
        <v>77</v>
      </c>
      <c r="GA33" t="s">
        <v>3</v>
      </c>
      <c r="GD33">
        <v>0</v>
      </c>
      <c r="GF33">
        <v>1920991722</v>
      </c>
      <c r="GG33">
        <v>2</v>
      </c>
      <c r="GH33">
        <v>1</v>
      </c>
      <c r="GI33">
        <v>2</v>
      </c>
      <c r="GJ33">
        <v>0</v>
      </c>
      <c r="GK33">
        <f>ROUND(R33*(R12)/100,2)</f>
        <v>26193.200000000001</v>
      </c>
      <c r="GL33">
        <f t="shared" si="60"/>
        <v>0</v>
      </c>
      <c r="GM33">
        <f t="shared" si="61"/>
        <v>56859.57</v>
      </c>
      <c r="GN33">
        <f t="shared" si="62"/>
        <v>56859.57</v>
      </c>
      <c r="GO33">
        <f t="shared" si="63"/>
        <v>0</v>
      </c>
      <c r="GP33">
        <f t="shared" si="64"/>
        <v>0</v>
      </c>
      <c r="GR33">
        <v>0</v>
      </c>
      <c r="GS33">
        <v>3</v>
      </c>
      <c r="GT33">
        <v>0</v>
      </c>
      <c r="GU33" t="s">
        <v>3</v>
      </c>
      <c r="GV33">
        <f t="shared" si="65"/>
        <v>0</v>
      </c>
      <c r="GW33">
        <v>1</v>
      </c>
      <c r="GX33">
        <f t="shared" si="66"/>
        <v>0</v>
      </c>
      <c r="HA33">
        <v>0</v>
      </c>
      <c r="HB33">
        <v>0</v>
      </c>
      <c r="IK33">
        <v>0</v>
      </c>
    </row>
    <row r="34" spans="1:245" x14ac:dyDescent="0.2">
      <c r="A34">
        <v>17</v>
      </c>
      <c r="B34">
        <v>1</v>
      </c>
      <c r="E34" t="s">
        <v>28</v>
      </c>
      <c r="F34" t="s">
        <v>29</v>
      </c>
      <c r="G34" t="s">
        <v>30</v>
      </c>
      <c r="H34" t="s">
        <v>20</v>
      </c>
      <c r="I34">
        <f>ROUND(1341.6*0.1/100,9)</f>
        <v>1.3415999999999999</v>
      </c>
      <c r="J34">
        <v>0</v>
      </c>
      <c r="O34">
        <f t="shared" si="28"/>
        <v>49628.26</v>
      </c>
      <c r="P34">
        <f t="shared" si="29"/>
        <v>0</v>
      </c>
      <c r="Q34">
        <f t="shared" si="30"/>
        <v>0</v>
      </c>
      <c r="R34">
        <f t="shared" si="31"/>
        <v>0</v>
      </c>
      <c r="S34">
        <f t="shared" si="32"/>
        <v>49628.26</v>
      </c>
      <c r="T34">
        <f t="shared" si="33"/>
        <v>0</v>
      </c>
      <c r="U34">
        <f t="shared" si="34"/>
        <v>258.52631999999994</v>
      </c>
      <c r="V34">
        <f t="shared" si="35"/>
        <v>0</v>
      </c>
      <c r="W34">
        <f t="shared" si="36"/>
        <v>0</v>
      </c>
      <c r="X34">
        <f t="shared" si="37"/>
        <v>44169.15</v>
      </c>
      <c r="Y34">
        <f t="shared" si="38"/>
        <v>21836.43</v>
      </c>
      <c r="AA34">
        <v>42446460</v>
      </c>
      <c r="AB34">
        <f t="shared" si="39"/>
        <v>2042.62</v>
      </c>
      <c r="AC34">
        <f t="shared" si="40"/>
        <v>0</v>
      </c>
      <c r="AD34">
        <f t="shared" si="41"/>
        <v>0</v>
      </c>
      <c r="AE34">
        <f t="shared" si="42"/>
        <v>0</v>
      </c>
      <c r="AF34">
        <f t="shared" si="43"/>
        <v>2042.62</v>
      </c>
      <c r="AG34">
        <f t="shared" si="44"/>
        <v>0</v>
      </c>
      <c r="AH34">
        <f t="shared" si="45"/>
        <v>192.7</v>
      </c>
      <c r="AI34">
        <f t="shared" si="46"/>
        <v>0</v>
      </c>
      <c r="AJ34">
        <f t="shared" si="47"/>
        <v>0</v>
      </c>
      <c r="AK34">
        <v>2042.62</v>
      </c>
      <c r="AL34">
        <v>0</v>
      </c>
      <c r="AM34">
        <v>0</v>
      </c>
      <c r="AN34">
        <v>0</v>
      </c>
      <c r="AO34">
        <v>2042.62</v>
      </c>
      <c r="AP34">
        <v>0</v>
      </c>
      <c r="AQ34">
        <v>192.7</v>
      </c>
      <c r="AR34">
        <v>0</v>
      </c>
      <c r="AS34">
        <v>0</v>
      </c>
      <c r="AT34">
        <v>89</v>
      </c>
      <c r="AU34">
        <v>44</v>
      </c>
      <c r="AV34">
        <v>1</v>
      </c>
      <c r="AW34">
        <v>1</v>
      </c>
      <c r="AZ34">
        <v>1</v>
      </c>
      <c r="BA34">
        <v>18.11</v>
      </c>
      <c r="BB34">
        <v>1</v>
      </c>
      <c r="BC34">
        <v>1</v>
      </c>
      <c r="BD34" t="s">
        <v>3</v>
      </c>
      <c r="BE34" t="s">
        <v>3</v>
      </c>
      <c r="BF34" t="s">
        <v>3</v>
      </c>
      <c r="BG34" t="s">
        <v>3</v>
      </c>
      <c r="BH34">
        <v>0</v>
      </c>
      <c r="BI34">
        <v>1</v>
      </c>
      <c r="BJ34" t="s">
        <v>31</v>
      </c>
      <c r="BM34">
        <v>16</v>
      </c>
      <c r="BN34">
        <v>0</v>
      </c>
      <c r="BO34" t="s">
        <v>29</v>
      </c>
      <c r="BP34">
        <v>1</v>
      </c>
      <c r="BQ34">
        <v>30</v>
      </c>
      <c r="BR34">
        <v>0</v>
      </c>
      <c r="BS34">
        <v>18.11</v>
      </c>
      <c r="BT34">
        <v>1</v>
      </c>
      <c r="BU34">
        <v>1</v>
      </c>
      <c r="BV34">
        <v>1</v>
      </c>
      <c r="BW34">
        <v>1</v>
      </c>
      <c r="BX34">
        <v>1</v>
      </c>
      <c r="BY34" t="s">
        <v>3</v>
      </c>
      <c r="BZ34">
        <v>89</v>
      </c>
      <c r="CA34">
        <v>44</v>
      </c>
      <c r="CF34">
        <v>0</v>
      </c>
      <c r="CG34">
        <v>0</v>
      </c>
      <c r="CM34">
        <v>0</v>
      </c>
      <c r="CN34" t="s">
        <v>3</v>
      </c>
      <c r="CO34">
        <v>0</v>
      </c>
      <c r="CP34">
        <f t="shared" si="48"/>
        <v>49628.26</v>
      </c>
      <c r="CQ34">
        <f t="shared" si="49"/>
        <v>0</v>
      </c>
      <c r="CR34">
        <f t="shared" si="50"/>
        <v>0</v>
      </c>
      <c r="CS34">
        <f t="shared" si="51"/>
        <v>0</v>
      </c>
      <c r="CT34">
        <f t="shared" si="52"/>
        <v>36991.8482</v>
      </c>
      <c r="CU34">
        <f t="shared" si="53"/>
        <v>0</v>
      </c>
      <c r="CV34">
        <f t="shared" si="54"/>
        <v>192.7</v>
      </c>
      <c r="CW34">
        <f t="shared" si="55"/>
        <v>0</v>
      </c>
      <c r="CX34">
        <f t="shared" si="56"/>
        <v>0</v>
      </c>
      <c r="CY34">
        <f t="shared" si="57"/>
        <v>44169.151400000002</v>
      </c>
      <c r="CZ34">
        <f t="shared" si="58"/>
        <v>21836.434400000002</v>
      </c>
      <c r="DC34" t="s">
        <v>3</v>
      </c>
      <c r="DD34" t="s">
        <v>3</v>
      </c>
      <c r="DE34" t="s">
        <v>3</v>
      </c>
      <c r="DF34" t="s">
        <v>3</v>
      </c>
      <c r="DG34" t="s">
        <v>3</v>
      </c>
      <c r="DH34" t="s">
        <v>3</v>
      </c>
      <c r="DI34" t="s">
        <v>3</v>
      </c>
      <c r="DJ34" t="s">
        <v>3</v>
      </c>
      <c r="DK34" t="s">
        <v>3</v>
      </c>
      <c r="DL34" t="s">
        <v>3</v>
      </c>
      <c r="DM34" t="s">
        <v>3</v>
      </c>
      <c r="DN34">
        <v>105</v>
      </c>
      <c r="DO34">
        <v>77</v>
      </c>
      <c r="DP34">
        <v>1.248</v>
      </c>
      <c r="DQ34">
        <v>1</v>
      </c>
      <c r="DU34">
        <v>1013</v>
      </c>
      <c r="DV34" t="s">
        <v>20</v>
      </c>
      <c r="DW34" t="s">
        <v>20</v>
      </c>
      <c r="DX34">
        <v>1</v>
      </c>
      <c r="EE34">
        <v>42186063</v>
      </c>
      <c r="EF34">
        <v>30</v>
      </c>
      <c r="EG34" t="s">
        <v>14</v>
      </c>
      <c r="EH34">
        <v>0</v>
      </c>
      <c r="EI34" t="s">
        <v>3</v>
      </c>
      <c r="EJ34">
        <v>1</v>
      </c>
      <c r="EK34">
        <v>16</v>
      </c>
      <c r="EL34" t="s">
        <v>32</v>
      </c>
      <c r="EM34" t="s">
        <v>33</v>
      </c>
      <c r="EO34" t="s">
        <v>3</v>
      </c>
      <c r="EQ34">
        <v>131072</v>
      </c>
      <c r="ER34">
        <v>2042.62</v>
      </c>
      <c r="ES34">
        <v>0</v>
      </c>
      <c r="ET34">
        <v>0</v>
      </c>
      <c r="EU34">
        <v>0</v>
      </c>
      <c r="EV34">
        <v>2042.62</v>
      </c>
      <c r="EW34">
        <v>192.7</v>
      </c>
      <c r="EX34">
        <v>0</v>
      </c>
      <c r="EY34">
        <v>0</v>
      </c>
      <c r="FQ34">
        <v>0</v>
      </c>
      <c r="FR34">
        <f t="shared" si="59"/>
        <v>0</v>
      </c>
      <c r="FS34">
        <v>0</v>
      </c>
      <c r="FX34">
        <v>105</v>
      </c>
      <c r="FY34">
        <v>77</v>
      </c>
      <c r="GA34" t="s">
        <v>3</v>
      </c>
      <c r="GD34">
        <v>0</v>
      </c>
      <c r="GF34">
        <v>-877998331</v>
      </c>
      <c r="GG34">
        <v>2</v>
      </c>
      <c r="GH34">
        <v>0</v>
      </c>
      <c r="GI34">
        <v>0</v>
      </c>
      <c r="GJ34">
        <v>0</v>
      </c>
      <c r="GK34">
        <f>ROUND(R34*(R12)/100,2)</f>
        <v>0</v>
      </c>
      <c r="GL34">
        <f t="shared" si="60"/>
        <v>0</v>
      </c>
      <c r="GM34">
        <f t="shared" si="61"/>
        <v>115633.84</v>
      </c>
      <c r="GN34">
        <f t="shared" si="62"/>
        <v>115633.84</v>
      </c>
      <c r="GO34">
        <f t="shared" si="63"/>
        <v>0</v>
      </c>
      <c r="GP34">
        <f t="shared" si="64"/>
        <v>0</v>
      </c>
      <c r="GR34">
        <v>0</v>
      </c>
      <c r="GS34">
        <v>0</v>
      </c>
      <c r="GT34">
        <v>0</v>
      </c>
      <c r="GU34" t="s">
        <v>3</v>
      </c>
      <c r="GV34">
        <f t="shared" si="65"/>
        <v>0</v>
      </c>
      <c r="GW34">
        <v>1</v>
      </c>
      <c r="GX34">
        <f t="shared" si="66"/>
        <v>0</v>
      </c>
      <c r="HA34">
        <v>0</v>
      </c>
      <c r="HB34">
        <v>0</v>
      </c>
      <c r="IK34">
        <v>0</v>
      </c>
    </row>
    <row r="35" spans="1:245" x14ac:dyDescent="0.2">
      <c r="A35">
        <v>17</v>
      </c>
      <c r="B35">
        <v>1</v>
      </c>
      <c r="C35">
        <f>ROW(SmtRes!A6)</f>
        <v>6</v>
      </c>
      <c r="D35">
        <f>ROW(EtalonRes!A6)</f>
        <v>6</v>
      </c>
      <c r="E35" t="s">
        <v>34</v>
      </c>
      <c r="F35" t="s">
        <v>35</v>
      </c>
      <c r="G35" t="s">
        <v>36</v>
      </c>
      <c r="H35" t="s">
        <v>37</v>
      </c>
      <c r="I35">
        <f>ROUND(3120/100,9)</f>
        <v>31.2</v>
      </c>
      <c r="J35">
        <v>0</v>
      </c>
      <c r="O35">
        <f t="shared" si="28"/>
        <v>154002.03</v>
      </c>
      <c r="P35">
        <f t="shared" si="29"/>
        <v>95.76</v>
      </c>
      <c r="Q35">
        <f t="shared" si="30"/>
        <v>108707.67</v>
      </c>
      <c r="R35">
        <f t="shared" si="31"/>
        <v>54169.59</v>
      </c>
      <c r="S35">
        <f t="shared" si="32"/>
        <v>45198.6</v>
      </c>
      <c r="T35">
        <f t="shared" si="33"/>
        <v>0</v>
      </c>
      <c r="U35">
        <f t="shared" si="34"/>
        <v>202.405632</v>
      </c>
      <c r="V35">
        <f t="shared" si="35"/>
        <v>0</v>
      </c>
      <c r="W35">
        <f t="shared" si="36"/>
        <v>0</v>
      </c>
      <c r="X35">
        <f t="shared" si="37"/>
        <v>42938.67</v>
      </c>
      <c r="Y35">
        <f t="shared" si="38"/>
        <v>20791.36</v>
      </c>
      <c r="AA35">
        <v>42446460</v>
      </c>
      <c r="AB35">
        <f t="shared" si="39"/>
        <v>462.43</v>
      </c>
      <c r="AC35">
        <f t="shared" si="40"/>
        <v>0.56000000000000005</v>
      </c>
      <c r="AD35">
        <f t="shared" si="41"/>
        <v>386.9</v>
      </c>
      <c r="AE35">
        <f t="shared" si="42"/>
        <v>89.85</v>
      </c>
      <c r="AF35">
        <f t="shared" si="43"/>
        <v>74.97</v>
      </c>
      <c r="AG35">
        <f t="shared" si="44"/>
        <v>0</v>
      </c>
      <c r="AH35">
        <f t="shared" si="45"/>
        <v>6.08</v>
      </c>
      <c r="AI35">
        <f t="shared" si="46"/>
        <v>0</v>
      </c>
      <c r="AJ35">
        <f t="shared" si="47"/>
        <v>0</v>
      </c>
      <c r="AK35">
        <v>462.43</v>
      </c>
      <c r="AL35">
        <v>0.56000000000000005</v>
      </c>
      <c r="AM35">
        <v>386.9</v>
      </c>
      <c r="AN35">
        <v>89.85</v>
      </c>
      <c r="AO35">
        <v>74.97</v>
      </c>
      <c r="AP35">
        <v>0</v>
      </c>
      <c r="AQ35">
        <v>6.08</v>
      </c>
      <c r="AR35">
        <v>0</v>
      </c>
      <c r="AS35">
        <v>0</v>
      </c>
      <c r="AT35">
        <v>95</v>
      </c>
      <c r="AU35">
        <v>46</v>
      </c>
      <c r="AV35">
        <v>1.0669999999999999</v>
      </c>
      <c r="AW35">
        <v>1.081</v>
      </c>
      <c r="AZ35">
        <v>1</v>
      </c>
      <c r="BA35">
        <v>18.11</v>
      </c>
      <c r="BB35">
        <v>8.44</v>
      </c>
      <c r="BC35">
        <v>5.07</v>
      </c>
      <c r="BD35" t="s">
        <v>3</v>
      </c>
      <c r="BE35" t="s">
        <v>3</v>
      </c>
      <c r="BF35" t="s">
        <v>3</v>
      </c>
      <c r="BG35" t="s">
        <v>3</v>
      </c>
      <c r="BH35">
        <v>0</v>
      </c>
      <c r="BI35">
        <v>2</v>
      </c>
      <c r="BJ35" t="s">
        <v>38</v>
      </c>
      <c r="BM35">
        <v>318</v>
      </c>
      <c r="BN35">
        <v>0</v>
      </c>
      <c r="BO35" t="s">
        <v>35</v>
      </c>
      <c r="BP35">
        <v>1</v>
      </c>
      <c r="BQ35">
        <v>40</v>
      </c>
      <c r="BR35">
        <v>0</v>
      </c>
      <c r="BS35">
        <v>18.11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3</v>
      </c>
      <c r="BZ35">
        <v>95</v>
      </c>
      <c r="CA35">
        <v>46</v>
      </c>
      <c r="CF35">
        <v>0</v>
      </c>
      <c r="CG35">
        <v>0</v>
      </c>
      <c r="CM35">
        <v>0</v>
      </c>
      <c r="CN35" t="s">
        <v>3</v>
      </c>
      <c r="CO35">
        <v>0</v>
      </c>
      <c r="CP35">
        <f t="shared" si="48"/>
        <v>154002.03</v>
      </c>
      <c r="CQ35">
        <f t="shared" si="49"/>
        <v>3.0691752000000001</v>
      </c>
      <c r="CR35">
        <f t="shared" si="50"/>
        <v>3484.2202119999997</v>
      </c>
      <c r="CS35">
        <f t="shared" si="51"/>
        <v>1736.2047944999997</v>
      </c>
      <c r="CT35">
        <f t="shared" si="52"/>
        <v>1448.6730488999999</v>
      </c>
      <c r="CU35">
        <f t="shared" si="53"/>
        <v>0</v>
      </c>
      <c r="CV35">
        <f t="shared" si="54"/>
        <v>6.4873599999999998</v>
      </c>
      <c r="CW35">
        <f t="shared" si="55"/>
        <v>0</v>
      </c>
      <c r="CX35">
        <f t="shared" si="56"/>
        <v>0</v>
      </c>
      <c r="CY35">
        <f t="shared" si="57"/>
        <v>42938.67</v>
      </c>
      <c r="CZ35">
        <f t="shared" si="58"/>
        <v>20791.356</v>
      </c>
      <c r="DC35" t="s">
        <v>3</v>
      </c>
      <c r="DD35" t="s">
        <v>3</v>
      </c>
      <c r="DE35" t="s">
        <v>3</v>
      </c>
      <c r="DF35" t="s">
        <v>3</v>
      </c>
      <c r="DG35" t="s">
        <v>3</v>
      </c>
      <c r="DH35" t="s">
        <v>3</v>
      </c>
      <c r="DI35" t="s">
        <v>3</v>
      </c>
      <c r="DJ35" t="s">
        <v>3</v>
      </c>
      <c r="DK35" t="s">
        <v>3</v>
      </c>
      <c r="DL35" t="s">
        <v>3</v>
      </c>
      <c r="DM35" t="s">
        <v>3</v>
      </c>
      <c r="DN35">
        <v>112</v>
      </c>
      <c r="DO35">
        <v>70</v>
      </c>
      <c r="DP35">
        <v>1.0669999999999999</v>
      </c>
      <c r="DQ35">
        <v>1.081</v>
      </c>
      <c r="DU35">
        <v>1013</v>
      </c>
      <c r="DV35" t="s">
        <v>37</v>
      </c>
      <c r="DW35" t="s">
        <v>37</v>
      </c>
      <c r="DX35">
        <v>1</v>
      </c>
      <c r="EE35">
        <v>42186365</v>
      </c>
      <c r="EF35">
        <v>40</v>
      </c>
      <c r="EG35" t="s">
        <v>39</v>
      </c>
      <c r="EH35">
        <v>0</v>
      </c>
      <c r="EI35" t="s">
        <v>3</v>
      </c>
      <c r="EJ35">
        <v>2</v>
      </c>
      <c r="EK35">
        <v>318</v>
      </c>
      <c r="EL35" t="s">
        <v>40</v>
      </c>
      <c r="EM35" t="s">
        <v>41</v>
      </c>
      <c r="EO35" t="s">
        <v>3</v>
      </c>
      <c r="EQ35">
        <v>0</v>
      </c>
      <c r="ER35">
        <v>462.43</v>
      </c>
      <c r="ES35">
        <v>0.56000000000000005</v>
      </c>
      <c r="ET35">
        <v>386.9</v>
      </c>
      <c r="EU35">
        <v>89.85</v>
      </c>
      <c r="EV35">
        <v>74.97</v>
      </c>
      <c r="EW35">
        <v>6.08</v>
      </c>
      <c r="EX35">
        <v>0</v>
      </c>
      <c r="EY35">
        <v>0</v>
      </c>
      <c r="FQ35">
        <v>0</v>
      </c>
      <c r="FR35">
        <f t="shared" si="59"/>
        <v>0</v>
      </c>
      <c r="FS35">
        <v>0</v>
      </c>
      <c r="FX35">
        <v>112</v>
      </c>
      <c r="FY35">
        <v>70</v>
      </c>
      <c r="GA35" t="s">
        <v>3</v>
      </c>
      <c r="GD35">
        <v>0</v>
      </c>
      <c r="GF35">
        <v>137885402</v>
      </c>
      <c r="GG35">
        <v>2</v>
      </c>
      <c r="GH35">
        <v>1</v>
      </c>
      <c r="GI35">
        <v>2</v>
      </c>
      <c r="GJ35">
        <v>0</v>
      </c>
      <c r="GK35">
        <f>ROUND(R35*(R12)/100,2)</f>
        <v>90463.22</v>
      </c>
      <c r="GL35">
        <f t="shared" si="60"/>
        <v>0</v>
      </c>
      <c r="GM35">
        <f t="shared" si="61"/>
        <v>308195.28000000003</v>
      </c>
      <c r="GN35">
        <f t="shared" si="62"/>
        <v>0</v>
      </c>
      <c r="GO35">
        <f t="shared" si="63"/>
        <v>308195.28000000003</v>
      </c>
      <c r="GP35">
        <f t="shared" si="64"/>
        <v>0</v>
      </c>
      <c r="GR35">
        <v>0</v>
      </c>
      <c r="GS35">
        <v>3</v>
      </c>
      <c r="GT35">
        <v>0</v>
      </c>
      <c r="GU35" t="s">
        <v>3</v>
      </c>
      <c r="GV35">
        <f t="shared" si="65"/>
        <v>0</v>
      </c>
      <c r="GW35">
        <v>1</v>
      </c>
      <c r="GX35">
        <f t="shared" si="66"/>
        <v>0</v>
      </c>
      <c r="HA35">
        <v>0</v>
      </c>
      <c r="HB35">
        <v>0</v>
      </c>
      <c r="IK35">
        <v>0</v>
      </c>
    </row>
    <row r="36" spans="1:245" x14ac:dyDescent="0.2">
      <c r="A36">
        <v>17</v>
      </c>
      <c r="B36">
        <v>1</v>
      </c>
      <c r="E36" t="s">
        <v>42</v>
      </c>
      <c r="F36" t="s">
        <v>43</v>
      </c>
      <c r="G36" t="s">
        <v>44</v>
      </c>
      <c r="H36" t="s">
        <v>45</v>
      </c>
      <c r="I36">
        <f>ROUND(156*1.1,9)</f>
        <v>171.6</v>
      </c>
      <c r="J36">
        <v>0</v>
      </c>
      <c r="O36">
        <f t="shared" si="28"/>
        <v>94945.82</v>
      </c>
      <c r="P36">
        <f t="shared" si="29"/>
        <v>94945.82</v>
      </c>
      <c r="Q36">
        <f t="shared" si="30"/>
        <v>0</v>
      </c>
      <c r="R36">
        <f t="shared" si="31"/>
        <v>0</v>
      </c>
      <c r="S36">
        <f t="shared" si="32"/>
        <v>0</v>
      </c>
      <c r="T36">
        <f t="shared" si="33"/>
        <v>0</v>
      </c>
      <c r="U36">
        <f t="shared" si="34"/>
        <v>0</v>
      </c>
      <c r="V36">
        <f t="shared" si="35"/>
        <v>0</v>
      </c>
      <c r="W36">
        <f t="shared" si="36"/>
        <v>0</v>
      </c>
      <c r="X36">
        <f t="shared" si="37"/>
        <v>0</v>
      </c>
      <c r="Y36">
        <f t="shared" si="38"/>
        <v>0</v>
      </c>
      <c r="AA36">
        <v>42446460</v>
      </c>
      <c r="AB36">
        <f t="shared" si="39"/>
        <v>104.99</v>
      </c>
      <c r="AC36">
        <f t="shared" si="40"/>
        <v>104.99</v>
      </c>
      <c r="AD36">
        <f t="shared" si="41"/>
        <v>0</v>
      </c>
      <c r="AE36">
        <f t="shared" si="42"/>
        <v>0</v>
      </c>
      <c r="AF36">
        <f t="shared" si="43"/>
        <v>0</v>
      </c>
      <c r="AG36">
        <f t="shared" si="44"/>
        <v>0</v>
      </c>
      <c r="AH36">
        <f t="shared" si="45"/>
        <v>0</v>
      </c>
      <c r="AI36">
        <f t="shared" si="46"/>
        <v>0</v>
      </c>
      <c r="AJ36">
        <f t="shared" si="47"/>
        <v>0</v>
      </c>
      <c r="AK36">
        <v>104.99</v>
      </c>
      <c r="AL36">
        <v>104.99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1</v>
      </c>
      <c r="AW36">
        <v>1</v>
      </c>
      <c r="AZ36">
        <v>1</v>
      </c>
      <c r="BA36">
        <v>1</v>
      </c>
      <c r="BB36">
        <v>1</v>
      </c>
      <c r="BC36">
        <v>5.27</v>
      </c>
      <c r="BD36" t="s">
        <v>3</v>
      </c>
      <c r="BE36" t="s">
        <v>3</v>
      </c>
      <c r="BF36" t="s">
        <v>3</v>
      </c>
      <c r="BG36" t="s">
        <v>3</v>
      </c>
      <c r="BH36">
        <v>3</v>
      </c>
      <c r="BI36">
        <v>1</v>
      </c>
      <c r="BJ36" t="s">
        <v>46</v>
      </c>
      <c r="BM36">
        <v>146</v>
      </c>
      <c r="BN36">
        <v>0</v>
      </c>
      <c r="BO36" t="s">
        <v>43</v>
      </c>
      <c r="BP36">
        <v>1</v>
      </c>
      <c r="BQ36">
        <v>30</v>
      </c>
      <c r="BR36">
        <v>0</v>
      </c>
      <c r="BS36">
        <v>1</v>
      </c>
      <c r="BT36">
        <v>1</v>
      </c>
      <c r="BU36">
        <v>1</v>
      </c>
      <c r="BV36">
        <v>1</v>
      </c>
      <c r="BW36">
        <v>1</v>
      </c>
      <c r="BX36">
        <v>1</v>
      </c>
      <c r="BY36" t="s">
        <v>3</v>
      </c>
      <c r="BZ36">
        <v>0</v>
      </c>
      <c r="CA36">
        <v>0</v>
      </c>
      <c r="CF36">
        <v>0</v>
      </c>
      <c r="CG36">
        <v>0</v>
      </c>
      <c r="CM36">
        <v>0</v>
      </c>
      <c r="CN36" t="s">
        <v>3</v>
      </c>
      <c r="CO36">
        <v>0</v>
      </c>
      <c r="CP36">
        <f t="shared" si="48"/>
        <v>94945.82</v>
      </c>
      <c r="CQ36">
        <f t="shared" si="49"/>
        <v>553.29729999999995</v>
      </c>
      <c r="CR36">
        <f t="shared" si="50"/>
        <v>0</v>
      </c>
      <c r="CS36">
        <f t="shared" si="51"/>
        <v>0</v>
      </c>
      <c r="CT36">
        <f t="shared" si="52"/>
        <v>0</v>
      </c>
      <c r="CU36">
        <f t="shared" si="53"/>
        <v>0</v>
      </c>
      <c r="CV36">
        <f t="shared" si="54"/>
        <v>0</v>
      </c>
      <c r="CW36">
        <f t="shared" si="55"/>
        <v>0</v>
      </c>
      <c r="CX36">
        <f t="shared" si="56"/>
        <v>0</v>
      </c>
      <c r="CY36">
        <f t="shared" si="57"/>
        <v>0</v>
      </c>
      <c r="CZ36">
        <f t="shared" si="58"/>
        <v>0</v>
      </c>
      <c r="DC36" t="s">
        <v>3</v>
      </c>
      <c r="DD36" t="s">
        <v>3</v>
      </c>
      <c r="DE36" t="s">
        <v>3</v>
      </c>
      <c r="DF36" t="s">
        <v>3</v>
      </c>
      <c r="DG36" t="s">
        <v>3</v>
      </c>
      <c r="DH36" t="s">
        <v>3</v>
      </c>
      <c r="DI36" t="s">
        <v>3</v>
      </c>
      <c r="DJ36" t="s">
        <v>3</v>
      </c>
      <c r="DK36" t="s">
        <v>3</v>
      </c>
      <c r="DL36" t="s">
        <v>3</v>
      </c>
      <c r="DM36" t="s">
        <v>3</v>
      </c>
      <c r="DN36">
        <v>161</v>
      </c>
      <c r="DO36">
        <v>107</v>
      </c>
      <c r="DP36">
        <v>1.0469999999999999</v>
      </c>
      <c r="DQ36">
        <v>1.002</v>
      </c>
      <c r="DU36">
        <v>1007</v>
      </c>
      <c r="DV36" t="s">
        <v>45</v>
      </c>
      <c r="DW36" t="s">
        <v>45</v>
      </c>
      <c r="DX36">
        <v>1</v>
      </c>
      <c r="EE36">
        <v>42186193</v>
      </c>
      <c r="EF36">
        <v>30</v>
      </c>
      <c r="EG36" t="s">
        <v>14</v>
      </c>
      <c r="EH36">
        <v>0</v>
      </c>
      <c r="EI36" t="s">
        <v>3</v>
      </c>
      <c r="EJ36">
        <v>1</v>
      </c>
      <c r="EK36">
        <v>146</v>
      </c>
      <c r="EL36" t="s">
        <v>47</v>
      </c>
      <c r="EM36" t="s">
        <v>48</v>
      </c>
      <c r="EO36" t="s">
        <v>3</v>
      </c>
      <c r="EQ36">
        <v>0</v>
      </c>
      <c r="ER36">
        <v>104.99</v>
      </c>
      <c r="ES36">
        <v>104.99</v>
      </c>
      <c r="ET36">
        <v>0</v>
      </c>
      <c r="EU36">
        <v>0</v>
      </c>
      <c r="EV36">
        <v>0</v>
      </c>
      <c r="EW36">
        <v>0</v>
      </c>
      <c r="EX36">
        <v>0</v>
      </c>
      <c r="EY36">
        <v>0</v>
      </c>
      <c r="FQ36">
        <v>0</v>
      </c>
      <c r="FR36">
        <f t="shared" si="59"/>
        <v>0</v>
      </c>
      <c r="FS36">
        <v>0</v>
      </c>
      <c r="FX36">
        <v>161</v>
      </c>
      <c r="FY36">
        <v>107</v>
      </c>
      <c r="GA36" t="s">
        <v>3</v>
      </c>
      <c r="GD36">
        <v>0</v>
      </c>
      <c r="GF36">
        <v>2069056849</v>
      </c>
      <c r="GG36">
        <v>2</v>
      </c>
      <c r="GH36">
        <v>0</v>
      </c>
      <c r="GI36">
        <v>0</v>
      </c>
      <c r="GJ36">
        <v>0</v>
      </c>
      <c r="GK36">
        <f>ROUND(R36*(R12)/100,2)</f>
        <v>0</v>
      </c>
      <c r="GL36">
        <f t="shared" si="60"/>
        <v>0</v>
      </c>
      <c r="GM36">
        <f t="shared" si="61"/>
        <v>94945.82</v>
      </c>
      <c r="GN36">
        <f t="shared" si="62"/>
        <v>94945.82</v>
      </c>
      <c r="GO36">
        <f t="shared" si="63"/>
        <v>0</v>
      </c>
      <c r="GP36">
        <f t="shared" si="64"/>
        <v>0</v>
      </c>
      <c r="GR36">
        <v>0</v>
      </c>
      <c r="GS36">
        <v>0</v>
      </c>
      <c r="GT36">
        <v>0</v>
      </c>
      <c r="GU36" t="s">
        <v>3</v>
      </c>
      <c r="GV36">
        <f t="shared" si="65"/>
        <v>0</v>
      </c>
      <c r="GW36">
        <v>1</v>
      </c>
      <c r="GX36">
        <f t="shared" si="66"/>
        <v>0</v>
      </c>
      <c r="HA36">
        <v>0</v>
      </c>
      <c r="HB36">
        <v>0</v>
      </c>
      <c r="IK36">
        <v>0</v>
      </c>
    </row>
    <row r="37" spans="1:245" x14ac:dyDescent="0.2">
      <c r="A37">
        <v>17</v>
      </c>
      <c r="B37">
        <v>1</v>
      </c>
      <c r="C37">
        <f>ROW(SmtRes!A7)</f>
        <v>7</v>
      </c>
      <c r="D37">
        <f>ROW(EtalonRes!A7)</f>
        <v>7</v>
      </c>
      <c r="E37" t="s">
        <v>49</v>
      </c>
      <c r="F37" t="s">
        <v>50</v>
      </c>
      <c r="G37" t="s">
        <v>51</v>
      </c>
      <c r="H37" t="s">
        <v>20</v>
      </c>
      <c r="I37">
        <f>ROUND(234/100,9)</f>
        <v>2.34</v>
      </c>
      <c r="J37">
        <v>0</v>
      </c>
      <c r="O37">
        <f t="shared" si="28"/>
        <v>1511.67</v>
      </c>
      <c r="P37">
        <f t="shared" si="29"/>
        <v>0</v>
      </c>
      <c r="Q37">
        <f t="shared" si="30"/>
        <v>1511.67</v>
      </c>
      <c r="R37">
        <f t="shared" si="31"/>
        <v>840.77</v>
      </c>
      <c r="S37">
        <f t="shared" si="32"/>
        <v>0</v>
      </c>
      <c r="T37">
        <f t="shared" si="33"/>
        <v>0</v>
      </c>
      <c r="U37">
        <f t="shared" si="34"/>
        <v>0</v>
      </c>
      <c r="V37">
        <f t="shared" si="35"/>
        <v>0</v>
      </c>
      <c r="W37">
        <f t="shared" si="36"/>
        <v>0</v>
      </c>
      <c r="X37">
        <f t="shared" si="37"/>
        <v>0</v>
      </c>
      <c r="Y37">
        <f t="shared" si="38"/>
        <v>0</v>
      </c>
      <c r="AA37">
        <v>42446460</v>
      </c>
      <c r="AB37">
        <f t="shared" si="39"/>
        <v>84.89</v>
      </c>
      <c r="AC37">
        <f t="shared" si="40"/>
        <v>0</v>
      </c>
      <c r="AD37">
        <f t="shared" si="41"/>
        <v>84.89</v>
      </c>
      <c r="AE37">
        <f t="shared" si="42"/>
        <v>19.84</v>
      </c>
      <c r="AF37">
        <f t="shared" si="43"/>
        <v>0</v>
      </c>
      <c r="AG37">
        <f t="shared" si="44"/>
        <v>0</v>
      </c>
      <c r="AH37">
        <f t="shared" si="45"/>
        <v>0</v>
      </c>
      <c r="AI37">
        <f t="shared" si="46"/>
        <v>0</v>
      </c>
      <c r="AJ37">
        <f t="shared" si="47"/>
        <v>0</v>
      </c>
      <c r="AK37">
        <v>84.89</v>
      </c>
      <c r="AL37">
        <v>0</v>
      </c>
      <c r="AM37">
        <v>84.89</v>
      </c>
      <c r="AN37">
        <v>19.84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97</v>
      </c>
      <c r="AU37">
        <v>54</v>
      </c>
      <c r="AV37">
        <v>1</v>
      </c>
      <c r="AW37">
        <v>1</v>
      </c>
      <c r="AZ37">
        <v>1</v>
      </c>
      <c r="BA37">
        <v>18.11</v>
      </c>
      <c r="BB37">
        <v>7.61</v>
      </c>
      <c r="BC37">
        <v>1</v>
      </c>
      <c r="BD37" t="s">
        <v>3</v>
      </c>
      <c r="BE37" t="s">
        <v>3</v>
      </c>
      <c r="BF37" t="s">
        <v>3</v>
      </c>
      <c r="BG37" t="s">
        <v>3</v>
      </c>
      <c r="BH37">
        <v>0</v>
      </c>
      <c r="BI37">
        <v>1</v>
      </c>
      <c r="BJ37" t="s">
        <v>52</v>
      </c>
      <c r="BM37">
        <v>5</v>
      </c>
      <c r="BN37">
        <v>0</v>
      </c>
      <c r="BO37" t="s">
        <v>50</v>
      </c>
      <c r="BP37">
        <v>1</v>
      </c>
      <c r="BQ37">
        <v>30</v>
      </c>
      <c r="BR37">
        <v>0</v>
      </c>
      <c r="BS37">
        <v>18.11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3</v>
      </c>
      <c r="BZ37">
        <v>97</v>
      </c>
      <c r="CA37">
        <v>54</v>
      </c>
      <c r="CF37">
        <v>0</v>
      </c>
      <c r="CG37">
        <v>0</v>
      </c>
      <c r="CM37">
        <v>0</v>
      </c>
      <c r="CN37" t="s">
        <v>3</v>
      </c>
      <c r="CO37">
        <v>0</v>
      </c>
      <c r="CP37">
        <f t="shared" si="48"/>
        <v>1511.67</v>
      </c>
      <c r="CQ37">
        <f t="shared" si="49"/>
        <v>0</v>
      </c>
      <c r="CR37">
        <f t="shared" si="50"/>
        <v>646.01290000000006</v>
      </c>
      <c r="CS37">
        <f t="shared" si="51"/>
        <v>359.30239999999998</v>
      </c>
      <c r="CT37">
        <f t="shared" si="52"/>
        <v>0</v>
      </c>
      <c r="CU37">
        <f t="shared" si="53"/>
        <v>0</v>
      </c>
      <c r="CV37">
        <f t="shared" si="54"/>
        <v>0</v>
      </c>
      <c r="CW37">
        <f t="shared" si="55"/>
        <v>0</v>
      </c>
      <c r="CX37">
        <f t="shared" si="56"/>
        <v>0</v>
      </c>
      <c r="CY37">
        <f t="shared" si="57"/>
        <v>0</v>
      </c>
      <c r="CZ37">
        <f t="shared" si="58"/>
        <v>0</v>
      </c>
      <c r="DC37" t="s">
        <v>3</v>
      </c>
      <c r="DD37" t="s">
        <v>3</v>
      </c>
      <c r="DE37" t="s">
        <v>3</v>
      </c>
      <c r="DF37" t="s">
        <v>3</v>
      </c>
      <c r="DG37" t="s">
        <v>3</v>
      </c>
      <c r="DH37" t="s">
        <v>3</v>
      </c>
      <c r="DI37" t="s">
        <v>3</v>
      </c>
      <c r="DJ37" t="s">
        <v>3</v>
      </c>
      <c r="DK37" t="s">
        <v>3</v>
      </c>
      <c r="DL37" t="s">
        <v>3</v>
      </c>
      <c r="DM37" t="s">
        <v>3</v>
      </c>
      <c r="DN37">
        <v>98</v>
      </c>
      <c r="DO37">
        <v>77</v>
      </c>
      <c r="DP37">
        <v>1.014</v>
      </c>
      <c r="DQ37">
        <v>1</v>
      </c>
      <c r="DU37">
        <v>1013</v>
      </c>
      <c r="DV37" t="s">
        <v>20</v>
      </c>
      <c r="DW37" t="s">
        <v>20</v>
      </c>
      <c r="DX37">
        <v>1</v>
      </c>
      <c r="EE37">
        <v>42186052</v>
      </c>
      <c r="EF37">
        <v>30</v>
      </c>
      <c r="EG37" t="s">
        <v>14</v>
      </c>
      <c r="EH37">
        <v>0</v>
      </c>
      <c r="EI37" t="s">
        <v>3</v>
      </c>
      <c r="EJ37">
        <v>1</v>
      </c>
      <c r="EK37">
        <v>5</v>
      </c>
      <c r="EL37" t="s">
        <v>53</v>
      </c>
      <c r="EM37" t="s">
        <v>54</v>
      </c>
      <c r="EO37" t="s">
        <v>3</v>
      </c>
      <c r="EQ37">
        <v>131072</v>
      </c>
      <c r="ER37">
        <v>84.89</v>
      </c>
      <c r="ES37">
        <v>0</v>
      </c>
      <c r="ET37">
        <v>84.89</v>
      </c>
      <c r="EU37">
        <v>19.84</v>
      </c>
      <c r="EV37">
        <v>0</v>
      </c>
      <c r="EW37">
        <v>0</v>
      </c>
      <c r="EX37">
        <v>0</v>
      </c>
      <c r="EY37">
        <v>0</v>
      </c>
      <c r="FQ37">
        <v>0</v>
      </c>
      <c r="FR37">
        <f t="shared" si="59"/>
        <v>0</v>
      </c>
      <c r="FS37">
        <v>0</v>
      </c>
      <c r="FX37">
        <v>98</v>
      </c>
      <c r="FY37">
        <v>77</v>
      </c>
      <c r="GA37" t="s">
        <v>3</v>
      </c>
      <c r="GD37">
        <v>0</v>
      </c>
      <c r="GF37">
        <v>323187003</v>
      </c>
      <c r="GG37">
        <v>2</v>
      </c>
      <c r="GH37">
        <v>0</v>
      </c>
      <c r="GI37">
        <v>0</v>
      </c>
      <c r="GJ37">
        <v>0</v>
      </c>
      <c r="GK37">
        <f>ROUND(R37*(R12)/100,2)</f>
        <v>1404.09</v>
      </c>
      <c r="GL37">
        <f t="shared" si="60"/>
        <v>0</v>
      </c>
      <c r="GM37">
        <f t="shared" si="61"/>
        <v>2915.76</v>
      </c>
      <c r="GN37">
        <f t="shared" si="62"/>
        <v>2915.76</v>
      </c>
      <c r="GO37">
        <f t="shared" si="63"/>
        <v>0</v>
      </c>
      <c r="GP37">
        <f t="shared" si="64"/>
        <v>0</v>
      </c>
      <c r="GR37">
        <v>0</v>
      </c>
      <c r="GS37">
        <v>0</v>
      </c>
      <c r="GT37">
        <v>0</v>
      </c>
      <c r="GU37" t="s">
        <v>3</v>
      </c>
      <c r="GV37">
        <f t="shared" si="65"/>
        <v>0</v>
      </c>
      <c r="GW37">
        <v>1</v>
      </c>
      <c r="GX37">
        <f t="shared" si="66"/>
        <v>0</v>
      </c>
      <c r="HA37">
        <v>0</v>
      </c>
      <c r="HB37">
        <v>0</v>
      </c>
      <c r="IK37">
        <v>0</v>
      </c>
    </row>
    <row r="38" spans="1:245" x14ac:dyDescent="0.2">
      <c r="A38">
        <v>18</v>
      </c>
      <c r="B38">
        <v>1</v>
      </c>
      <c r="C38">
        <v>7</v>
      </c>
      <c r="E38" t="s">
        <v>55</v>
      </c>
      <c r="F38" t="s">
        <v>43</v>
      </c>
      <c r="G38" t="s">
        <v>44</v>
      </c>
      <c r="H38" t="s">
        <v>45</v>
      </c>
      <c r="I38">
        <f>I37*J38</f>
        <v>234</v>
      </c>
      <c r="J38">
        <v>100</v>
      </c>
      <c r="O38">
        <f t="shared" si="28"/>
        <v>129471.57</v>
      </c>
      <c r="P38">
        <f t="shared" si="29"/>
        <v>129471.57</v>
      </c>
      <c r="Q38">
        <f t="shared" si="30"/>
        <v>0</v>
      </c>
      <c r="R38">
        <f t="shared" si="31"/>
        <v>0</v>
      </c>
      <c r="S38">
        <f t="shared" si="32"/>
        <v>0</v>
      </c>
      <c r="T38">
        <f t="shared" si="33"/>
        <v>0</v>
      </c>
      <c r="U38">
        <f t="shared" si="34"/>
        <v>0</v>
      </c>
      <c r="V38">
        <f t="shared" si="35"/>
        <v>0</v>
      </c>
      <c r="W38">
        <f t="shared" si="36"/>
        <v>0</v>
      </c>
      <c r="X38">
        <f t="shared" si="37"/>
        <v>0</v>
      </c>
      <c r="Y38">
        <f t="shared" si="38"/>
        <v>0</v>
      </c>
      <c r="AA38">
        <v>42446460</v>
      </c>
      <c r="AB38">
        <f t="shared" si="39"/>
        <v>104.99</v>
      </c>
      <c r="AC38">
        <f t="shared" si="40"/>
        <v>104.99</v>
      </c>
      <c r="AD38">
        <f t="shared" si="41"/>
        <v>0</v>
      </c>
      <c r="AE38">
        <f t="shared" si="42"/>
        <v>0</v>
      </c>
      <c r="AF38">
        <f t="shared" si="43"/>
        <v>0</v>
      </c>
      <c r="AG38">
        <f t="shared" si="44"/>
        <v>0</v>
      </c>
      <c r="AH38">
        <f t="shared" si="45"/>
        <v>0</v>
      </c>
      <c r="AI38">
        <f t="shared" si="46"/>
        <v>0</v>
      </c>
      <c r="AJ38">
        <f t="shared" si="47"/>
        <v>0</v>
      </c>
      <c r="AK38">
        <v>104.99</v>
      </c>
      <c r="AL38">
        <v>104.99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1</v>
      </c>
      <c r="AW38">
        <v>1</v>
      </c>
      <c r="AZ38">
        <v>1</v>
      </c>
      <c r="BA38">
        <v>1</v>
      </c>
      <c r="BB38">
        <v>1</v>
      </c>
      <c r="BC38">
        <v>5.27</v>
      </c>
      <c r="BD38" t="s">
        <v>3</v>
      </c>
      <c r="BE38" t="s">
        <v>3</v>
      </c>
      <c r="BF38" t="s">
        <v>3</v>
      </c>
      <c r="BG38" t="s">
        <v>3</v>
      </c>
      <c r="BH38">
        <v>3</v>
      </c>
      <c r="BI38">
        <v>1</v>
      </c>
      <c r="BJ38" t="s">
        <v>46</v>
      </c>
      <c r="BM38">
        <v>5</v>
      </c>
      <c r="BN38">
        <v>0</v>
      </c>
      <c r="BO38" t="s">
        <v>43</v>
      </c>
      <c r="BP38">
        <v>1</v>
      </c>
      <c r="BQ38">
        <v>30</v>
      </c>
      <c r="BR38">
        <v>0</v>
      </c>
      <c r="BS38">
        <v>1</v>
      </c>
      <c r="BT38">
        <v>1</v>
      </c>
      <c r="BU38">
        <v>1</v>
      </c>
      <c r="BV38">
        <v>1</v>
      </c>
      <c r="BW38">
        <v>1</v>
      </c>
      <c r="BX38">
        <v>1</v>
      </c>
      <c r="BY38" t="s">
        <v>3</v>
      </c>
      <c r="BZ38">
        <v>0</v>
      </c>
      <c r="CA38">
        <v>0</v>
      </c>
      <c r="CF38">
        <v>0</v>
      </c>
      <c r="CG38">
        <v>0</v>
      </c>
      <c r="CM38">
        <v>0</v>
      </c>
      <c r="CN38" t="s">
        <v>3</v>
      </c>
      <c r="CO38">
        <v>0</v>
      </c>
      <c r="CP38">
        <f t="shared" si="48"/>
        <v>129471.57</v>
      </c>
      <c r="CQ38">
        <f t="shared" si="49"/>
        <v>553.29729999999995</v>
      </c>
      <c r="CR38">
        <f t="shared" si="50"/>
        <v>0</v>
      </c>
      <c r="CS38">
        <f t="shared" si="51"/>
        <v>0</v>
      </c>
      <c r="CT38">
        <f t="shared" si="52"/>
        <v>0</v>
      </c>
      <c r="CU38">
        <f t="shared" si="53"/>
        <v>0</v>
      </c>
      <c r="CV38">
        <f t="shared" si="54"/>
        <v>0</v>
      </c>
      <c r="CW38">
        <f t="shared" si="55"/>
        <v>0</v>
      </c>
      <c r="CX38">
        <f t="shared" si="56"/>
        <v>0</v>
      </c>
      <c r="CY38">
        <f t="shared" si="57"/>
        <v>0</v>
      </c>
      <c r="CZ38">
        <f t="shared" si="58"/>
        <v>0</v>
      </c>
      <c r="DC38" t="s">
        <v>3</v>
      </c>
      <c r="DD38" t="s">
        <v>3</v>
      </c>
      <c r="DE38" t="s">
        <v>3</v>
      </c>
      <c r="DF38" t="s">
        <v>3</v>
      </c>
      <c r="DG38" t="s">
        <v>3</v>
      </c>
      <c r="DH38" t="s">
        <v>3</v>
      </c>
      <c r="DI38" t="s">
        <v>3</v>
      </c>
      <c r="DJ38" t="s">
        <v>3</v>
      </c>
      <c r="DK38" t="s">
        <v>3</v>
      </c>
      <c r="DL38" t="s">
        <v>3</v>
      </c>
      <c r="DM38" t="s">
        <v>3</v>
      </c>
      <c r="DN38">
        <v>98</v>
      </c>
      <c r="DO38">
        <v>77</v>
      </c>
      <c r="DP38">
        <v>1.014</v>
      </c>
      <c r="DQ38">
        <v>1</v>
      </c>
      <c r="DU38">
        <v>1007</v>
      </c>
      <c r="DV38" t="s">
        <v>45</v>
      </c>
      <c r="DW38" t="s">
        <v>45</v>
      </c>
      <c r="DX38">
        <v>1</v>
      </c>
      <c r="EE38">
        <v>42186052</v>
      </c>
      <c r="EF38">
        <v>30</v>
      </c>
      <c r="EG38" t="s">
        <v>14</v>
      </c>
      <c r="EH38">
        <v>0</v>
      </c>
      <c r="EI38" t="s">
        <v>3</v>
      </c>
      <c r="EJ38">
        <v>1</v>
      </c>
      <c r="EK38">
        <v>5</v>
      </c>
      <c r="EL38" t="s">
        <v>53</v>
      </c>
      <c r="EM38" t="s">
        <v>54</v>
      </c>
      <c r="EO38" t="s">
        <v>3</v>
      </c>
      <c r="EQ38">
        <v>0</v>
      </c>
      <c r="ER38">
        <v>104.99</v>
      </c>
      <c r="ES38">
        <v>104.99</v>
      </c>
      <c r="ET38">
        <v>0</v>
      </c>
      <c r="EU38">
        <v>0</v>
      </c>
      <c r="EV38">
        <v>0</v>
      </c>
      <c r="EW38">
        <v>0</v>
      </c>
      <c r="EX38">
        <v>0</v>
      </c>
      <c r="FQ38">
        <v>0</v>
      </c>
      <c r="FR38">
        <f t="shared" si="59"/>
        <v>0</v>
      </c>
      <c r="FS38">
        <v>0</v>
      </c>
      <c r="FX38">
        <v>98</v>
      </c>
      <c r="FY38">
        <v>77</v>
      </c>
      <c r="GA38" t="s">
        <v>3</v>
      </c>
      <c r="GD38">
        <v>0</v>
      </c>
      <c r="GF38">
        <v>2069056849</v>
      </c>
      <c r="GG38">
        <v>2</v>
      </c>
      <c r="GH38">
        <v>0</v>
      </c>
      <c r="GI38">
        <v>0</v>
      </c>
      <c r="GJ38">
        <v>0</v>
      </c>
      <c r="GK38">
        <f>ROUND(R38*(R12)/100,2)</f>
        <v>0</v>
      </c>
      <c r="GL38">
        <f t="shared" si="60"/>
        <v>0</v>
      </c>
      <c r="GM38">
        <f t="shared" si="61"/>
        <v>129471.57</v>
      </c>
      <c r="GN38">
        <f t="shared" si="62"/>
        <v>129471.57</v>
      </c>
      <c r="GO38">
        <f t="shared" si="63"/>
        <v>0</v>
      </c>
      <c r="GP38">
        <f t="shared" si="64"/>
        <v>0</v>
      </c>
      <c r="GR38">
        <v>0</v>
      </c>
      <c r="GS38">
        <v>0</v>
      </c>
      <c r="GT38">
        <v>0</v>
      </c>
      <c r="GU38" t="s">
        <v>3</v>
      </c>
      <c r="GV38">
        <f t="shared" si="65"/>
        <v>0</v>
      </c>
      <c r="GW38">
        <v>1</v>
      </c>
      <c r="GX38">
        <f t="shared" si="66"/>
        <v>0</v>
      </c>
      <c r="HA38">
        <v>0</v>
      </c>
      <c r="HB38">
        <v>0</v>
      </c>
      <c r="IK38">
        <v>0</v>
      </c>
    </row>
    <row r="39" spans="1:245" x14ac:dyDescent="0.2">
      <c r="A39">
        <v>17</v>
      </c>
      <c r="B39">
        <v>1</v>
      </c>
      <c r="C39">
        <f>ROW(SmtRes!A8)</f>
        <v>8</v>
      </c>
      <c r="D39">
        <f>ROW(EtalonRes!A8)</f>
        <v>8</v>
      </c>
      <c r="E39" t="s">
        <v>56</v>
      </c>
      <c r="F39" t="s">
        <v>50</v>
      </c>
      <c r="G39" t="s">
        <v>57</v>
      </c>
      <c r="H39" t="s">
        <v>20</v>
      </c>
      <c r="I39">
        <f>ROUND(951.6*0.9/100,9)</f>
        <v>8.5643999999999991</v>
      </c>
      <c r="J39">
        <v>0</v>
      </c>
      <c r="O39">
        <f t="shared" si="28"/>
        <v>5532.71</v>
      </c>
      <c r="P39">
        <f t="shared" si="29"/>
        <v>0</v>
      </c>
      <c r="Q39">
        <f t="shared" si="30"/>
        <v>5532.71</v>
      </c>
      <c r="R39">
        <f t="shared" si="31"/>
        <v>3077.21</v>
      </c>
      <c r="S39">
        <f t="shared" si="32"/>
        <v>0</v>
      </c>
      <c r="T39">
        <f t="shared" si="33"/>
        <v>0</v>
      </c>
      <c r="U39">
        <f t="shared" si="34"/>
        <v>0</v>
      </c>
      <c r="V39">
        <f t="shared" si="35"/>
        <v>0</v>
      </c>
      <c r="W39">
        <f t="shared" si="36"/>
        <v>0</v>
      </c>
      <c r="X39">
        <f t="shared" si="37"/>
        <v>0</v>
      </c>
      <c r="Y39">
        <f t="shared" si="38"/>
        <v>0</v>
      </c>
      <c r="AA39">
        <v>42446460</v>
      </c>
      <c r="AB39">
        <f t="shared" si="39"/>
        <v>84.89</v>
      </c>
      <c r="AC39">
        <f t="shared" si="40"/>
        <v>0</v>
      </c>
      <c r="AD39">
        <f t="shared" si="41"/>
        <v>84.89</v>
      </c>
      <c r="AE39">
        <f t="shared" si="42"/>
        <v>19.84</v>
      </c>
      <c r="AF39">
        <f t="shared" si="43"/>
        <v>0</v>
      </c>
      <c r="AG39">
        <f t="shared" si="44"/>
        <v>0</v>
      </c>
      <c r="AH39">
        <f t="shared" si="45"/>
        <v>0</v>
      </c>
      <c r="AI39">
        <f t="shared" si="46"/>
        <v>0</v>
      </c>
      <c r="AJ39">
        <f t="shared" si="47"/>
        <v>0</v>
      </c>
      <c r="AK39">
        <v>84.89</v>
      </c>
      <c r="AL39">
        <v>0</v>
      </c>
      <c r="AM39">
        <v>84.89</v>
      </c>
      <c r="AN39">
        <v>19.84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97</v>
      </c>
      <c r="AU39">
        <v>54</v>
      </c>
      <c r="AV39">
        <v>1</v>
      </c>
      <c r="AW39">
        <v>1</v>
      </c>
      <c r="AZ39">
        <v>1</v>
      </c>
      <c r="BA39">
        <v>18.11</v>
      </c>
      <c r="BB39">
        <v>7.61</v>
      </c>
      <c r="BC39">
        <v>1</v>
      </c>
      <c r="BD39" t="s">
        <v>3</v>
      </c>
      <c r="BE39" t="s">
        <v>3</v>
      </c>
      <c r="BF39" t="s">
        <v>3</v>
      </c>
      <c r="BG39" t="s">
        <v>3</v>
      </c>
      <c r="BH39">
        <v>0</v>
      </c>
      <c r="BI39">
        <v>1</v>
      </c>
      <c r="BJ39" t="s">
        <v>52</v>
      </c>
      <c r="BM39">
        <v>5</v>
      </c>
      <c r="BN39">
        <v>0</v>
      </c>
      <c r="BO39" t="s">
        <v>50</v>
      </c>
      <c r="BP39">
        <v>1</v>
      </c>
      <c r="BQ39">
        <v>30</v>
      </c>
      <c r="BR39">
        <v>0</v>
      </c>
      <c r="BS39">
        <v>18.11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3</v>
      </c>
      <c r="BZ39">
        <v>97</v>
      </c>
      <c r="CA39">
        <v>54</v>
      </c>
      <c r="CF39">
        <v>0</v>
      </c>
      <c r="CG39">
        <v>0</v>
      </c>
      <c r="CM39">
        <v>0</v>
      </c>
      <c r="CN39" t="s">
        <v>3</v>
      </c>
      <c r="CO39">
        <v>0</v>
      </c>
      <c r="CP39">
        <f t="shared" si="48"/>
        <v>5532.71</v>
      </c>
      <c r="CQ39">
        <f t="shared" si="49"/>
        <v>0</v>
      </c>
      <c r="CR39">
        <f t="shared" si="50"/>
        <v>646.01290000000006</v>
      </c>
      <c r="CS39">
        <f t="shared" si="51"/>
        <v>359.30239999999998</v>
      </c>
      <c r="CT39">
        <f t="shared" si="52"/>
        <v>0</v>
      </c>
      <c r="CU39">
        <f t="shared" si="53"/>
        <v>0</v>
      </c>
      <c r="CV39">
        <f t="shared" si="54"/>
        <v>0</v>
      </c>
      <c r="CW39">
        <f t="shared" si="55"/>
        <v>0</v>
      </c>
      <c r="CX39">
        <f t="shared" si="56"/>
        <v>0</v>
      </c>
      <c r="CY39">
        <f t="shared" si="57"/>
        <v>0</v>
      </c>
      <c r="CZ39">
        <f t="shared" si="58"/>
        <v>0</v>
      </c>
      <c r="DC39" t="s">
        <v>3</v>
      </c>
      <c r="DD39" t="s">
        <v>3</v>
      </c>
      <c r="DE39" t="s">
        <v>3</v>
      </c>
      <c r="DF39" t="s">
        <v>3</v>
      </c>
      <c r="DG39" t="s">
        <v>3</v>
      </c>
      <c r="DH39" t="s">
        <v>3</v>
      </c>
      <c r="DI39" t="s">
        <v>3</v>
      </c>
      <c r="DJ39" t="s">
        <v>3</v>
      </c>
      <c r="DK39" t="s">
        <v>3</v>
      </c>
      <c r="DL39" t="s">
        <v>3</v>
      </c>
      <c r="DM39" t="s">
        <v>3</v>
      </c>
      <c r="DN39">
        <v>98</v>
      </c>
      <c r="DO39">
        <v>77</v>
      </c>
      <c r="DP39">
        <v>1.014</v>
      </c>
      <c r="DQ39">
        <v>1</v>
      </c>
      <c r="DU39">
        <v>1013</v>
      </c>
      <c r="DV39" t="s">
        <v>20</v>
      </c>
      <c r="DW39" t="s">
        <v>20</v>
      </c>
      <c r="DX39">
        <v>1</v>
      </c>
      <c r="EE39">
        <v>42186052</v>
      </c>
      <c r="EF39">
        <v>30</v>
      </c>
      <c r="EG39" t="s">
        <v>14</v>
      </c>
      <c r="EH39">
        <v>0</v>
      </c>
      <c r="EI39" t="s">
        <v>3</v>
      </c>
      <c r="EJ39">
        <v>1</v>
      </c>
      <c r="EK39">
        <v>5</v>
      </c>
      <c r="EL39" t="s">
        <v>53</v>
      </c>
      <c r="EM39" t="s">
        <v>54</v>
      </c>
      <c r="EO39" t="s">
        <v>3</v>
      </c>
      <c r="EQ39">
        <v>131072</v>
      </c>
      <c r="ER39">
        <v>84.89</v>
      </c>
      <c r="ES39">
        <v>0</v>
      </c>
      <c r="ET39">
        <v>84.89</v>
      </c>
      <c r="EU39">
        <v>19.84</v>
      </c>
      <c r="EV39">
        <v>0</v>
      </c>
      <c r="EW39">
        <v>0</v>
      </c>
      <c r="EX39">
        <v>0</v>
      </c>
      <c r="EY39">
        <v>0</v>
      </c>
      <c r="FQ39">
        <v>0</v>
      </c>
      <c r="FR39">
        <f t="shared" si="59"/>
        <v>0</v>
      </c>
      <c r="FS39">
        <v>0</v>
      </c>
      <c r="FX39">
        <v>98</v>
      </c>
      <c r="FY39">
        <v>77</v>
      </c>
      <c r="GA39" t="s">
        <v>3</v>
      </c>
      <c r="GD39">
        <v>0</v>
      </c>
      <c r="GF39">
        <v>-2025649596</v>
      </c>
      <c r="GG39">
        <v>2</v>
      </c>
      <c r="GH39">
        <v>0</v>
      </c>
      <c r="GI39">
        <v>0</v>
      </c>
      <c r="GJ39">
        <v>0</v>
      </c>
      <c r="GK39">
        <f>ROUND(R39*(R12)/100,2)</f>
        <v>5138.9399999999996</v>
      </c>
      <c r="GL39">
        <f t="shared" si="60"/>
        <v>0</v>
      </c>
      <c r="GM39">
        <f t="shared" si="61"/>
        <v>10671.65</v>
      </c>
      <c r="GN39">
        <f t="shared" si="62"/>
        <v>10671.65</v>
      </c>
      <c r="GO39">
        <f t="shared" si="63"/>
        <v>0</v>
      </c>
      <c r="GP39">
        <f t="shared" si="64"/>
        <v>0</v>
      </c>
      <c r="GR39">
        <v>0</v>
      </c>
      <c r="GS39">
        <v>0</v>
      </c>
      <c r="GT39">
        <v>0</v>
      </c>
      <c r="GU39" t="s">
        <v>3</v>
      </c>
      <c r="GV39">
        <f t="shared" si="65"/>
        <v>0</v>
      </c>
      <c r="GW39">
        <v>1</v>
      </c>
      <c r="GX39">
        <f t="shared" si="66"/>
        <v>0</v>
      </c>
      <c r="HA39">
        <v>0</v>
      </c>
      <c r="HB39">
        <v>0</v>
      </c>
      <c r="IK39">
        <v>0</v>
      </c>
    </row>
    <row r="40" spans="1:245" x14ac:dyDescent="0.2">
      <c r="A40">
        <v>17</v>
      </c>
      <c r="B40">
        <v>1</v>
      </c>
      <c r="C40">
        <f>ROW(SmtRes!A11)</f>
        <v>11</v>
      </c>
      <c r="D40">
        <f>ROW(EtalonRes!A11)</f>
        <v>11</v>
      </c>
      <c r="E40" t="s">
        <v>58</v>
      </c>
      <c r="F40" t="s">
        <v>59</v>
      </c>
      <c r="G40" t="s">
        <v>60</v>
      </c>
      <c r="H40" t="s">
        <v>61</v>
      </c>
      <c r="I40">
        <f>ROUND(856.44/100,9)</f>
        <v>8.5643999999999991</v>
      </c>
      <c r="J40">
        <v>0</v>
      </c>
      <c r="O40">
        <f t="shared" si="28"/>
        <v>70349.36</v>
      </c>
      <c r="P40">
        <f t="shared" si="29"/>
        <v>0</v>
      </c>
      <c r="Q40">
        <f t="shared" si="30"/>
        <v>51622.43</v>
      </c>
      <c r="R40">
        <f t="shared" si="31"/>
        <v>30241.65</v>
      </c>
      <c r="S40">
        <f t="shared" si="32"/>
        <v>18726.93</v>
      </c>
      <c r="T40">
        <f t="shared" si="33"/>
        <v>0</v>
      </c>
      <c r="U40">
        <f t="shared" si="34"/>
        <v>92.495519999999999</v>
      </c>
      <c r="V40">
        <f t="shared" si="35"/>
        <v>0</v>
      </c>
      <c r="W40">
        <f t="shared" si="36"/>
        <v>0</v>
      </c>
      <c r="X40">
        <f t="shared" si="37"/>
        <v>18165.12</v>
      </c>
      <c r="Y40">
        <f t="shared" si="38"/>
        <v>10112.540000000001</v>
      </c>
      <c r="AA40">
        <v>42446460</v>
      </c>
      <c r="AB40">
        <f t="shared" si="39"/>
        <v>764.71</v>
      </c>
      <c r="AC40">
        <f t="shared" si="40"/>
        <v>0</v>
      </c>
      <c r="AD40">
        <f t="shared" si="41"/>
        <v>643.97</v>
      </c>
      <c r="AE40">
        <f t="shared" si="42"/>
        <v>194.98</v>
      </c>
      <c r="AF40">
        <f t="shared" si="43"/>
        <v>120.74</v>
      </c>
      <c r="AG40">
        <f t="shared" si="44"/>
        <v>0</v>
      </c>
      <c r="AH40">
        <f t="shared" si="45"/>
        <v>10.8</v>
      </c>
      <c r="AI40">
        <f t="shared" si="46"/>
        <v>0</v>
      </c>
      <c r="AJ40">
        <f t="shared" si="47"/>
        <v>0</v>
      </c>
      <c r="AK40">
        <v>764.71</v>
      </c>
      <c r="AL40">
        <v>0</v>
      </c>
      <c r="AM40">
        <v>643.97</v>
      </c>
      <c r="AN40">
        <v>194.98</v>
      </c>
      <c r="AO40">
        <v>120.74</v>
      </c>
      <c r="AP40">
        <v>0</v>
      </c>
      <c r="AQ40">
        <v>10.8</v>
      </c>
      <c r="AR40">
        <v>0</v>
      </c>
      <c r="AS40">
        <v>0</v>
      </c>
      <c r="AT40">
        <v>97</v>
      </c>
      <c r="AU40">
        <v>54</v>
      </c>
      <c r="AV40">
        <v>1</v>
      </c>
      <c r="AW40">
        <v>1</v>
      </c>
      <c r="AZ40">
        <v>1</v>
      </c>
      <c r="BA40">
        <v>18.11</v>
      </c>
      <c r="BB40">
        <v>9.36</v>
      </c>
      <c r="BC40">
        <v>1</v>
      </c>
      <c r="BD40" t="s">
        <v>3</v>
      </c>
      <c r="BE40" t="s">
        <v>3</v>
      </c>
      <c r="BF40" t="s">
        <v>3</v>
      </c>
      <c r="BG40" t="s">
        <v>3</v>
      </c>
      <c r="BH40">
        <v>0</v>
      </c>
      <c r="BI40">
        <v>1</v>
      </c>
      <c r="BJ40" t="s">
        <v>62</v>
      </c>
      <c r="BM40">
        <v>10</v>
      </c>
      <c r="BN40">
        <v>0</v>
      </c>
      <c r="BO40" t="s">
        <v>59</v>
      </c>
      <c r="BP40">
        <v>1</v>
      </c>
      <c r="BQ40">
        <v>30</v>
      </c>
      <c r="BR40">
        <v>0</v>
      </c>
      <c r="BS40">
        <v>18.11</v>
      </c>
      <c r="BT40">
        <v>1</v>
      </c>
      <c r="BU40">
        <v>1</v>
      </c>
      <c r="BV40">
        <v>1</v>
      </c>
      <c r="BW40">
        <v>1</v>
      </c>
      <c r="BX40">
        <v>1</v>
      </c>
      <c r="BY40" t="s">
        <v>3</v>
      </c>
      <c r="BZ40">
        <v>97</v>
      </c>
      <c r="CA40">
        <v>54</v>
      </c>
      <c r="CF40">
        <v>0</v>
      </c>
      <c r="CG40">
        <v>0</v>
      </c>
      <c r="CM40">
        <v>0</v>
      </c>
      <c r="CN40" t="s">
        <v>3</v>
      </c>
      <c r="CO40">
        <v>0</v>
      </c>
      <c r="CP40">
        <f t="shared" si="48"/>
        <v>70349.36</v>
      </c>
      <c r="CQ40">
        <f t="shared" si="49"/>
        <v>0</v>
      </c>
      <c r="CR40">
        <f t="shared" si="50"/>
        <v>6027.5591999999997</v>
      </c>
      <c r="CS40">
        <f t="shared" si="51"/>
        <v>3531.0877999999998</v>
      </c>
      <c r="CT40">
        <f t="shared" si="52"/>
        <v>2186.6014</v>
      </c>
      <c r="CU40">
        <f t="shared" si="53"/>
        <v>0</v>
      </c>
      <c r="CV40">
        <f t="shared" si="54"/>
        <v>10.8</v>
      </c>
      <c r="CW40">
        <f t="shared" si="55"/>
        <v>0</v>
      </c>
      <c r="CX40">
        <f t="shared" si="56"/>
        <v>0</v>
      </c>
      <c r="CY40">
        <f t="shared" si="57"/>
        <v>18165.122100000001</v>
      </c>
      <c r="CZ40">
        <f t="shared" si="58"/>
        <v>10112.542200000002</v>
      </c>
      <c r="DC40" t="s">
        <v>3</v>
      </c>
      <c r="DD40" t="s">
        <v>3</v>
      </c>
      <c r="DE40" t="s">
        <v>3</v>
      </c>
      <c r="DF40" t="s">
        <v>3</v>
      </c>
      <c r="DG40" t="s">
        <v>3</v>
      </c>
      <c r="DH40" t="s">
        <v>3</v>
      </c>
      <c r="DI40" t="s">
        <v>3</v>
      </c>
      <c r="DJ40" t="s">
        <v>3</v>
      </c>
      <c r="DK40" t="s">
        <v>3</v>
      </c>
      <c r="DL40" t="s">
        <v>3</v>
      </c>
      <c r="DM40" t="s">
        <v>3</v>
      </c>
      <c r="DN40">
        <v>98</v>
      </c>
      <c r="DO40">
        <v>77</v>
      </c>
      <c r="DP40">
        <v>1.0469999999999999</v>
      </c>
      <c r="DQ40">
        <v>1</v>
      </c>
      <c r="DU40">
        <v>1013</v>
      </c>
      <c r="DV40" t="s">
        <v>61</v>
      </c>
      <c r="DW40" t="s">
        <v>61</v>
      </c>
      <c r="DX40">
        <v>1</v>
      </c>
      <c r="EE40">
        <v>42186057</v>
      </c>
      <c r="EF40">
        <v>30</v>
      </c>
      <c r="EG40" t="s">
        <v>14</v>
      </c>
      <c r="EH40">
        <v>0</v>
      </c>
      <c r="EI40" t="s">
        <v>3</v>
      </c>
      <c r="EJ40">
        <v>1</v>
      </c>
      <c r="EK40">
        <v>10</v>
      </c>
      <c r="EL40" t="s">
        <v>63</v>
      </c>
      <c r="EM40" t="s">
        <v>64</v>
      </c>
      <c r="EO40" t="s">
        <v>3</v>
      </c>
      <c r="EQ40">
        <v>131072</v>
      </c>
      <c r="ER40">
        <v>764.71</v>
      </c>
      <c r="ES40">
        <v>0</v>
      </c>
      <c r="ET40">
        <v>643.97</v>
      </c>
      <c r="EU40">
        <v>194.98</v>
      </c>
      <c r="EV40">
        <v>120.74</v>
      </c>
      <c r="EW40">
        <v>10.8</v>
      </c>
      <c r="EX40">
        <v>0</v>
      </c>
      <c r="EY40">
        <v>0</v>
      </c>
      <c r="FQ40">
        <v>0</v>
      </c>
      <c r="FR40">
        <f t="shared" si="59"/>
        <v>0</v>
      </c>
      <c r="FS40">
        <v>0</v>
      </c>
      <c r="FX40">
        <v>98</v>
      </c>
      <c r="FY40">
        <v>77</v>
      </c>
      <c r="GA40" t="s">
        <v>3</v>
      </c>
      <c r="GD40">
        <v>0</v>
      </c>
      <c r="GF40">
        <v>-1696570498</v>
      </c>
      <c r="GG40">
        <v>2</v>
      </c>
      <c r="GH40">
        <v>0</v>
      </c>
      <c r="GI40">
        <v>0</v>
      </c>
      <c r="GJ40">
        <v>0</v>
      </c>
      <c r="GK40">
        <f>ROUND(R40*(R12)/100,2)</f>
        <v>50503.56</v>
      </c>
      <c r="GL40">
        <f t="shared" si="60"/>
        <v>0</v>
      </c>
      <c r="GM40">
        <f t="shared" si="61"/>
        <v>149130.57999999999</v>
      </c>
      <c r="GN40">
        <f t="shared" si="62"/>
        <v>149130.57999999999</v>
      </c>
      <c r="GO40">
        <f t="shared" si="63"/>
        <v>0</v>
      </c>
      <c r="GP40">
        <f t="shared" si="64"/>
        <v>0</v>
      </c>
      <c r="GR40">
        <v>0</v>
      </c>
      <c r="GS40">
        <v>0</v>
      </c>
      <c r="GT40">
        <v>0</v>
      </c>
      <c r="GU40" t="s">
        <v>3</v>
      </c>
      <c r="GV40">
        <f t="shared" si="65"/>
        <v>0</v>
      </c>
      <c r="GW40">
        <v>1</v>
      </c>
      <c r="GX40">
        <f t="shared" si="66"/>
        <v>0</v>
      </c>
      <c r="HA40">
        <v>0</v>
      </c>
      <c r="HB40">
        <v>0</v>
      </c>
      <c r="IK40">
        <v>0</v>
      </c>
    </row>
    <row r="41" spans="1:245" x14ac:dyDescent="0.2">
      <c r="A41">
        <v>17</v>
      </c>
      <c r="B41">
        <v>1</v>
      </c>
      <c r="C41">
        <f>ROW(SmtRes!A14)</f>
        <v>14</v>
      </c>
      <c r="D41">
        <f>ROW(EtalonRes!A14)</f>
        <v>14</v>
      </c>
      <c r="E41" t="s">
        <v>65</v>
      </c>
      <c r="F41" t="s">
        <v>66</v>
      </c>
      <c r="G41" t="s">
        <v>67</v>
      </c>
      <c r="H41" t="s">
        <v>68</v>
      </c>
      <c r="I41">
        <f>ROUND(I40,9)</f>
        <v>8.5643999999999991</v>
      </c>
      <c r="J41">
        <v>0</v>
      </c>
      <c r="O41">
        <f t="shared" si="28"/>
        <v>210449.59</v>
      </c>
      <c r="P41">
        <f t="shared" si="29"/>
        <v>25673.33</v>
      </c>
      <c r="Q41">
        <f t="shared" si="30"/>
        <v>166093.17000000001</v>
      </c>
      <c r="R41">
        <f t="shared" si="31"/>
        <v>56680.97</v>
      </c>
      <c r="S41">
        <f t="shared" si="32"/>
        <v>18683.09</v>
      </c>
      <c r="T41">
        <f t="shared" si="33"/>
        <v>0</v>
      </c>
      <c r="U41">
        <f t="shared" si="34"/>
        <v>109.39650695999998</v>
      </c>
      <c r="V41">
        <f t="shared" si="35"/>
        <v>0</v>
      </c>
      <c r="W41">
        <f t="shared" si="36"/>
        <v>0</v>
      </c>
      <c r="X41">
        <f t="shared" si="37"/>
        <v>18122.599999999999</v>
      </c>
      <c r="Y41">
        <f t="shared" si="38"/>
        <v>10088.870000000001</v>
      </c>
      <c r="AA41">
        <v>42446460</v>
      </c>
      <c r="AB41">
        <f t="shared" si="39"/>
        <v>2537.13</v>
      </c>
      <c r="AC41">
        <f t="shared" si="40"/>
        <v>707</v>
      </c>
      <c r="AD41">
        <f t="shared" si="41"/>
        <v>1715.08</v>
      </c>
      <c r="AE41">
        <f t="shared" si="42"/>
        <v>349.04</v>
      </c>
      <c r="AF41">
        <f t="shared" si="43"/>
        <v>115.05</v>
      </c>
      <c r="AG41">
        <f t="shared" si="44"/>
        <v>0</v>
      </c>
      <c r="AH41">
        <f t="shared" si="45"/>
        <v>12.2</v>
      </c>
      <c r="AI41">
        <f t="shared" si="46"/>
        <v>0</v>
      </c>
      <c r="AJ41">
        <f t="shared" si="47"/>
        <v>0</v>
      </c>
      <c r="AK41">
        <v>2537.13</v>
      </c>
      <c r="AL41">
        <v>707</v>
      </c>
      <c r="AM41">
        <v>1715.08</v>
      </c>
      <c r="AN41">
        <v>349.04</v>
      </c>
      <c r="AO41">
        <v>115.05</v>
      </c>
      <c r="AP41">
        <v>0</v>
      </c>
      <c r="AQ41">
        <v>12.2</v>
      </c>
      <c r="AR41">
        <v>0</v>
      </c>
      <c r="AS41">
        <v>0</v>
      </c>
      <c r="AT41">
        <v>97</v>
      </c>
      <c r="AU41">
        <v>54</v>
      </c>
      <c r="AV41">
        <v>1.0469999999999999</v>
      </c>
      <c r="AW41">
        <v>1</v>
      </c>
      <c r="AZ41">
        <v>1</v>
      </c>
      <c r="BA41">
        <v>18.11</v>
      </c>
      <c r="BB41">
        <v>10.8</v>
      </c>
      <c r="BC41">
        <v>4.24</v>
      </c>
      <c r="BD41" t="s">
        <v>3</v>
      </c>
      <c r="BE41" t="s">
        <v>3</v>
      </c>
      <c r="BF41" t="s">
        <v>3</v>
      </c>
      <c r="BG41" t="s">
        <v>3</v>
      </c>
      <c r="BH41">
        <v>0</v>
      </c>
      <c r="BI41">
        <v>1</v>
      </c>
      <c r="BJ41" t="s">
        <v>69</v>
      </c>
      <c r="BM41">
        <v>10</v>
      </c>
      <c r="BN41">
        <v>0</v>
      </c>
      <c r="BO41" t="s">
        <v>66</v>
      </c>
      <c r="BP41">
        <v>1</v>
      </c>
      <c r="BQ41">
        <v>30</v>
      </c>
      <c r="BR41">
        <v>0</v>
      </c>
      <c r="BS41">
        <v>18.11</v>
      </c>
      <c r="BT41">
        <v>1</v>
      </c>
      <c r="BU41">
        <v>1</v>
      </c>
      <c r="BV41">
        <v>1</v>
      </c>
      <c r="BW41">
        <v>1</v>
      </c>
      <c r="BX41">
        <v>1</v>
      </c>
      <c r="BY41" t="s">
        <v>3</v>
      </c>
      <c r="BZ41">
        <v>97</v>
      </c>
      <c r="CA41">
        <v>54</v>
      </c>
      <c r="CF41">
        <v>0</v>
      </c>
      <c r="CG41">
        <v>0</v>
      </c>
      <c r="CM41">
        <v>0</v>
      </c>
      <c r="CN41" t="s">
        <v>3</v>
      </c>
      <c r="CO41">
        <v>0</v>
      </c>
      <c r="CP41">
        <f t="shared" si="48"/>
        <v>210449.59</v>
      </c>
      <c r="CQ41">
        <f t="shared" si="49"/>
        <v>2997.6800000000003</v>
      </c>
      <c r="CR41">
        <f t="shared" si="50"/>
        <v>19393.438608</v>
      </c>
      <c r="CS41">
        <f t="shared" si="51"/>
        <v>6618.2067767999997</v>
      </c>
      <c r="CT41">
        <f t="shared" si="52"/>
        <v>2181.4826085</v>
      </c>
      <c r="CU41">
        <f t="shared" si="53"/>
        <v>0</v>
      </c>
      <c r="CV41">
        <f t="shared" si="54"/>
        <v>12.773399999999999</v>
      </c>
      <c r="CW41">
        <f t="shared" si="55"/>
        <v>0</v>
      </c>
      <c r="CX41">
        <f t="shared" si="56"/>
        <v>0</v>
      </c>
      <c r="CY41">
        <f t="shared" si="57"/>
        <v>18122.597300000001</v>
      </c>
      <c r="CZ41">
        <f t="shared" si="58"/>
        <v>10088.868600000002</v>
      </c>
      <c r="DC41" t="s">
        <v>3</v>
      </c>
      <c r="DD41" t="s">
        <v>3</v>
      </c>
      <c r="DE41" t="s">
        <v>3</v>
      </c>
      <c r="DF41" t="s">
        <v>3</v>
      </c>
      <c r="DG41" t="s">
        <v>3</v>
      </c>
      <c r="DH41" t="s">
        <v>3</v>
      </c>
      <c r="DI41" t="s">
        <v>3</v>
      </c>
      <c r="DJ41" t="s">
        <v>3</v>
      </c>
      <c r="DK41" t="s">
        <v>3</v>
      </c>
      <c r="DL41" t="s">
        <v>3</v>
      </c>
      <c r="DM41" t="s">
        <v>3</v>
      </c>
      <c r="DN41">
        <v>98</v>
      </c>
      <c r="DO41">
        <v>77</v>
      </c>
      <c r="DP41">
        <v>1.0469999999999999</v>
      </c>
      <c r="DQ41">
        <v>1</v>
      </c>
      <c r="DU41">
        <v>1013</v>
      </c>
      <c r="DV41" t="s">
        <v>68</v>
      </c>
      <c r="DW41" t="s">
        <v>68</v>
      </c>
      <c r="DX41">
        <v>1</v>
      </c>
      <c r="EE41">
        <v>42186057</v>
      </c>
      <c r="EF41">
        <v>30</v>
      </c>
      <c r="EG41" t="s">
        <v>14</v>
      </c>
      <c r="EH41">
        <v>0</v>
      </c>
      <c r="EI41" t="s">
        <v>3</v>
      </c>
      <c r="EJ41">
        <v>1</v>
      </c>
      <c r="EK41">
        <v>10</v>
      </c>
      <c r="EL41" t="s">
        <v>63</v>
      </c>
      <c r="EM41" t="s">
        <v>64</v>
      </c>
      <c r="EO41" t="s">
        <v>3</v>
      </c>
      <c r="EQ41">
        <v>0</v>
      </c>
      <c r="ER41">
        <v>2537.13</v>
      </c>
      <c r="ES41">
        <v>707</v>
      </c>
      <c r="ET41">
        <v>1715.08</v>
      </c>
      <c r="EU41">
        <v>349.04</v>
      </c>
      <c r="EV41">
        <v>115.05</v>
      </c>
      <c r="EW41">
        <v>12.2</v>
      </c>
      <c r="EX41">
        <v>0</v>
      </c>
      <c r="EY41">
        <v>0</v>
      </c>
      <c r="FQ41">
        <v>0</v>
      </c>
      <c r="FR41">
        <f t="shared" si="59"/>
        <v>0</v>
      </c>
      <c r="FS41">
        <v>0</v>
      </c>
      <c r="FX41">
        <v>98</v>
      </c>
      <c r="FY41">
        <v>77</v>
      </c>
      <c r="GA41" t="s">
        <v>3</v>
      </c>
      <c r="GD41">
        <v>0</v>
      </c>
      <c r="GF41">
        <v>-54960766</v>
      </c>
      <c r="GG41">
        <v>2</v>
      </c>
      <c r="GH41">
        <v>1</v>
      </c>
      <c r="GI41">
        <v>2</v>
      </c>
      <c r="GJ41">
        <v>0</v>
      </c>
      <c r="GK41">
        <f>ROUND(R41*(R12)/100,2)</f>
        <v>94657.22</v>
      </c>
      <c r="GL41">
        <f t="shared" si="60"/>
        <v>0</v>
      </c>
      <c r="GM41">
        <f t="shared" si="61"/>
        <v>333318.28000000003</v>
      </c>
      <c r="GN41">
        <f t="shared" si="62"/>
        <v>333318.28000000003</v>
      </c>
      <c r="GO41">
        <f t="shared" si="63"/>
        <v>0</v>
      </c>
      <c r="GP41">
        <f t="shared" si="64"/>
        <v>0</v>
      </c>
      <c r="GR41">
        <v>0</v>
      </c>
      <c r="GS41">
        <v>3</v>
      </c>
      <c r="GT41">
        <v>0</v>
      </c>
      <c r="GU41" t="s">
        <v>3</v>
      </c>
      <c r="GV41">
        <f t="shared" si="65"/>
        <v>0</v>
      </c>
      <c r="GW41">
        <v>1</v>
      </c>
      <c r="GX41">
        <f t="shared" si="66"/>
        <v>0</v>
      </c>
      <c r="HA41">
        <v>0</v>
      </c>
      <c r="HB41">
        <v>0</v>
      </c>
      <c r="IK41">
        <v>0</v>
      </c>
    </row>
    <row r="42" spans="1:245" x14ac:dyDescent="0.2">
      <c r="A42">
        <v>17</v>
      </c>
      <c r="B42">
        <v>1</v>
      </c>
      <c r="D42">
        <f>ROW(EtalonRes!A15)</f>
        <v>15</v>
      </c>
      <c r="E42" t="s">
        <v>70</v>
      </c>
      <c r="F42" t="s">
        <v>71</v>
      </c>
      <c r="G42" t="s">
        <v>72</v>
      </c>
      <c r="H42" t="s">
        <v>20</v>
      </c>
      <c r="I42">
        <f>ROUND(951.6*0.1/100,9)</f>
        <v>0.9516</v>
      </c>
      <c r="J42">
        <v>0</v>
      </c>
      <c r="O42">
        <f t="shared" si="28"/>
        <v>18114.62</v>
      </c>
      <c r="P42">
        <f t="shared" si="29"/>
        <v>0</v>
      </c>
      <c r="Q42">
        <f t="shared" si="30"/>
        <v>0</v>
      </c>
      <c r="R42">
        <f t="shared" si="31"/>
        <v>0</v>
      </c>
      <c r="S42">
        <f t="shared" si="32"/>
        <v>18114.62</v>
      </c>
      <c r="T42">
        <f t="shared" si="33"/>
        <v>0</v>
      </c>
      <c r="U42">
        <f t="shared" si="34"/>
        <v>101.85926400000001</v>
      </c>
      <c r="V42">
        <f t="shared" si="35"/>
        <v>0</v>
      </c>
      <c r="W42">
        <f t="shared" si="36"/>
        <v>0</v>
      </c>
      <c r="X42">
        <f t="shared" si="37"/>
        <v>16122.01</v>
      </c>
      <c r="Y42">
        <f t="shared" si="38"/>
        <v>7970.43</v>
      </c>
      <c r="AA42">
        <v>42446460</v>
      </c>
      <c r="AB42">
        <f t="shared" si="39"/>
        <v>1051.1300000000001</v>
      </c>
      <c r="AC42">
        <f t="shared" si="40"/>
        <v>0</v>
      </c>
      <c r="AD42">
        <f t="shared" si="41"/>
        <v>0</v>
      </c>
      <c r="AE42">
        <f t="shared" si="42"/>
        <v>0</v>
      </c>
      <c r="AF42">
        <f t="shared" si="43"/>
        <v>1051.1300000000001</v>
      </c>
      <c r="AG42">
        <f t="shared" si="44"/>
        <v>0</v>
      </c>
      <c r="AH42">
        <f t="shared" si="45"/>
        <v>107.04</v>
      </c>
      <c r="AI42">
        <f t="shared" si="46"/>
        <v>0</v>
      </c>
      <c r="AJ42">
        <f t="shared" si="47"/>
        <v>0</v>
      </c>
      <c r="AK42">
        <v>1051.1300000000001</v>
      </c>
      <c r="AL42">
        <v>0</v>
      </c>
      <c r="AM42">
        <v>0</v>
      </c>
      <c r="AN42">
        <v>0</v>
      </c>
      <c r="AO42">
        <v>1051.1300000000001</v>
      </c>
      <c r="AP42">
        <v>0</v>
      </c>
      <c r="AQ42">
        <v>107.04</v>
      </c>
      <c r="AR42">
        <v>0</v>
      </c>
      <c r="AS42">
        <v>0</v>
      </c>
      <c r="AT42">
        <v>89</v>
      </c>
      <c r="AU42">
        <v>44</v>
      </c>
      <c r="AV42">
        <v>1</v>
      </c>
      <c r="AW42">
        <v>1</v>
      </c>
      <c r="AZ42">
        <v>1</v>
      </c>
      <c r="BA42">
        <v>18.11</v>
      </c>
      <c r="BB42">
        <v>1</v>
      </c>
      <c r="BC42">
        <v>1</v>
      </c>
      <c r="BD42" t="s">
        <v>3</v>
      </c>
      <c r="BE42" t="s">
        <v>3</v>
      </c>
      <c r="BF42" t="s">
        <v>3</v>
      </c>
      <c r="BG42" t="s">
        <v>3</v>
      </c>
      <c r="BH42">
        <v>0</v>
      </c>
      <c r="BI42">
        <v>1</v>
      </c>
      <c r="BJ42" t="s">
        <v>73</v>
      </c>
      <c r="BM42">
        <v>16</v>
      </c>
      <c r="BN42">
        <v>0</v>
      </c>
      <c r="BO42" t="s">
        <v>71</v>
      </c>
      <c r="BP42">
        <v>1</v>
      </c>
      <c r="BQ42">
        <v>30</v>
      </c>
      <c r="BR42">
        <v>0</v>
      </c>
      <c r="BS42">
        <v>18.11</v>
      </c>
      <c r="BT42">
        <v>1</v>
      </c>
      <c r="BU42">
        <v>1</v>
      </c>
      <c r="BV42">
        <v>1</v>
      </c>
      <c r="BW42">
        <v>1</v>
      </c>
      <c r="BX42">
        <v>1</v>
      </c>
      <c r="BY42" t="s">
        <v>3</v>
      </c>
      <c r="BZ42">
        <v>89</v>
      </c>
      <c r="CA42">
        <v>44</v>
      </c>
      <c r="CF42">
        <v>0</v>
      </c>
      <c r="CG42">
        <v>0</v>
      </c>
      <c r="CM42">
        <v>0</v>
      </c>
      <c r="CN42" t="s">
        <v>3</v>
      </c>
      <c r="CO42">
        <v>0</v>
      </c>
      <c r="CP42">
        <f t="shared" si="48"/>
        <v>18114.62</v>
      </c>
      <c r="CQ42">
        <f t="shared" si="49"/>
        <v>0</v>
      </c>
      <c r="CR42">
        <f t="shared" si="50"/>
        <v>0</v>
      </c>
      <c r="CS42">
        <f t="shared" si="51"/>
        <v>0</v>
      </c>
      <c r="CT42">
        <f t="shared" si="52"/>
        <v>19035.9643</v>
      </c>
      <c r="CU42">
        <f t="shared" si="53"/>
        <v>0</v>
      </c>
      <c r="CV42">
        <f t="shared" si="54"/>
        <v>107.04</v>
      </c>
      <c r="CW42">
        <f t="shared" si="55"/>
        <v>0</v>
      </c>
      <c r="CX42">
        <f t="shared" si="56"/>
        <v>0</v>
      </c>
      <c r="CY42">
        <f t="shared" si="57"/>
        <v>16122.0118</v>
      </c>
      <c r="CZ42">
        <f t="shared" si="58"/>
        <v>7970.4327999999996</v>
      </c>
      <c r="DC42" t="s">
        <v>3</v>
      </c>
      <c r="DD42" t="s">
        <v>3</v>
      </c>
      <c r="DE42" t="s">
        <v>3</v>
      </c>
      <c r="DF42" t="s">
        <v>3</v>
      </c>
      <c r="DG42" t="s">
        <v>3</v>
      </c>
      <c r="DH42" t="s">
        <v>3</v>
      </c>
      <c r="DI42" t="s">
        <v>3</v>
      </c>
      <c r="DJ42" t="s">
        <v>3</v>
      </c>
      <c r="DK42" t="s">
        <v>3</v>
      </c>
      <c r="DL42" t="s">
        <v>3</v>
      </c>
      <c r="DM42" t="s">
        <v>3</v>
      </c>
      <c r="DN42">
        <v>105</v>
      </c>
      <c r="DO42">
        <v>77</v>
      </c>
      <c r="DP42">
        <v>1.248</v>
      </c>
      <c r="DQ42">
        <v>1</v>
      </c>
      <c r="DU42">
        <v>1013</v>
      </c>
      <c r="DV42" t="s">
        <v>20</v>
      </c>
      <c r="DW42" t="s">
        <v>20</v>
      </c>
      <c r="DX42">
        <v>1</v>
      </c>
      <c r="EE42">
        <v>42186063</v>
      </c>
      <c r="EF42">
        <v>30</v>
      </c>
      <c r="EG42" t="s">
        <v>14</v>
      </c>
      <c r="EH42">
        <v>0</v>
      </c>
      <c r="EI42" t="s">
        <v>3</v>
      </c>
      <c r="EJ42">
        <v>1</v>
      </c>
      <c r="EK42">
        <v>16</v>
      </c>
      <c r="EL42" t="s">
        <v>32</v>
      </c>
      <c r="EM42" t="s">
        <v>33</v>
      </c>
      <c r="EO42" t="s">
        <v>3</v>
      </c>
      <c r="EQ42">
        <v>131072</v>
      </c>
      <c r="ER42">
        <v>1051.1300000000001</v>
      </c>
      <c r="ES42">
        <v>0</v>
      </c>
      <c r="ET42">
        <v>0</v>
      </c>
      <c r="EU42">
        <v>0</v>
      </c>
      <c r="EV42">
        <v>1051.1300000000001</v>
      </c>
      <c r="EW42">
        <v>107.04</v>
      </c>
      <c r="EX42">
        <v>0</v>
      </c>
      <c r="EY42">
        <v>0</v>
      </c>
      <c r="FQ42">
        <v>0</v>
      </c>
      <c r="FR42">
        <f t="shared" si="59"/>
        <v>0</v>
      </c>
      <c r="FS42">
        <v>0</v>
      </c>
      <c r="FX42">
        <v>105</v>
      </c>
      <c r="FY42">
        <v>77</v>
      </c>
      <c r="GA42" t="s">
        <v>3</v>
      </c>
      <c r="GD42">
        <v>0</v>
      </c>
      <c r="GF42">
        <v>-1043644608</v>
      </c>
      <c r="GG42">
        <v>2</v>
      </c>
      <c r="GH42">
        <v>0</v>
      </c>
      <c r="GI42">
        <v>0</v>
      </c>
      <c r="GJ42">
        <v>0</v>
      </c>
      <c r="GK42">
        <f>ROUND(R42*(R12)/100,2)</f>
        <v>0</v>
      </c>
      <c r="GL42">
        <f t="shared" si="60"/>
        <v>0</v>
      </c>
      <c r="GM42">
        <f t="shared" si="61"/>
        <v>42207.06</v>
      </c>
      <c r="GN42">
        <f t="shared" si="62"/>
        <v>42207.06</v>
      </c>
      <c r="GO42">
        <f t="shared" si="63"/>
        <v>0</v>
      </c>
      <c r="GP42">
        <f t="shared" si="64"/>
        <v>0</v>
      </c>
      <c r="GR42">
        <v>0</v>
      </c>
      <c r="GS42">
        <v>0</v>
      </c>
      <c r="GT42">
        <v>0</v>
      </c>
      <c r="GU42" t="s">
        <v>3</v>
      </c>
      <c r="GV42">
        <f t="shared" si="65"/>
        <v>0</v>
      </c>
      <c r="GW42">
        <v>1</v>
      </c>
      <c r="GX42">
        <f t="shared" si="66"/>
        <v>0</v>
      </c>
      <c r="HA42">
        <v>0</v>
      </c>
      <c r="HB42">
        <v>0</v>
      </c>
      <c r="IK42">
        <v>0</v>
      </c>
    </row>
    <row r="44" spans="1:245" x14ac:dyDescent="0.2">
      <c r="A44" s="2">
        <v>51</v>
      </c>
      <c r="B44" s="2">
        <f>B28</f>
        <v>1</v>
      </c>
      <c r="C44" s="2">
        <f>A28</f>
        <v>5</v>
      </c>
      <c r="D44" s="2">
        <f>ROW(A28)</f>
        <v>28</v>
      </c>
      <c r="E44" s="2"/>
      <c r="F44" s="2" t="str">
        <f>IF(F28&lt;&gt;"",F28,"")</f>
        <v>Новый подраздел</v>
      </c>
      <c r="G44" s="2" t="str">
        <f>IF(G28&lt;&gt;"",G28,"")</f>
        <v>Траншея 1.1</v>
      </c>
      <c r="H44" s="2">
        <v>0</v>
      </c>
      <c r="I44" s="2"/>
      <c r="J44" s="2"/>
      <c r="K44" s="2"/>
      <c r="L44" s="2"/>
      <c r="M44" s="2"/>
      <c r="N44" s="2"/>
      <c r="O44" s="2">
        <f t="shared" ref="O44:T44" si="67">ROUND(AB44,2)</f>
        <v>790485.44</v>
      </c>
      <c r="P44" s="2">
        <f t="shared" si="67"/>
        <v>250186.48</v>
      </c>
      <c r="Q44" s="2">
        <f t="shared" si="67"/>
        <v>385608.99</v>
      </c>
      <c r="R44" s="2">
        <f t="shared" si="67"/>
        <v>179442.32</v>
      </c>
      <c r="S44" s="2">
        <f t="shared" si="67"/>
        <v>154689.97</v>
      </c>
      <c r="T44" s="2">
        <f t="shared" si="67"/>
        <v>0</v>
      </c>
      <c r="U44" s="2">
        <f>AH44</f>
        <v>788.12473896000006</v>
      </c>
      <c r="V44" s="2">
        <f>AI44</f>
        <v>0</v>
      </c>
      <c r="W44" s="2">
        <f>ROUND(AJ44,2)</f>
        <v>0</v>
      </c>
      <c r="X44" s="2">
        <f>ROUND(AK44,2)</f>
        <v>143725.87</v>
      </c>
      <c r="Y44" s="2">
        <f>ROUND(AL44,2)</f>
        <v>73142.399999999994</v>
      </c>
      <c r="Z44" s="2"/>
      <c r="AA44" s="2"/>
      <c r="AB44" s="2">
        <f>ROUND(SUMIF(AA32:AA42,"=42446460",O32:O42),2)</f>
        <v>790485.44</v>
      </c>
      <c r="AC44" s="2">
        <f>ROUND(SUMIF(AA32:AA42,"=42446460",P32:P42),2)</f>
        <v>250186.48</v>
      </c>
      <c r="AD44" s="2">
        <f>ROUND(SUMIF(AA32:AA42,"=42446460",Q32:Q42),2)</f>
        <v>385608.99</v>
      </c>
      <c r="AE44" s="2">
        <f>ROUND(SUMIF(AA32:AA42,"=42446460",R32:R42),2)</f>
        <v>179442.32</v>
      </c>
      <c r="AF44" s="2">
        <f>ROUND(SUMIF(AA32:AA42,"=42446460",S32:S42),2)</f>
        <v>154689.97</v>
      </c>
      <c r="AG44" s="2">
        <f>ROUND(SUMIF(AA32:AA42,"=42446460",T32:T42),2)</f>
        <v>0</v>
      </c>
      <c r="AH44" s="2">
        <f>SUMIF(AA32:AA42,"=42446460",U32:U42)</f>
        <v>788.12473896000006</v>
      </c>
      <c r="AI44" s="2">
        <f>SUMIF(AA32:AA42,"=42446460",V32:V42)</f>
        <v>0</v>
      </c>
      <c r="AJ44" s="2">
        <f>ROUND(SUMIF(AA32:AA42,"=42446460",W32:W42),2)</f>
        <v>0</v>
      </c>
      <c r="AK44" s="2">
        <f>ROUND(SUMIF(AA32:AA42,"=42446460",X32:X42),2)</f>
        <v>143725.87</v>
      </c>
      <c r="AL44" s="2">
        <f>ROUND(SUMIF(AA32:AA42,"=42446460",Y32:Y42),2)</f>
        <v>73142.399999999994</v>
      </c>
      <c r="AM44" s="2"/>
      <c r="AN44" s="2"/>
      <c r="AO44" s="2">
        <f t="shared" ref="AO44:BC44" si="68">ROUND(BX44,2)</f>
        <v>0</v>
      </c>
      <c r="AP44" s="2">
        <f t="shared" si="68"/>
        <v>0</v>
      </c>
      <c r="AQ44" s="2">
        <f t="shared" si="68"/>
        <v>0</v>
      </c>
      <c r="AR44" s="2">
        <f t="shared" si="68"/>
        <v>1307022.3999999999</v>
      </c>
      <c r="AS44" s="2">
        <f t="shared" si="68"/>
        <v>998827.12</v>
      </c>
      <c r="AT44" s="2">
        <f t="shared" si="68"/>
        <v>308195.28000000003</v>
      </c>
      <c r="AU44" s="2">
        <f t="shared" si="68"/>
        <v>0</v>
      </c>
      <c r="AV44" s="2">
        <f t="shared" si="68"/>
        <v>250186.48</v>
      </c>
      <c r="AW44" s="2">
        <f t="shared" si="68"/>
        <v>250186.48</v>
      </c>
      <c r="AX44" s="2">
        <f t="shared" si="68"/>
        <v>0</v>
      </c>
      <c r="AY44" s="2">
        <f t="shared" si="68"/>
        <v>250186.48</v>
      </c>
      <c r="AZ44" s="2">
        <f t="shared" si="68"/>
        <v>0</v>
      </c>
      <c r="BA44" s="2">
        <f t="shared" si="68"/>
        <v>0</v>
      </c>
      <c r="BB44" s="2">
        <f t="shared" si="68"/>
        <v>0</v>
      </c>
      <c r="BC44" s="2">
        <f t="shared" si="68"/>
        <v>0</v>
      </c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>
        <f>ROUND(SUMIF(AA32:AA42,"=42446460",FQ32:FQ42),2)</f>
        <v>0</v>
      </c>
      <c r="BY44" s="2">
        <f>ROUND(SUMIF(AA32:AA42,"=42446460",FR32:FR42),2)</f>
        <v>0</v>
      </c>
      <c r="BZ44" s="2">
        <f>ROUND(SUMIF(AA32:AA42,"=42446460",GL32:GL42),2)</f>
        <v>0</v>
      </c>
      <c r="CA44" s="2">
        <f>ROUND(SUMIF(AA32:AA42,"=42446460",GM32:GM42),2)</f>
        <v>1307022.3999999999</v>
      </c>
      <c r="CB44" s="2">
        <f>ROUND(SUMIF(AA32:AA42,"=42446460",GN32:GN42),2)</f>
        <v>998827.12</v>
      </c>
      <c r="CC44" s="2">
        <f>ROUND(SUMIF(AA32:AA42,"=42446460",GO32:GO42),2)</f>
        <v>308195.28000000003</v>
      </c>
      <c r="CD44" s="2">
        <f>ROUND(SUMIF(AA32:AA42,"=42446460",GP32:GP42),2)</f>
        <v>0</v>
      </c>
      <c r="CE44" s="2">
        <f>AC44-BX44</f>
        <v>250186.48</v>
      </c>
      <c r="CF44" s="2">
        <f>AC44-BY44</f>
        <v>250186.48</v>
      </c>
      <c r="CG44" s="2">
        <f>BX44-BZ44</f>
        <v>0</v>
      </c>
      <c r="CH44" s="2">
        <f>AC44-BX44-BY44+BZ44</f>
        <v>250186.48</v>
      </c>
      <c r="CI44" s="2">
        <f>BY44-BZ44</f>
        <v>0</v>
      </c>
      <c r="CJ44" s="2">
        <f>ROUND(SUMIF(AA32:AA42,"=42446460",GX32:GX42),2)</f>
        <v>0</v>
      </c>
      <c r="CK44" s="2">
        <f>ROUND(SUMIF(AA32:AA42,"=42446460",GY32:GY42),2)</f>
        <v>0</v>
      </c>
      <c r="CL44" s="2">
        <f>ROUND(SUMIF(AA32:AA42,"=42446460",GZ32:GZ42),2)</f>
        <v>0</v>
      </c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>
        <v>0</v>
      </c>
    </row>
    <row r="46" spans="1:245" x14ac:dyDescent="0.2">
      <c r="A46" s="4">
        <v>50</v>
      </c>
      <c r="B46" s="4">
        <v>0</v>
      </c>
      <c r="C46" s="4">
        <v>0</v>
      </c>
      <c r="D46" s="4">
        <v>1</v>
      </c>
      <c r="E46" s="4">
        <v>201</v>
      </c>
      <c r="F46" s="4">
        <f>ROUND(Source!O44,O46)</f>
        <v>790485.44</v>
      </c>
      <c r="G46" s="4" t="s">
        <v>74</v>
      </c>
      <c r="H46" s="4" t="s">
        <v>75</v>
      </c>
      <c r="I46" s="4"/>
      <c r="J46" s="4"/>
      <c r="K46" s="4">
        <v>201</v>
      </c>
      <c r="L46" s="4">
        <v>1</v>
      </c>
      <c r="M46" s="4">
        <v>3</v>
      </c>
      <c r="N46" s="4" t="s">
        <v>3</v>
      </c>
      <c r="O46" s="4">
        <v>2</v>
      </c>
      <c r="P46" s="4"/>
      <c r="Q46" s="4"/>
      <c r="R46" s="4"/>
      <c r="S46" s="4"/>
      <c r="T46" s="4"/>
      <c r="U46" s="4"/>
      <c r="V46" s="4"/>
      <c r="W46" s="4"/>
    </row>
    <row r="47" spans="1:245" x14ac:dyDescent="0.2">
      <c r="A47" s="4">
        <v>50</v>
      </c>
      <c r="B47" s="4">
        <v>0</v>
      </c>
      <c r="C47" s="4">
        <v>0</v>
      </c>
      <c r="D47" s="4">
        <v>1</v>
      </c>
      <c r="E47" s="4">
        <v>202</v>
      </c>
      <c r="F47" s="4">
        <f>ROUND(Source!P44,O47)</f>
        <v>250186.48</v>
      </c>
      <c r="G47" s="4" t="s">
        <v>76</v>
      </c>
      <c r="H47" s="4" t="s">
        <v>77</v>
      </c>
      <c r="I47" s="4"/>
      <c r="J47" s="4"/>
      <c r="K47" s="4">
        <v>202</v>
      </c>
      <c r="L47" s="4">
        <v>2</v>
      </c>
      <c r="M47" s="4">
        <v>3</v>
      </c>
      <c r="N47" s="4" t="s">
        <v>3</v>
      </c>
      <c r="O47" s="4">
        <v>2</v>
      </c>
      <c r="P47" s="4"/>
      <c r="Q47" s="4"/>
      <c r="R47" s="4"/>
      <c r="S47" s="4"/>
      <c r="T47" s="4"/>
      <c r="U47" s="4"/>
      <c r="V47" s="4"/>
      <c r="W47" s="4"/>
    </row>
    <row r="48" spans="1:245" x14ac:dyDescent="0.2">
      <c r="A48" s="4">
        <v>50</v>
      </c>
      <c r="B48" s="4">
        <v>0</v>
      </c>
      <c r="C48" s="4">
        <v>0</v>
      </c>
      <c r="D48" s="4">
        <v>1</v>
      </c>
      <c r="E48" s="4">
        <v>222</v>
      </c>
      <c r="F48" s="4">
        <f>ROUND(Source!AO44,O48)</f>
        <v>0</v>
      </c>
      <c r="G48" s="4" t="s">
        <v>78</v>
      </c>
      <c r="H48" s="4" t="s">
        <v>79</v>
      </c>
      <c r="I48" s="4"/>
      <c r="J48" s="4"/>
      <c r="K48" s="4">
        <v>222</v>
      </c>
      <c r="L48" s="4">
        <v>3</v>
      </c>
      <c r="M48" s="4">
        <v>3</v>
      </c>
      <c r="N48" s="4" t="s">
        <v>3</v>
      </c>
      <c r="O48" s="4">
        <v>2</v>
      </c>
      <c r="P48" s="4"/>
      <c r="Q48" s="4"/>
      <c r="R48" s="4"/>
      <c r="S48" s="4"/>
      <c r="T48" s="4"/>
      <c r="U48" s="4"/>
      <c r="V48" s="4"/>
      <c r="W48" s="4"/>
    </row>
    <row r="49" spans="1:23" x14ac:dyDescent="0.2">
      <c r="A49" s="4">
        <v>50</v>
      </c>
      <c r="B49" s="4">
        <v>0</v>
      </c>
      <c r="C49" s="4">
        <v>0</v>
      </c>
      <c r="D49" s="4">
        <v>1</v>
      </c>
      <c r="E49" s="4">
        <v>225</v>
      </c>
      <c r="F49" s="4">
        <f>ROUND(Source!AV44,O49)</f>
        <v>250186.48</v>
      </c>
      <c r="G49" s="4" t="s">
        <v>80</v>
      </c>
      <c r="H49" s="4" t="s">
        <v>81</v>
      </c>
      <c r="I49" s="4"/>
      <c r="J49" s="4"/>
      <c r="K49" s="4">
        <v>225</v>
      </c>
      <c r="L49" s="4">
        <v>4</v>
      </c>
      <c r="M49" s="4">
        <v>3</v>
      </c>
      <c r="N49" s="4" t="s">
        <v>3</v>
      </c>
      <c r="O49" s="4">
        <v>2</v>
      </c>
      <c r="P49" s="4"/>
      <c r="Q49" s="4"/>
      <c r="R49" s="4"/>
      <c r="S49" s="4"/>
      <c r="T49" s="4"/>
      <c r="U49" s="4"/>
      <c r="V49" s="4"/>
      <c r="W49" s="4"/>
    </row>
    <row r="50" spans="1:23" x14ac:dyDescent="0.2">
      <c r="A50" s="4">
        <v>50</v>
      </c>
      <c r="B50" s="4">
        <v>0</v>
      </c>
      <c r="C50" s="4">
        <v>0</v>
      </c>
      <c r="D50" s="4">
        <v>1</v>
      </c>
      <c r="E50" s="4">
        <v>226</v>
      </c>
      <c r="F50" s="4">
        <f>ROUND(Source!AW44,O50)</f>
        <v>250186.48</v>
      </c>
      <c r="G50" s="4" t="s">
        <v>82</v>
      </c>
      <c r="H50" s="4" t="s">
        <v>83</v>
      </c>
      <c r="I50" s="4"/>
      <c r="J50" s="4"/>
      <c r="K50" s="4">
        <v>226</v>
      </c>
      <c r="L50" s="4">
        <v>5</v>
      </c>
      <c r="M50" s="4">
        <v>3</v>
      </c>
      <c r="N50" s="4" t="s">
        <v>3</v>
      </c>
      <c r="O50" s="4">
        <v>2</v>
      </c>
      <c r="P50" s="4"/>
      <c r="Q50" s="4"/>
      <c r="R50" s="4"/>
      <c r="S50" s="4"/>
      <c r="T50" s="4"/>
      <c r="U50" s="4"/>
      <c r="V50" s="4"/>
      <c r="W50" s="4"/>
    </row>
    <row r="51" spans="1:23" x14ac:dyDescent="0.2">
      <c r="A51" s="4">
        <v>50</v>
      </c>
      <c r="B51" s="4">
        <v>0</v>
      </c>
      <c r="C51" s="4">
        <v>0</v>
      </c>
      <c r="D51" s="4">
        <v>1</v>
      </c>
      <c r="E51" s="4">
        <v>227</v>
      </c>
      <c r="F51" s="4">
        <f>ROUND(Source!AX44,O51)</f>
        <v>0</v>
      </c>
      <c r="G51" s="4" t="s">
        <v>84</v>
      </c>
      <c r="H51" s="4" t="s">
        <v>85</v>
      </c>
      <c r="I51" s="4"/>
      <c r="J51" s="4"/>
      <c r="K51" s="4">
        <v>227</v>
      </c>
      <c r="L51" s="4">
        <v>6</v>
      </c>
      <c r="M51" s="4">
        <v>3</v>
      </c>
      <c r="N51" s="4" t="s">
        <v>3</v>
      </c>
      <c r="O51" s="4">
        <v>2</v>
      </c>
      <c r="P51" s="4"/>
      <c r="Q51" s="4"/>
      <c r="R51" s="4"/>
      <c r="S51" s="4"/>
      <c r="T51" s="4"/>
      <c r="U51" s="4"/>
      <c r="V51" s="4"/>
      <c r="W51" s="4"/>
    </row>
    <row r="52" spans="1:23" x14ac:dyDescent="0.2">
      <c r="A52" s="4">
        <v>50</v>
      </c>
      <c r="B52" s="4">
        <v>0</v>
      </c>
      <c r="C52" s="4">
        <v>0</v>
      </c>
      <c r="D52" s="4">
        <v>1</v>
      </c>
      <c r="E52" s="4">
        <v>228</v>
      </c>
      <c r="F52" s="4">
        <f>ROUND(Source!AY44,O52)</f>
        <v>250186.48</v>
      </c>
      <c r="G52" s="4" t="s">
        <v>86</v>
      </c>
      <c r="H52" s="4" t="s">
        <v>87</v>
      </c>
      <c r="I52" s="4"/>
      <c r="J52" s="4"/>
      <c r="K52" s="4">
        <v>228</v>
      </c>
      <c r="L52" s="4">
        <v>7</v>
      </c>
      <c r="M52" s="4">
        <v>3</v>
      </c>
      <c r="N52" s="4" t="s">
        <v>3</v>
      </c>
      <c r="O52" s="4">
        <v>2</v>
      </c>
      <c r="P52" s="4"/>
      <c r="Q52" s="4"/>
      <c r="R52" s="4"/>
      <c r="S52" s="4"/>
      <c r="T52" s="4"/>
      <c r="U52" s="4"/>
      <c r="V52" s="4"/>
      <c r="W52" s="4"/>
    </row>
    <row r="53" spans="1:23" x14ac:dyDescent="0.2">
      <c r="A53" s="4">
        <v>50</v>
      </c>
      <c r="B53" s="4">
        <v>0</v>
      </c>
      <c r="C53" s="4">
        <v>0</v>
      </c>
      <c r="D53" s="4">
        <v>1</v>
      </c>
      <c r="E53" s="4">
        <v>216</v>
      </c>
      <c r="F53" s="4">
        <f>ROUND(Source!AP44,O53)</f>
        <v>0</v>
      </c>
      <c r="G53" s="4" t="s">
        <v>88</v>
      </c>
      <c r="H53" s="4" t="s">
        <v>89</v>
      </c>
      <c r="I53" s="4"/>
      <c r="J53" s="4"/>
      <c r="K53" s="4">
        <v>216</v>
      </c>
      <c r="L53" s="4">
        <v>8</v>
      </c>
      <c r="M53" s="4">
        <v>3</v>
      </c>
      <c r="N53" s="4" t="s">
        <v>3</v>
      </c>
      <c r="O53" s="4">
        <v>2</v>
      </c>
      <c r="P53" s="4"/>
      <c r="Q53" s="4"/>
      <c r="R53" s="4"/>
      <c r="S53" s="4"/>
      <c r="T53" s="4"/>
      <c r="U53" s="4"/>
      <c r="V53" s="4"/>
      <c r="W53" s="4"/>
    </row>
    <row r="54" spans="1:23" x14ac:dyDescent="0.2">
      <c r="A54" s="4">
        <v>50</v>
      </c>
      <c r="B54" s="4">
        <v>0</v>
      </c>
      <c r="C54" s="4">
        <v>0</v>
      </c>
      <c r="D54" s="4">
        <v>1</v>
      </c>
      <c r="E54" s="4">
        <v>223</v>
      </c>
      <c r="F54" s="4">
        <f>ROUND(Source!AQ44,O54)</f>
        <v>0</v>
      </c>
      <c r="G54" s="4" t="s">
        <v>90</v>
      </c>
      <c r="H54" s="4" t="s">
        <v>91</v>
      </c>
      <c r="I54" s="4"/>
      <c r="J54" s="4"/>
      <c r="K54" s="4">
        <v>223</v>
      </c>
      <c r="L54" s="4">
        <v>9</v>
      </c>
      <c r="M54" s="4">
        <v>3</v>
      </c>
      <c r="N54" s="4" t="s">
        <v>3</v>
      </c>
      <c r="O54" s="4">
        <v>2</v>
      </c>
      <c r="P54" s="4"/>
      <c r="Q54" s="4"/>
      <c r="R54" s="4"/>
      <c r="S54" s="4"/>
      <c r="T54" s="4"/>
      <c r="U54" s="4"/>
      <c r="V54" s="4"/>
      <c r="W54" s="4"/>
    </row>
    <row r="55" spans="1:23" x14ac:dyDescent="0.2">
      <c r="A55" s="4">
        <v>50</v>
      </c>
      <c r="B55" s="4">
        <v>0</v>
      </c>
      <c r="C55" s="4">
        <v>0</v>
      </c>
      <c r="D55" s="4">
        <v>1</v>
      </c>
      <c r="E55" s="4">
        <v>229</v>
      </c>
      <c r="F55" s="4">
        <f>ROUND(Source!AZ44,O55)</f>
        <v>0</v>
      </c>
      <c r="G55" s="4" t="s">
        <v>92</v>
      </c>
      <c r="H55" s="4" t="s">
        <v>93</v>
      </c>
      <c r="I55" s="4"/>
      <c r="J55" s="4"/>
      <c r="K55" s="4">
        <v>229</v>
      </c>
      <c r="L55" s="4">
        <v>10</v>
      </c>
      <c r="M55" s="4">
        <v>3</v>
      </c>
      <c r="N55" s="4" t="s">
        <v>3</v>
      </c>
      <c r="O55" s="4">
        <v>2</v>
      </c>
      <c r="P55" s="4"/>
      <c r="Q55" s="4"/>
      <c r="R55" s="4"/>
      <c r="S55" s="4"/>
      <c r="T55" s="4"/>
      <c r="U55" s="4"/>
      <c r="V55" s="4"/>
      <c r="W55" s="4"/>
    </row>
    <row r="56" spans="1:23" x14ac:dyDescent="0.2">
      <c r="A56" s="4">
        <v>50</v>
      </c>
      <c r="B56" s="4">
        <v>0</v>
      </c>
      <c r="C56" s="4">
        <v>0</v>
      </c>
      <c r="D56" s="4">
        <v>1</v>
      </c>
      <c r="E56" s="4">
        <v>203</v>
      </c>
      <c r="F56" s="4">
        <f>ROUND(Source!Q44,O56)</f>
        <v>385608.99</v>
      </c>
      <c r="G56" s="4" t="s">
        <v>94</v>
      </c>
      <c r="H56" s="4" t="s">
        <v>95</v>
      </c>
      <c r="I56" s="4"/>
      <c r="J56" s="4"/>
      <c r="K56" s="4">
        <v>203</v>
      </c>
      <c r="L56" s="4">
        <v>11</v>
      </c>
      <c r="M56" s="4">
        <v>3</v>
      </c>
      <c r="N56" s="4" t="s">
        <v>3</v>
      </c>
      <c r="O56" s="4">
        <v>2</v>
      </c>
      <c r="P56" s="4"/>
      <c r="Q56" s="4"/>
      <c r="R56" s="4"/>
      <c r="S56" s="4"/>
      <c r="T56" s="4"/>
      <c r="U56" s="4"/>
      <c r="V56" s="4"/>
      <c r="W56" s="4"/>
    </row>
    <row r="57" spans="1:23" x14ac:dyDescent="0.2">
      <c r="A57" s="4">
        <v>50</v>
      </c>
      <c r="B57" s="4">
        <v>0</v>
      </c>
      <c r="C57" s="4">
        <v>0</v>
      </c>
      <c r="D57" s="4">
        <v>1</v>
      </c>
      <c r="E57" s="4">
        <v>231</v>
      </c>
      <c r="F57" s="4">
        <f>ROUND(Source!BB44,O57)</f>
        <v>0</v>
      </c>
      <c r="G57" s="4" t="s">
        <v>96</v>
      </c>
      <c r="H57" s="4" t="s">
        <v>97</v>
      </c>
      <c r="I57" s="4"/>
      <c r="J57" s="4"/>
      <c r="K57" s="4">
        <v>231</v>
      </c>
      <c r="L57" s="4">
        <v>12</v>
      </c>
      <c r="M57" s="4">
        <v>3</v>
      </c>
      <c r="N57" s="4" t="s">
        <v>3</v>
      </c>
      <c r="O57" s="4">
        <v>2</v>
      </c>
      <c r="P57" s="4"/>
      <c r="Q57" s="4"/>
      <c r="R57" s="4"/>
      <c r="S57" s="4"/>
      <c r="T57" s="4"/>
      <c r="U57" s="4"/>
      <c r="V57" s="4"/>
      <c r="W57" s="4"/>
    </row>
    <row r="58" spans="1:23" x14ac:dyDescent="0.2">
      <c r="A58" s="4">
        <v>50</v>
      </c>
      <c r="B58" s="4">
        <v>0</v>
      </c>
      <c r="C58" s="4">
        <v>0</v>
      </c>
      <c r="D58" s="4">
        <v>1</v>
      </c>
      <c r="E58" s="4">
        <v>204</v>
      </c>
      <c r="F58" s="4">
        <f>ROUND(Source!R44,O58)</f>
        <v>179442.32</v>
      </c>
      <c r="G58" s="4" t="s">
        <v>98</v>
      </c>
      <c r="H58" s="4" t="s">
        <v>99</v>
      </c>
      <c r="I58" s="4"/>
      <c r="J58" s="4"/>
      <c r="K58" s="4">
        <v>204</v>
      </c>
      <c r="L58" s="4">
        <v>13</v>
      </c>
      <c r="M58" s="4">
        <v>3</v>
      </c>
      <c r="N58" s="4" t="s">
        <v>3</v>
      </c>
      <c r="O58" s="4">
        <v>2</v>
      </c>
      <c r="P58" s="4"/>
      <c r="Q58" s="4"/>
      <c r="R58" s="4"/>
      <c r="S58" s="4"/>
      <c r="T58" s="4"/>
      <c r="U58" s="4"/>
      <c r="V58" s="4"/>
      <c r="W58" s="4"/>
    </row>
    <row r="59" spans="1:23" x14ac:dyDescent="0.2">
      <c r="A59" s="4">
        <v>50</v>
      </c>
      <c r="B59" s="4">
        <v>0</v>
      </c>
      <c r="C59" s="4">
        <v>0</v>
      </c>
      <c r="D59" s="4">
        <v>1</v>
      </c>
      <c r="E59" s="4">
        <v>205</v>
      </c>
      <c r="F59" s="4">
        <f>ROUND(Source!S44,O59)</f>
        <v>154689.97</v>
      </c>
      <c r="G59" s="4" t="s">
        <v>100</v>
      </c>
      <c r="H59" s="4" t="s">
        <v>101</v>
      </c>
      <c r="I59" s="4"/>
      <c r="J59" s="4"/>
      <c r="K59" s="4">
        <v>205</v>
      </c>
      <c r="L59" s="4">
        <v>14</v>
      </c>
      <c r="M59" s="4">
        <v>3</v>
      </c>
      <c r="N59" s="4" t="s">
        <v>3</v>
      </c>
      <c r="O59" s="4">
        <v>2</v>
      </c>
      <c r="P59" s="4"/>
      <c r="Q59" s="4"/>
      <c r="R59" s="4"/>
      <c r="S59" s="4"/>
      <c r="T59" s="4"/>
      <c r="U59" s="4"/>
      <c r="V59" s="4"/>
      <c r="W59" s="4"/>
    </row>
    <row r="60" spans="1:23" x14ac:dyDescent="0.2">
      <c r="A60" s="4">
        <v>50</v>
      </c>
      <c r="B60" s="4">
        <v>0</v>
      </c>
      <c r="C60" s="4">
        <v>0</v>
      </c>
      <c r="D60" s="4">
        <v>1</v>
      </c>
      <c r="E60" s="4">
        <v>232</v>
      </c>
      <c r="F60" s="4">
        <f>ROUND(Source!BC44,O60)</f>
        <v>0</v>
      </c>
      <c r="G60" s="4" t="s">
        <v>102</v>
      </c>
      <c r="H60" s="4" t="s">
        <v>103</v>
      </c>
      <c r="I60" s="4"/>
      <c r="J60" s="4"/>
      <c r="K60" s="4">
        <v>232</v>
      </c>
      <c r="L60" s="4">
        <v>15</v>
      </c>
      <c r="M60" s="4">
        <v>3</v>
      </c>
      <c r="N60" s="4" t="s">
        <v>3</v>
      </c>
      <c r="O60" s="4">
        <v>2</v>
      </c>
      <c r="P60" s="4"/>
      <c r="Q60" s="4"/>
      <c r="R60" s="4"/>
      <c r="S60" s="4"/>
      <c r="T60" s="4"/>
      <c r="U60" s="4"/>
      <c r="V60" s="4"/>
      <c r="W60" s="4"/>
    </row>
    <row r="61" spans="1:23" x14ac:dyDescent="0.2">
      <c r="A61" s="4">
        <v>50</v>
      </c>
      <c r="B61" s="4">
        <v>0</v>
      </c>
      <c r="C61" s="4">
        <v>0</v>
      </c>
      <c r="D61" s="4">
        <v>1</v>
      </c>
      <c r="E61" s="4">
        <v>214</v>
      </c>
      <c r="F61" s="4">
        <f>ROUND(Source!AS44,O61)</f>
        <v>998827.12</v>
      </c>
      <c r="G61" s="4" t="s">
        <v>104</v>
      </c>
      <c r="H61" s="4" t="s">
        <v>105</v>
      </c>
      <c r="I61" s="4"/>
      <c r="J61" s="4"/>
      <c r="K61" s="4">
        <v>214</v>
      </c>
      <c r="L61" s="4">
        <v>16</v>
      </c>
      <c r="M61" s="4">
        <v>3</v>
      </c>
      <c r="N61" s="4" t="s">
        <v>3</v>
      </c>
      <c r="O61" s="4">
        <v>2</v>
      </c>
      <c r="P61" s="4"/>
      <c r="Q61" s="4"/>
      <c r="R61" s="4"/>
      <c r="S61" s="4"/>
      <c r="T61" s="4"/>
      <c r="U61" s="4"/>
      <c r="V61" s="4"/>
      <c r="W61" s="4"/>
    </row>
    <row r="62" spans="1:23" x14ac:dyDescent="0.2">
      <c r="A62" s="4">
        <v>50</v>
      </c>
      <c r="B62" s="4">
        <v>0</v>
      </c>
      <c r="C62" s="4">
        <v>0</v>
      </c>
      <c r="D62" s="4">
        <v>1</v>
      </c>
      <c r="E62" s="4">
        <v>215</v>
      </c>
      <c r="F62" s="4">
        <f>ROUND(Source!AT44,O62)</f>
        <v>308195.28000000003</v>
      </c>
      <c r="G62" s="4" t="s">
        <v>106</v>
      </c>
      <c r="H62" s="4" t="s">
        <v>107</v>
      </c>
      <c r="I62" s="4"/>
      <c r="J62" s="4"/>
      <c r="K62" s="4">
        <v>215</v>
      </c>
      <c r="L62" s="4">
        <v>17</v>
      </c>
      <c r="M62" s="4">
        <v>3</v>
      </c>
      <c r="N62" s="4" t="s">
        <v>3</v>
      </c>
      <c r="O62" s="4">
        <v>2</v>
      </c>
      <c r="P62" s="4"/>
      <c r="Q62" s="4"/>
      <c r="R62" s="4"/>
      <c r="S62" s="4"/>
      <c r="T62" s="4"/>
      <c r="U62" s="4"/>
      <c r="V62" s="4"/>
      <c r="W62" s="4"/>
    </row>
    <row r="63" spans="1:23" x14ac:dyDescent="0.2">
      <c r="A63" s="4">
        <v>50</v>
      </c>
      <c r="B63" s="4">
        <v>0</v>
      </c>
      <c r="C63" s="4">
        <v>0</v>
      </c>
      <c r="D63" s="4">
        <v>1</v>
      </c>
      <c r="E63" s="4">
        <v>217</v>
      </c>
      <c r="F63" s="4">
        <f>ROUND(Source!AU44,O63)</f>
        <v>0</v>
      </c>
      <c r="G63" s="4" t="s">
        <v>108</v>
      </c>
      <c r="H63" s="4" t="s">
        <v>109</v>
      </c>
      <c r="I63" s="4"/>
      <c r="J63" s="4"/>
      <c r="K63" s="4">
        <v>217</v>
      </c>
      <c r="L63" s="4">
        <v>18</v>
      </c>
      <c r="M63" s="4">
        <v>3</v>
      </c>
      <c r="N63" s="4" t="s">
        <v>3</v>
      </c>
      <c r="O63" s="4">
        <v>2</v>
      </c>
      <c r="P63" s="4"/>
      <c r="Q63" s="4"/>
      <c r="R63" s="4"/>
      <c r="S63" s="4"/>
      <c r="T63" s="4"/>
      <c r="U63" s="4"/>
      <c r="V63" s="4"/>
      <c r="W63" s="4"/>
    </row>
    <row r="64" spans="1:23" x14ac:dyDescent="0.2">
      <c r="A64" s="4">
        <v>50</v>
      </c>
      <c r="B64" s="4">
        <v>0</v>
      </c>
      <c r="C64" s="4">
        <v>0</v>
      </c>
      <c r="D64" s="4">
        <v>1</v>
      </c>
      <c r="E64" s="4">
        <v>230</v>
      </c>
      <c r="F64" s="4">
        <f>ROUND(Source!BA44,O64)</f>
        <v>0</v>
      </c>
      <c r="G64" s="4" t="s">
        <v>110</v>
      </c>
      <c r="H64" s="4" t="s">
        <v>111</v>
      </c>
      <c r="I64" s="4"/>
      <c r="J64" s="4"/>
      <c r="K64" s="4">
        <v>230</v>
      </c>
      <c r="L64" s="4">
        <v>19</v>
      </c>
      <c r="M64" s="4">
        <v>3</v>
      </c>
      <c r="N64" s="4" t="s">
        <v>3</v>
      </c>
      <c r="O64" s="4">
        <v>2</v>
      </c>
      <c r="P64" s="4"/>
      <c r="Q64" s="4"/>
      <c r="R64" s="4"/>
      <c r="S64" s="4"/>
      <c r="T64" s="4"/>
      <c r="U64" s="4"/>
      <c r="V64" s="4"/>
      <c r="W64" s="4"/>
    </row>
    <row r="65" spans="1:245" x14ac:dyDescent="0.2">
      <c r="A65" s="4">
        <v>50</v>
      </c>
      <c r="B65" s="4">
        <v>0</v>
      </c>
      <c r="C65" s="4">
        <v>0</v>
      </c>
      <c r="D65" s="4">
        <v>1</v>
      </c>
      <c r="E65" s="4">
        <v>206</v>
      </c>
      <c r="F65" s="4">
        <f>ROUND(Source!T44,O65)</f>
        <v>0</v>
      </c>
      <c r="G65" s="4" t="s">
        <v>112</v>
      </c>
      <c r="H65" s="4" t="s">
        <v>113</v>
      </c>
      <c r="I65" s="4"/>
      <c r="J65" s="4"/>
      <c r="K65" s="4">
        <v>206</v>
      </c>
      <c r="L65" s="4">
        <v>20</v>
      </c>
      <c r="M65" s="4">
        <v>3</v>
      </c>
      <c r="N65" s="4" t="s">
        <v>3</v>
      </c>
      <c r="O65" s="4">
        <v>2</v>
      </c>
      <c r="P65" s="4"/>
      <c r="Q65" s="4"/>
      <c r="R65" s="4"/>
      <c r="S65" s="4"/>
      <c r="T65" s="4"/>
      <c r="U65" s="4"/>
      <c r="V65" s="4"/>
      <c r="W65" s="4"/>
    </row>
    <row r="66" spans="1:245" x14ac:dyDescent="0.2">
      <c r="A66" s="4">
        <v>50</v>
      </c>
      <c r="B66" s="4">
        <v>0</v>
      </c>
      <c r="C66" s="4">
        <v>0</v>
      </c>
      <c r="D66" s="4">
        <v>1</v>
      </c>
      <c r="E66" s="4">
        <v>207</v>
      </c>
      <c r="F66" s="4">
        <f>Source!U44</f>
        <v>788.12473896000006</v>
      </c>
      <c r="G66" s="4" t="s">
        <v>114</v>
      </c>
      <c r="H66" s="4" t="s">
        <v>115</v>
      </c>
      <c r="I66" s="4"/>
      <c r="J66" s="4"/>
      <c r="K66" s="4">
        <v>207</v>
      </c>
      <c r="L66" s="4">
        <v>21</v>
      </c>
      <c r="M66" s="4">
        <v>3</v>
      </c>
      <c r="N66" s="4" t="s">
        <v>3</v>
      </c>
      <c r="O66" s="4">
        <v>-1</v>
      </c>
      <c r="P66" s="4"/>
      <c r="Q66" s="4"/>
      <c r="R66" s="4"/>
      <c r="S66" s="4"/>
      <c r="T66" s="4"/>
      <c r="U66" s="4"/>
      <c r="V66" s="4"/>
      <c r="W66" s="4"/>
    </row>
    <row r="67" spans="1:245" x14ac:dyDescent="0.2">
      <c r="A67" s="4">
        <v>50</v>
      </c>
      <c r="B67" s="4">
        <v>0</v>
      </c>
      <c r="C67" s="4">
        <v>0</v>
      </c>
      <c r="D67" s="4">
        <v>1</v>
      </c>
      <c r="E67" s="4">
        <v>208</v>
      </c>
      <c r="F67" s="4">
        <f>Source!V44</f>
        <v>0</v>
      </c>
      <c r="G67" s="4" t="s">
        <v>116</v>
      </c>
      <c r="H67" s="4" t="s">
        <v>117</v>
      </c>
      <c r="I67" s="4"/>
      <c r="J67" s="4"/>
      <c r="K67" s="4">
        <v>208</v>
      </c>
      <c r="L67" s="4">
        <v>22</v>
      </c>
      <c r="M67" s="4">
        <v>3</v>
      </c>
      <c r="N67" s="4" t="s">
        <v>3</v>
      </c>
      <c r="O67" s="4">
        <v>-1</v>
      </c>
      <c r="P67" s="4"/>
      <c r="Q67" s="4"/>
      <c r="R67" s="4"/>
      <c r="S67" s="4"/>
      <c r="T67" s="4"/>
      <c r="U67" s="4"/>
      <c r="V67" s="4"/>
      <c r="W67" s="4"/>
    </row>
    <row r="68" spans="1:245" x14ac:dyDescent="0.2">
      <c r="A68" s="4">
        <v>50</v>
      </c>
      <c r="B68" s="4">
        <v>0</v>
      </c>
      <c r="C68" s="4">
        <v>0</v>
      </c>
      <c r="D68" s="4">
        <v>1</v>
      </c>
      <c r="E68" s="4">
        <v>209</v>
      </c>
      <c r="F68" s="4">
        <f>ROUND(Source!W44,O68)</f>
        <v>0</v>
      </c>
      <c r="G68" s="4" t="s">
        <v>118</v>
      </c>
      <c r="H68" s="4" t="s">
        <v>119</v>
      </c>
      <c r="I68" s="4"/>
      <c r="J68" s="4"/>
      <c r="K68" s="4">
        <v>209</v>
      </c>
      <c r="L68" s="4">
        <v>23</v>
      </c>
      <c r="M68" s="4">
        <v>3</v>
      </c>
      <c r="N68" s="4" t="s">
        <v>3</v>
      </c>
      <c r="O68" s="4">
        <v>2</v>
      </c>
      <c r="P68" s="4"/>
      <c r="Q68" s="4"/>
      <c r="R68" s="4"/>
      <c r="S68" s="4"/>
      <c r="T68" s="4"/>
      <c r="U68" s="4"/>
      <c r="V68" s="4"/>
      <c r="W68" s="4"/>
    </row>
    <row r="69" spans="1:245" x14ac:dyDescent="0.2">
      <c r="A69" s="4">
        <v>50</v>
      </c>
      <c r="B69" s="4">
        <v>0</v>
      </c>
      <c r="C69" s="4">
        <v>0</v>
      </c>
      <c r="D69" s="4">
        <v>1</v>
      </c>
      <c r="E69" s="4">
        <v>210</v>
      </c>
      <c r="F69" s="4">
        <f>ROUND(Source!X44,O69)</f>
        <v>143725.87</v>
      </c>
      <c r="G69" s="4" t="s">
        <v>120</v>
      </c>
      <c r="H69" s="4" t="s">
        <v>121</v>
      </c>
      <c r="I69" s="4"/>
      <c r="J69" s="4"/>
      <c r="K69" s="4">
        <v>210</v>
      </c>
      <c r="L69" s="4">
        <v>24</v>
      </c>
      <c r="M69" s="4">
        <v>3</v>
      </c>
      <c r="N69" s="4" t="s">
        <v>3</v>
      </c>
      <c r="O69" s="4">
        <v>2</v>
      </c>
      <c r="P69" s="4"/>
      <c r="Q69" s="4"/>
      <c r="R69" s="4"/>
      <c r="S69" s="4"/>
      <c r="T69" s="4"/>
      <c r="U69" s="4"/>
      <c r="V69" s="4"/>
      <c r="W69" s="4"/>
    </row>
    <row r="70" spans="1:245" x14ac:dyDescent="0.2">
      <c r="A70" s="4">
        <v>50</v>
      </c>
      <c r="B70" s="4">
        <v>0</v>
      </c>
      <c r="C70" s="4">
        <v>0</v>
      </c>
      <c r="D70" s="4">
        <v>1</v>
      </c>
      <c r="E70" s="4">
        <v>211</v>
      </c>
      <c r="F70" s="4">
        <f>ROUND(Source!Y44,O70)</f>
        <v>73142.399999999994</v>
      </c>
      <c r="G70" s="4" t="s">
        <v>122</v>
      </c>
      <c r="H70" s="4" t="s">
        <v>123</v>
      </c>
      <c r="I70" s="4"/>
      <c r="J70" s="4"/>
      <c r="K70" s="4">
        <v>211</v>
      </c>
      <c r="L70" s="4">
        <v>25</v>
      </c>
      <c r="M70" s="4">
        <v>3</v>
      </c>
      <c r="N70" s="4" t="s">
        <v>3</v>
      </c>
      <c r="O70" s="4">
        <v>2</v>
      </c>
      <c r="P70" s="4"/>
      <c r="Q70" s="4"/>
      <c r="R70" s="4"/>
      <c r="S70" s="4"/>
      <c r="T70" s="4"/>
      <c r="U70" s="4"/>
      <c r="V70" s="4"/>
      <c r="W70" s="4"/>
    </row>
    <row r="71" spans="1:245" x14ac:dyDescent="0.2">
      <c r="A71" s="4">
        <v>50</v>
      </c>
      <c r="B71" s="4">
        <v>0</v>
      </c>
      <c r="C71" s="4">
        <v>0</v>
      </c>
      <c r="D71" s="4">
        <v>1</v>
      </c>
      <c r="E71" s="4">
        <v>224</v>
      </c>
      <c r="F71" s="4">
        <f>ROUND(Source!AR44,O71)</f>
        <v>1307022.3999999999</v>
      </c>
      <c r="G71" s="4" t="s">
        <v>124</v>
      </c>
      <c r="H71" s="4" t="s">
        <v>125</v>
      </c>
      <c r="I71" s="4"/>
      <c r="J71" s="4"/>
      <c r="K71" s="4">
        <v>224</v>
      </c>
      <c r="L71" s="4">
        <v>26</v>
      </c>
      <c r="M71" s="4">
        <v>3</v>
      </c>
      <c r="N71" s="4" t="s">
        <v>3</v>
      </c>
      <c r="O71" s="4">
        <v>2</v>
      </c>
      <c r="P71" s="4"/>
      <c r="Q71" s="4"/>
      <c r="R71" s="4"/>
      <c r="S71" s="4"/>
      <c r="T71" s="4"/>
      <c r="U71" s="4"/>
      <c r="V71" s="4"/>
      <c r="W71" s="4"/>
    </row>
    <row r="73" spans="1:245" x14ac:dyDescent="0.2">
      <c r="A73" s="1">
        <v>5</v>
      </c>
      <c r="B73" s="1">
        <v>1</v>
      </c>
      <c r="C73" s="1"/>
      <c r="D73" s="1">
        <f>ROW(A89)</f>
        <v>89</v>
      </c>
      <c r="E73" s="1"/>
      <c r="F73" s="1" t="s">
        <v>15</v>
      </c>
      <c r="G73" s="1" t="s">
        <v>126</v>
      </c>
      <c r="H73" s="1" t="s">
        <v>3</v>
      </c>
      <c r="I73" s="1">
        <v>0</v>
      </c>
      <c r="J73" s="1"/>
      <c r="K73" s="1">
        <v>0</v>
      </c>
      <c r="L73" s="1"/>
      <c r="M73" s="1"/>
      <c r="N73" s="1"/>
      <c r="O73" s="1"/>
      <c r="P73" s="1"/>
      <c r="Q73" s="1"/>
      <c r="R73" s="1"/>
      <c r="S73" s="1"/>
      <c r="T73" s="1"/>
      <c r="U73" s="1" t="s">
        <v>3</v>
      </c>
      <c r="V73" s="1">
        <v>0</v>
      </c>
      <c r="W73" s="1"/>
      <c r="X73" s="1"/>
      <c r="Y73" s="1"/>
      <c r="Z73" s="1"/>
      <c r="AA73" s="1"/>
      <c r="AB73" s="1" t="s">
        <v>3</v>
      </c>
      <c r="AC73" s="1" t="s">
        <v>3</v>
      </c>
      <c r="AD73" s="1" t="s">
        <v>3</v>
      </c>
      <c r="AE73" s="1" t="s">
        <v>3</v>
      </c>
      <c r="AF73" s="1" t="s">
        <v>3</v>
      </c>
      <c r="AG73" s="1" t="s">
        <v>3</v>
      </c>
      <c r="AH73" s="1"/>
      <c r="AI73" s="1"/>
      <c r="AJ73" s="1"/>
      <c r="AK73" s="1"/>
      <c r="AL73" s="1"/>
      <c r="AM73" s="1"/>
      <c r="AN73" s="1"/>
      <c r="AO73" s="1"/>
      <c r="AP73" s="1" t="s">
        <v>3</v>
      </c>
      <c r="AQ73" s="1" t="s">
        <v>3</v>
      </c>
      <c r="AR73" s="1" t="s">
        <v>3</v>
      </c>
      <c r="AS73" s="1"/>
      <c r="AT73" s="1"/>
      <c r="AU73" s="1"/>
      <c r="AV73" s="1"/>
      <c r="AW73" s="1"/>
      <c r="AX73" s="1"/>
      <c r="AY73" s="1"/>
      <c r="AZ73" s="1" t="s">
        <v>3</v>
      </c>
      <c r="BA73" s="1"/>
      <c r="BB73" s="1" t="s">
        <v>3</v>
      </c>
      <c r="BC73" s="1" t="s">
        <v>3</v>
      </c>
      <c r="BD73" s="1" t="s">
        <v>3</v>
      </c>
      <c r="BE73" s="1" t="s">
        <v>3</v>
      </c>
      <c r="BF73" s="1" t="s">
        <v>3</v>
      </c>
      <c r="BG73" s="1" t="s">
        <v>3</v>
      </c>
      <c r="BH73" s="1" t="s">
        <v>3</v>
      </c>
      <c r="BI73" s="1" t="s">
        <v>3</v>
      </c>
      <c r="BJ73" s="1" t="s">
        <v>3</v>
      </c>
      <c r="BK73" s="1" t="s">
        <v>3</v>
      </c>
      <c r="BL73" s="1" t="s">
        <v>3</v>
      </c>
      <c r="BM73" s="1" t="s">
        <v>3</v>
      </c>
      <c r="BN73" s="1" t="s">
        <v>3</v>
      </c>
      <c r="BO73" s="1" t="s">
        <v>3</v>
      </c>
      <c r="BP73" s="1" t="s">
        <v>3</v>
      </c>
      <c r="BQ73" s="1"/>
      <c r="BR73" s="1"/>
      <c r="BS73" s="1"/>
      <c r="BT73" s="1"/>
      <c r="BU73" s="1"/>
      <c r="BV73" s="1"/>
      <c r="BW73" s="1"/>
      <c r="BX73" s="1">
        <v>0</v>
      </c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>
        <v>0</v>
      </c>
    </row>
    <row r="75" spans="1:245" x14ac:dyDescent="0.2">
      <c r="A75" s="2">
        <v>52</v>
      </c>
      <c r="B75" s="2">
        <f t="shared" ref="B75:G75" si="69">B89</f>
        <v>1</v>
      </c>
      <c r="C75" s="2">
        <f t="shared" si="69"/>
        <v>5</v>
      </c>
      <c r="D75" s="2">
        <f t="shared" si="69"/>
        <v>73</v>
      </c>
      <c r="E75" s="2">
        <f t="shared" si="69"/>
        <v>0</v>
      </c>
      <c r="F75" s="2" t="str">
        <f t="shared" si="69"/>
        <v>Новый подраздел</v>
      </c>
      <c r="G75" s="2" t="str">
        <f t="shared" si="69"/>
        <v>Траншея 1.2</v>
      </c>
      <c r="H75" s="2"/>
      <c r="I75" s="2"/>
      <c r="J75" s="2"/>
      <c r="K75" s="2"/>
      <c r="L75" s="2"/>
      <c r="M75" s="2"/>
      <c r="N75" s="2"/>
      <c r="O75" s="2">
        <f t="shared" ref="O75:AT75" si="70">O89</f>
        <v>422738.76</v>
      </c>
      <c r="P75" s="2">
        <f t="shared" si="70"/>
        <v>193599.94</v>
      </c>
      <c r="Q75" s="2">
        <f t="shared" si="70"/>
        <v>161989.54</v>
      </c>
      <c r="R75" s="2">
        <f t="shared" si="70"/>
        <v>76259.960000000006</v>
      </c>
      <c r="S75" s="2">
        <f t="shared" si="70"/>
        <v>67149.279999999999</v>
      </c>
      <c r="T75" s="2">
        <f t="shared" si="70"/>
        <v>0</v>
      </c>
      <c r="U75" s="2">
        <f t="shared" si="70"/>
        <v>348.62743790999997</v>
      </c>
      <c r="V75" s="2">
        <f t="shared" si="70"/>
        <v>0</v>
      </c>
      <c r="W75" s="2">
        <f t="shared" si="70"/>
        <v>0</v>
      </c>
      <c r="X75" s="2">
        <f t="shared" si="70"/>
        <v>62027.64</v>
      </c>
      <c r="Y75" s="2">
        <f t="shared" si="70"/>
        <v>31752.77</v>
      </c>
      <c r="Z75" s="2">
        <f t="shared" si="70"/>
        <v>0</v>
      </c>
      <c r="AA75" s="2">
        <f t="shared" si="70"/>
        <v>0</v>
      </c>
      <c r="AB75" s="2">
        <f t="shared" si="70"/>
        <v>422738.76</v>
      </c>
      <c r="AC75" s="2">
        <f t="shared" si="70"/>
        <v>193599.94</v>
      </c>
      <c r="AD75" s="2">
        <f t="shared" si="70"/>
        <v>161989.54</v>
      </c>
      <c r="AE75" s="2">
        <f t="shared" si="70"/>
        <v>76259.960000000006</v>
      </c>
      <c r="AF75" s="2">
        <f t="shared" si="70"/>
        <v>67149.279999999999</v>
      </c>
      <c r="AG75" s="2">
        <f t="shared" si="70"/>
        <v>0</v>
      </c>
      <c r="AH75" s="2">
        <f t="shared" si="70"/>
        <v>348.62743790999997</v>
      </c>
      <c r="AI75" s="2">
        <f t="shared" si="70"/>
        <v>0</v>
      </c>
      <c r="AJ75" s="2">
        <f t="shared" si="70"/>
        <v>0</v>
      </c>
      <c r="AK75" s="2">
        <f t="shared" si="70"/>
        <v>62027.64</v>
      </c>
      <c r="AL75" s="2">
        <f t="shared" si="70"/>
        <v>31752.77</v>
      </c>
      <c r="AM75" s="2">
        <f t="shared" si="70"/>
        <v>0</v>
      </c>
      <c r="AN75" s="2">
        <f t="shared" si="70"/>
        <v>0</v>
      </c>
      <c r="AO75" s="2">
        <f t="shared" si="70"/>
        <v>0</v>
      </c>
      <c r="AP75" s="2">
        <f t="shared" si="70"/>
        <v>0</v>
      </c>
      <c r="AQ75" s="2">
        <f t="shared" si="70"/>
        <v>0</v>
      </c>
      <c r="AR75" s="2">
        <f t="shared" si="70"/>
        <v>643873.31000000006</v>
      </c>
      <c r="AS75" s="2">
        <f t="shared" si="70"/>
        <v>566528.17000000004</v>
      </c>
      <c r="AT75" s="2">
        <f t="shared" si="70"/>
        <v>77345.14</v>
      </c>
      <c r="AU75" s="2">
        <f t="shared" ref="AU75:BZ75" si="71">AU89</f>
        <v>0</v>
      </c>
      <c r="AV75" s="2">
        <f t="shared" si="71"/>
        <v>193599.94</v>
      </c>
      <c r="AW75" s="2">
        <f t="shared" si="71"/>
        <v>193599.94</v>
      </c>
      <c r="AX75" s="2">
        <f t="shared" si="71"/>
        <v>0</v>
      </c>
      <c r="AY75" s="2">
        <f t="shared" si="71"/>
        <v>193599.94</v>
      </c>
      <c r="AZ75" s="2">
        <f t="shared" si="71"/>
        <v>0</v>
      </c>
      <c r="BA75" s="2">
        <f t="shared" si="71"/>
        <v>0</v>
      </c>
      <c r="BB75" s="2">
        <f t="shared" si="71"/>
        <v>0</v>
      </c>
      <c r="BC75" s="2">
        <f t="shared" si="71"/>
        <v>0</v>
      </c>
      <c r="BD75" s="2">
        <f t="shared" si="71"/>
        <v>0</v>
      </c>
      <c r="BE75" s="2">
        <f t="shared" si="71"/>
        <v>0</v>
      </c>
      <c r="BF75" s="2">
        <f t="shared" si="71"/>
        <v>0</v>
      </c>
      <c r="BG75" s="2">
        <f t="shared" si="71"/>
        <v>0</v>
      </c>
      <c r="BH75" s="2">
        <f t="shared" si="71"/>
        <v>0</v>
      </c>
      <c r="BI75" s="2">
        <f t="shared" si="71"/>
        <v>0</v>
      </c>
      <c r="BJ75" s="2">
        <f t="shared" si="71"/>
        <v>0</v>
      </c>
      <c r="BK75" s="2">
        <f t="shared" si="71"/>
        <v>0</v>
      </c>
      <c r="BL75" s="2">
        <f t="shared" si="71"/>
        <v>0</v>
      </c>
      <c r="BM75" s="2">
        <f t="shared" si="71"/>
        <v>0</v>
      </c>
      <c r="BN75" s="2">
        <f t="shared" si="71"/>
        <v>0</v>
      </c>
      <c r="BO75" s="2">
        <f t="shared" si="71"/>
        <v>0</v>
      </c>
      <c r="BP75" s="2">
        <f t="shared" si="71"/>
        <v>0</v>
      </c>
      <c r="BQ75" s="2">
        <f t="shared" si="71"/>
        <v>0</v>
      </c>
      <c r="BR75" s="2">
        <f t="shared" si="71"/>
        <v>0</v>
      </c>
      <c r="BS75" s="2">
        <f t="shared" si="71"/>
        <v>0</v>
      </c>
      <c r="BT75" s="2">
        <f t="shared" si="71"/>
        <v>0</v>
      </c>
      <c r="BU75" s="2">
        <f t="shared" si="71"/>
        <v>0</v>
      </c>
      <c r="BV75" s="2">
        <f t="shared" si="71"/>
        <v>0</v>
      </c>
      <c r="BW75" s="2">
        <f t="shared" si="71"/>
        <v>0</v>
      </c>
      <c r="BX75" s="2">
        <f t="shared" si="71"/>
        <v>0</v>
      </c>
      <c r="BY75" s="2">
        <f t="shared" si="71"/>
        <v>0</v>
      </c>
      <c r="BZ75" s="2">
        <f t="shared" si="71"/>
        <v>0</v>
      </c>
      <c r="CA75" s="2">
        <f t="shared" ref="CA75:DF75" si="72">CA89</f>
        <v>643873.31000000006</v>
      </c>
      <c r="CB75" s="2">
        <f t="shared" si="72"/>
        <v>566528.17000000004</v>
      </c>
      <c r="CC75" s="2">
        <f t="shared" si="72"/>
        <v>77345.14</v>
      </c>
      <c r="CD75" s="2">
        <f t="shared" si="72"/>
        <v>0</v>
      </c>
      <c r="CE75" s="2">
        <f t="shared" si="72"/>
        <v>193599.94</v>
      </c>
      <c r="CF75" s="2">
        <f t="shared" si="72"/>
        <v>193599.94</v>
      </c>
      <c r="CG75" s="2">
        <f t="shared" si="72"/>
        <v>0</v>
      </c>
      <c r="CH75" s="2">
        <f t="shared" si="72"/>
        <v>193599.94</v>
      </c>
      <c r="CI75" s="2">
        <f t="shared" si="72"/>
        <v>0</v>
      </c>
      <c r="CJ75" s="2">
        <f t="shared" si="72"/>
        <v>0</v>
      </c>
      <c r="CK75" s="2">
        <f t="shared" si="72"/>
        <v>0</v>
      </c>
      <c r="CL75" s="2">
        <f t="shared" si="72"/>
        <v>0</v>
      </c>
      <c r="CM75" s="2">
        <f t="shared" si="72"/>
        <v>0</v>
      </c>
      <c r="CN75" s="2">
        <f t="shared" si="72"/>
        <v>0</v>
      </c>
      <c r="CO75" s="2">
        <f t="shared" si="72"/>
        <v>0</v>
      </c>
      <c r="CP75" s="2">
        <f t="shared" si="72"/>
        <v>0</v>
      </c>
      <c r="CQ75" s="2">
        <f t="shared" si="72"/>
        <v>0</v>
      </c>
      <c r="CR75" s="2">
        <f t="shared" si="72"/>
        <v>0</v>
      </c>
      <c r="CS75" s="2">
        <f t="shared" si="72"/>
        <v>0</v>
      </c>
      <c r="CT75" s="2">
        <f t="shared" si="72"/>
        <v>0</v>
      </c>
      <c r="CU75" s="2">
        <f t="shared" si="72"/>
        <v>0</v>
      </c>
      <c r="CV75" s="2">
        <f t="shared" si="72"/>
        <v>0</v>
      </c>
      <c r="CW75" s="2">
        <f t="shared" si="72"/>
        <v>0</v>
      </c>
      <c r="CX75" s="2">
        <f t="shared" si="72"/>
        <v>0</v>
      </c>
      <c r="CY75" s="2">
        <f t="shared" si="72"/>
        <v>0</v>
      </c>
      <c r="CZ75" s="2">
        <f t="shared" si="72"/>
        <v>0</v>
      </c>
      <c r="DA75" s="2">
        <f t="shared" si="72"/>
        <v>0</v>
      </c>
      <c r="DB75" s="2">
        <f t="shared" si="72"/>
        <v>0</v>
      </c>
      <c r="DC75" s="2">
        <f t="shared" si="72"/>
        <v>0</v>
      </c>
      <c r="DD75" s="2">
        <f t="shared" si="72"/>
        <v>0</v>
      </c>
      <c r="DE75" s="2">
        <f t="shared" si="72"/>
        <v>0</v>
      </c>
      <c r="DF75" s="2">
        <f t="shared" si="72"/>
        <v>0</v>
      </c>
      <c r="DG75" s="3">
        <f t="shared" ref="DG75:EL75" si="73">DG89</f>
        <v>0</v>
      </c>
      <c r="DH75" s="3">
        <f t="shared" si="73"/>
        <v>0</v>
      </c>
      <c r="DI75" s="3">
        <f t="shared" si="73"/>
        <v>0</v>
      </c>
      <c r="DJ75" s="3">
        <f t="shared" si="73"/>
        <v>0</v>
      </c>
      <c r="DK75" s="3">
        <f t="shared" si="73"/>
        <v>0</v>
      </c>
      <c r="DL75" s="3">
        <f t="shared" si="73"/>
        <v>0</v>
      </c>
      <c r="DM75" s="3">
        <f t="shared" si="73"/>
        <v>0</v>
      </c>
      <c r="DN75" s="3">
        <f t="shared" si="73"/>
        <v>0</v>
      </c>
      <c r="DO75" s="3">
        <f t="shared" si="73"/>
        <v>0</v>
      </c>
      <c r="DP75" s="3">
        <f t="shared" si="73"/>
        <v>0</v>
      </c>
      <c r="DQ75" s="3">
        <f t="shared" si="73"/>
        <v>0</v>
      </c>
      <c r="DR75" s="3">
        <f t="shared" si="73"/>
        <v>0</v>
      </c>
      <c r="DS75" s="3">
        <f t="shared" si="73"/>
        <v>0</v>
      </c>
      <c r="DT75" s="3">
        <f t="shared" si="73"/>
        <v>0</v>
      </c>
      <c r="DU75" s="3">
        <f t="shared" si="73"/>
        <v>0</v>
      </c>
      <c r="DV75" s="3">
        <f t="shared" si="73"/>
        <v>0</v>
      </c>
      <c r="DW75" s="3">
        <f t="shared" si="73"/>
        <v>0</v>
      </c>
      <c r="DX75" s="3">
        <f t="shared" si="73"/>
        <v>0</v>
      </c>
      <c r="DY75" s="3">
        <f t="shared" si="73"/>
        <v>0</v>
      </c>
      <c r="DZ75" s="3">
        <f t="shared" si="73"/>
        <v>0</v>
      </c>
      <c r="EA75" s="3">
        <f t="shared" si="73"/>
        <v>0</v>
      </c>
      <c r="EB75" s="3">
        <f t="shared" si="73"/>
        <v>0</v>
      </c>
      <c r="EC75" s="3">
        <f t="shared" si="73"/>
        <v>0</v>
      </c>
      <c r="ED75" s="3">
        <f t="shared" si="73"/>
        <v>0</v>
      </c>
      <c r="EE75" s="3">
        <f t="shared" si="73"/>
        <v>0</v>
      </c>
      <c r="EF75" s="3">
        <f t="shared" si="73"/>
        <v>0</v>
      </c>
      <c r="EG75" s="3">
        <f t="shared" si="73"/>
        <v>0</v>
      </c>
      <c r="EH75" s="3">
        <f t="shared" si="73"/>
        <v>0</v>
      </c>
      <c r="EI75" s="3">
        <f t="shared" si="73"/>
        <v>0</v>
      </c>
      <c r="EJ75" s="3">
        <f t="shared" si="73"/>
        <v>0</v>
      </c>
      <c r="EK75" s="3">
        <f t="shared" si="73"/>
        <v>0</v>
      </c>
      <c r="EL75" s="3">
        <f t="shared" si="73"/>
        <v>0</v>
      </c>
      <c r="EM75" s="3">
        <f t="shared" ref="EM75:FR75" si="74">EM89</f>
        <v>0</v>
      </c>
      <c r="EN75" s="3">
        <f t="shared" si="74"/>
        <v>0</v>
      </c>
      <c r="EO75" s="3">
        <f t="shared" si="74"/>
        <v>0</v>
      </c>
      <c r="EP75" s="3">
        <f t="shared" si="74"/>
        <v>0</v>
      </c>
      <c r="EQ75" s="3">
        <f t="shared" si="74"/>
        <v>0</v>
      </c>
      <c r="ER75" s="3">
        <f t="shared" si="74"/>
        <v>0</v>
      </c>
      <c r="ES75" s="3">
        <f t="shared" si="74"/>
        <v>0</v>
      </c>
      <c r="ET75" s="3">
        <f t="shared" si="74"/>
        <v>0</v>
      </c>
      <c r="EU75" s="3">
        <f t="shared" si="74"/>
        <v>0</v>
      </c>
      <c r="EV75" s="3">
        <f t="shared" si="74"/>
        <v>0</v>
      </c>
      <c r="EW75" s="3">
        <f t="shared" si="74"/>
        <v>0</v>
      </c>
      <c r="EX75" s="3">
        <f t="shared" si="74"/>
        <v>0</v>
      </c>
      <c r="EY75" s="3">
        <f t="shared" si="74"/>
        <v>0</v>
      </c>
      <c r="EZ75" s="3">
        <f t="shared" si="74"/>
        <v>0</v>
      </c>
      <c r="FA75" s="3">
        <f t="shared" si="74"/>
        <v>0</v>
      </c>
      <c r="FB75" s="3">
        <f t="shared" si="74"/>
        <v>0</v>
      </c>
      <c r="FC75" s="3">
        <f t="shared" si="74"/>
        <v>0</v>
      </c>
      <c r="FD75" s="3">
        <f t="shared" si="74"/>
        <v>0</v>
      </c>
      <c r="FE75" s="3">
        <f t="shared" si="74"/>
        <v>0</v>
      </c>
      <c r="FF75" s="3">
        <f t="shared" si="74"/>
        <v>0</v>
      </c>
      <c r="FG75" s="3">
        <f t="shared" si="74"/>
        <v>0</v>
      </c>
      <c r="FH75" s="3">
        <f t="shared" si="74"/>
        <v>0</v>
      </c>
      <c r="FI75" s="3">
        <f t="shared" si="74"/>
        <v>0</v>
      </c>
      <c r="FJ75" s="3">
        <f t="shared" si="74"/>
        <v>0</v>
      </c>
      <c r="FK75" s="3">
        <f t="shared" si="74"/>
        <v>0</v>
      </c>
      <c r="FL75" s="3">
        <f t="shared" si="74"/>
        <v>0</v>
      </c>
      <c r="FM75" s="3">
        <f t="shared" si="74"/>
        <v>0</v>
      </c>
      <c r="FN75" s="3">
        <f t="shared" si="74"/>
        <v>0</v>
      </c>
      <c r="FO75" s="3">
        <f t="shared" si="74"/>
        <v>0</v>
      </c>
      <c r="FP75" s="3">
        <f t="shared" si="74"/>
        <v>0</v>
      </c>
      <c r="FQ75" s="3">
        <f t="shared" si="74"/>
        <v>0</v>
      </c>
      <c r="FR75" s="3">
        <f t="shared" si="74"/>
        <v>0</v>
      </c>
      <c r="FS75" s="3">
        <f t="shared" ref="FS75:GX75" si="75">FS89</f>
        <v>0</v>
      </c>
      <c r="FT75" s="3">
        <f t="shared" si="75"/>
        <v>0</v>
      </c>
      <c r="FU75" s="3">
        <f t="shared" si="75"/>
        <v>0</v>
      </c>
      <c r="FV75" s="3">
        <f t="shared" si="75"/>
        <v>0</v>
      </c>
      <c r="FW75" s="3">
        <f t="shared" si="75"/>
        <v>0</v>
      </c>
      <c r="FX75" s="3">
        <f t="shared" si="75"/>
        <v>0</v>
      </c>
      <c r="FY75" s="3">
        <f t="shared" si="75"/>
        <v>0</v>
      </c>
      <c r="FZ75" s="3">
        <f t="shared" si="75"/>
        <v>0</v>
      </c>
      <c r="GA75" s="3">
        <f t="shared" si="75"/>
        <v>0</v>
      </c>
      <c r="GB75" s="3">
        <f t="shared" si="75"/>
        <v>0</v>
      </c>
      <c r="GC75" s="3">
        <f t="shared" si="75"/>
        <v>0</v>
      </c>
      <c r="GD75" s="3">
        <f t="shared" si="75"/>
        <v>0</v>
      </c>
      <c r="GE75" s="3">
        <f t="shared" si="75"/>
        <v>0</v>
      </c>
      <c r="GF75" s="3">
        <f t="shared" si="75"/>
        <v>0</v>
      </c>
      <c r="GG75" s="3">
        <f t="shared" si="75"/>
        <v>0</v>
      </c>
      <c r="GH75" s="3">
        <f t="shared" si="75"/>
        <v>0</v>
      </c>
      <c r="GI75" s="3">
        <f t="shared" si="75"/>
        <v>0</v>
      </c>
      <c r="GJ75" s="3">
        <f t="shared" si="75"/>
        <v>0</v>
      </c>
      <c r="GK75" s="3">
        <f t="shared" si="75"/>
        <v>0</v>
      </c>
      <c r="GL75" s="3">
        <f t="shared" si="75"/>
        <v>0</v>
      </c>
      <c r="GM75" s="3">
        <f t="shared" si="75"/>
        <v>0</v>
      </c>
      <c r="GN75" s="3">
        <f t="shared" si="75"/>
        <v>0</v>
      </c>
      <c r="GO75" s="3">
        <f t="shared" si="75"/>
        <v>0</v>
      </c>
      <c r="GP75" s="3">
        <f t="shared" si="75"/>
        <v>0</v>
      </c>
      <c r="GQ75" s="3">
        <f t="shared" si="75"/>
        <v>0</v>
      </c>
      <c r="GR75" s="3">
        <f t="shared" si="75"/>
        <v>0</v>
      </c>
      <c r="GS75" s="3">
        <f t="shared" si="75"/>
        <v>0</v>
      </c>
      <c r="GT75" s="3">
        <f t="shared" si="75"/>
        <v>0</v>
      </c>
      <c r="GU75" s="3">
        <f t="shared" si="75"/>
        <v>0</v>
      </c>
      <c r="GV75" s="3">
        <f t="shared" si="75"/>
        <v>0</v>
      </c>
      <c r="GW75" s="3">
        <f t="shared" si="75"/>
        <v>0</v>
      </c>
      <c r="GX75" s="3">
        <f t="shared" si="75"/>
        <v>0</v>
      </c>
    </row>
    <row r="77" spans="1:245" x14ac:dyDescent="0.2">
      <c r="A77">
        <v>17</v>
      </c>
      <c r="B77">
        <v>1</v>
      </c>
      <c r="C77">
        <f>ROW(SmtRes!A16)</f>
        <v>16</v>
      </c>
      <c r="D77">
        <f>ROW(EtalonRes!A17)</f>
        <v>17</v>
      </c>
      <c r="E77" t="s">
        <v>127</v>
      </c>
      <c r="F77" t="s">
        <v>18</v>
      </c>
      <c r="G77" t="s">
        <v>19</v>
      </c>
      <c r="H77" t="s">
        <v>20</v>
      </c>
      <c r="I77">
        <f>ROUND((751.68*0.9-321.03)/100,9)</f>
        <v>3.5548199999999999</v>
      </c>
      <c r="J77">
        <v>0</v>
      </c>
      <c r="O77">
        <f t="shared" ref="O77:O87" si="76">ROUND(CP77,2)</f>
        <v>12892.35</v>
      </c>
      <c r="P77">
        <f t="shared" ref="P77:P87" si="77">ROUND(CQ77*I77,2)</f>
        <v>0</v>
      </c>
      <c r="Q77">
        <f t="shared" ref="Q77:Q87" si="78">ROUND(CR77*I77,2)</f>
        <v>12109.52</v>
      </c>
      <c r="R77">
        <f t="shared" ref="R77:R87" si="79">ROUND(CS77*I77,2)</f>
        <v>8152.8</v>
      </c>
      <c r="S77">
        <f t="shared" ref="S77:S87" si="80">ROUND(CT77*I77,2)</f>
        <v>782.83</v>
      </c>
      <c r="T77">
        <f t="shared" ref="T77:T87" si="81">ROUND(CU77*I77,2)</f>
        <v>0</v>
      </c>
      <c r="U77">
        <f t="shared" ref="U77:U87" si="82">CV77*I77</f>
        <v>4.2302358</v>
      </c>
      <c r="V77">
        <f t="shared" ref="V77:V87" si="83">CW77*I77</f>
        <v>0</v>
      </c>
      <c r="W77">
        <f t="shared" ref="W77:W87" si="84">ROUND(CX77*I77,2)</f>
        <v>0</v>
      </c>
      <c r="X77">
        <f t="shared" ref="X77:X87" si="85">ROUND(CY77,2)</f>
        <v>759.35</v>
      </c>
      <c r="Y77">
        <f t="shared" ref="Y77:Y87" si="86">ROUND(CZ77,2)</f>
        <v>422.73</v>
      </c>
      <c r="AA77">
        <v>42446460</v>
      </c>
      <c r="AB77">
        <f t="shared" ref="AB77:AB87" si="87">ROUND((AC77+AD77+AF77),6)</f>
        <v>424.57</v>
      </c>
      <c r="AC77">
        <f t="shared" ref="AC77:AC87" si="88">ROUND((ES77),6)</f>
        <v>0</v>
      </c>
      <c r="AD77">
        <f t="shared" ref="AD77:AD87" si="89">ROUND((((ET77)-(EU77))+AE77),6)</f>
        <v>412.41</v>
      </c>
      <c r="AE77">
        <f t="shared" ref="AE77:AE87" si="90">ROUND((EU77),6)</f>
        <v>126.64</v>
      </c>
      <c r="AF77">
        <f t="shared" ref="AF77:AF87" si="91">ROUND((EV77),6)</f>
        <v>12.16</v>
      </c>
      <c r="AG77">
        <f t="shared" ref="AG77:AG87" si="92">ROUND((AP77),6)</f>
        <v>0</v>
      </c>
      <c r="AH77">
        <f t="shared" ref="AH77:AH87" si="93">(EW77)</f>
        <v>1.19</v>
      </c>
      <c r="AI77">
        <f t="shared" ref="AI77:AI87" si="94">(EX77)</f>
        <v>0</v>
      </c>
      <c r="AJ77">
        <f t="shared" ref="AJ77:AJ87" si="95">ROUND((AS77),6)</f>
        <v>0</v>
      </c>
      <c r="AK77">
        <v>424.57</v>
      </c>
      <c r="AL77">
        <v>0</v>
      </c>
      <c r="AM77">
        <v>412.41</v>
      </c>
      <c r="AN77">
        <v>126.64</v>
      </c>
      <c r="AO77">
        <v>12.16</v>
      </c>
      <c r="AP77">
        <v>0</v>
      </c>
      <c r="AQ77">
        <v>1.19</v>
      </c>
      <c r="AR77">
        <v>0</v>
      </c>
      <c r="AS77">
        <v>0</v>
      </c>
      <c r="AT77">
        <v>97</v>
      </c>
      <c r="AU77">
        <v>54</v>
      </c>
      <c r="AV77">
        <v>1</v>
      </c>
      <c r="AW77">
        <v>1</v>
      </c>
      <c r="AZ77">
        <v>1</v>
      </c>
      <c r="BA77">
        <v>18.11</v>
      </c>
      <c r="BB77">
        <v>8.26</v>
      </c>
      <c r="BC77">
        <v>1</v>
      </c>
      <c r="BD77" t="s">
        <v>3</v>
      </c>
      <c r="BE77" t="s">
        <v>3</v>
      </c>
      <c r="BF77" t="s">
        <v>3</v>
      </c>
      <c r="BG77" t="s">
        <v>3</v>
      </c>
      <c r="BH77">
        <v>0</v>
      </c>
      <c r="BI77">
        <v>1</v>
      </c>
      <c r="BJ77" t="s">
        <v>21</v>
      </c>
      <c r="BM77">
        <v>2</v>
      </c>
      <c r="BN77">
        <v>0</v>
      </c>
      <c r="BO77" t="s">
        <v>18</v>
      </c>
      <c r="BP77">
        <v>1</v>
      </c>
      <c r="BQ77">
        <v>30</v>
      </c>
      <c r="BR77">
        <v>0</v>
      </c>
      <c r="BS77">
        <v>18.11</v>
      </c>
      <c r="BT77">
        <v>1</v>
      </c>
      <c r="BU77">
        <v>1</v>
      </c>
      <c r="BV77">
        <v>1</v>
      </c>
      <c r="BW77">
        <v>1</v>
      </c>
      <c r="BX77">
        <v>1</v>
      </c>
      <c r="BY77" t="s">
        <v>3</v>
      </c>
      <c r="BZ77">
        <v>97</v>
      </c>
      <c r="CA77">
        <v>54</v>
      </c>
      <c r="CF77">
        <v>0</v>
      </c>
      <c r="CG77">
        <v>0</v>
      </c>
      <c r="CM77">
        <v>0</v>
      </c>
      <c r="CN77" t="s">
        <v>3</v>
      </c>
      <c r="CO77">
        <v>0</v>
      </c>
      <c r="CP77">
        <f t="shared" ref="CP77:CP87" si="96">(P77+Q77+S77)</f>
        <v>12892.35</v>
      </c>
      <c r="CQ77">
        <f t="shared" ref="CQ77:CQ87" si="97">(AC77*BC77*AW77)</f>
        <v>0</v>
      </c>
      <c r="CR77">
        <f t="shared" ref="CR77:CR87" si="98">((((ET77)*BB77-(EU77)*BS77)+AE77*BS77)*AV77)</f>
        <v>3406.5066000000002</v>
      </c>
      <c r="CS77">
        <f t="shared" ref="CS77:CS87" si="99">(AE77*BS77*AV77)</f>
        <v>2293.4503999999997</v>
      </c>
      <c r="CT77">
        <f t="shared" ref="CT77:CT87" si="100">(AF77*BA77*AV77)</f>
        <v>220.2176</v>
      </c>
      <c r="CU77">
        <f t="shared" ref="CU77:CU87" si="101">AG77</f>
        <v>0</v>
      </c>
      <c r="CV77">
        <f t="shared" ref="CV77:CV87" si="102">(AH77*AV77)</f>
        <v>1.19</v>
      </c>
      <c r="CW77">
        <f t="shared" ref="CW77:CW87" si="103">AI77</f>
        <v>0</v>
      </c>
      <c r="CX77">
        <f t="shared" ref="CX77:CX87" si="104">AJ77</f>
        <v>0</v>
      </c>
      <c r="CY77">
        <f t="shared" ref="CY77:CY87" si="105">S77*(BZ77/100)</f>
        <v>759.3451</v>
      </c>
      <c r="CZ77">
        <f t="shared" ref="CZ77:CZ87" si="106">S77*(CA77/100)</f>
        <v>422.72820000000007</v>
      </c>
      <c r="DC77" t="s">
        <v>3</v>
      </c>
      <c r="DD77" t="s">
        <v>3</v>
      </c>
      <c r="DE77" t="s">
        <v>3</v>
      </c>
      <c r="DF77" t="s">
        <v>3</v>
      </c>
      <c r="DG77" t="s">
        <v>3</v>
      </c>
      <c r="DH77" t="s">
        <v>3</v>
      </c>
      <c r="DI77" t="s">
        <v>3</v>
      </c>
      <c r="DJ77" t="s">
        <v>3</v>
      </c>
      <c r="DK77" t="s">
        <v>3</v>
      </c>
      <c r="DL77" t="s">
        <v>3</v>
      </c>
      <c r="DM77" t="s">
        <v>3</v>
      </c>
      <c r="DN77">
        <v>98</v>
      </c>
      <c r="DO77">
        <v>77</v>
      </c>
      <c r="DP77">
        <v>1.1919999999999999</v>
      </c>
      <c r="DQ77">
        <v>1</v>
      </c>
      <c r="DU77">
        <v>1013</v>
      </c>
      <c r="DV77" t="s">
        <v>20</v>
      </c>
      <c r="DW77" t="s">
        <v>20</v>
      </c>
      <c r="DX77">
        <v>1</v>
      </c>
      <c r="EE77">
        <v>42186049</v>
      </c>
      <c r="EF77">
        <v>30</v>
      </c>
      <c r="EG77" t="s">
        <v>14</v>
      </c>
      <c r="EH77">
        <v>0</v>
      </c>
      <c r="EI77" t="s">
        <v>3</v>
      </c>
      <c r="EJ77">
        <v>1</v>
      </c>
      <c r="EK77">
        <v>2</v>
      </c>
      <c r="EL77" t="s">
        <v>22</v>
      </c>
      <c r="EM77" t="s">
        <v>23</v>
      </c>
      <c r="EO77" t="s">
        <v>3</v>
      </c>
      <c r="EQ77">
        <v>131072</v>
      </c>
      <c r="ER77">
        <v>424.57</v>
      </c>
      <c r="ES77">
        <v>0</v>
      </c>
      <c r="ET77">
        <v>412.41</v>
      </c>
      <c r="EU77">
        <v>126.64</v>
      </c>
      <c r="EV77">
        <v>12.16</v>
      </c>
      <c r="EW77">
        <v>1.19</v>
      </c>
      <c r="EX77">
        <v>0</v>
      </c>
      <c r="EY77">
        <v>0</v>
      </c>
      <c r="FQ77">
        <v>0</v>
      </c>
      <c r="FR77">
        <f t="shared" ref="FR77:FR87" si="107">ROUND(IF(AND(BH77=3,BI77=3),P77,0),2)</f>
        <v>0</v>
      </c>
      <c r="FS77">
        <v>0</v>
      </c>
      <c r="FX77">
        <v>98</v>
      </c>
      <c r="FY77">
        <v>77</v>
      </c>
      <c r="GA77" t="s">
        <v>3</v>
      </c>
      <c r="GD77">
        <v>0</v>
      </c>
      <c r="GF77">
        <v>-2106513073</v>
      </c>
      <c r="GG77">
        <v>2</v>
      </c>
      <c r="GH77">
        <v>0</v>
      </c>
      <c r="GI77">
        <v>0</v>
      </c>
      <c r="GJ77">
        <v>0</v>
      </c>
      <c r="GK77">
        <f>ROUND(R77*(R12)/100,2)</f>
        <v>13615.18</v>
      </c>
      <c r="GL77">
        <f t="shared" ref="GL77:GL87" si="108">ROUND(IF(AND(BH77=3,BI77=3,FS77&lt;&gt;0),P77,0),2)</f>
        <v>0</v>
      </c>
      <c r="GM77">
        <f t="shared" ref="GM77:GM87" si="109">ROUND(O77+X77+Y77+GK77,2)+GX77</f>
        <v>27689.61</v>
      </c>
      <c r="GN77">
        <f t="shared" ref="GN77:GN87" si="110">IF(OR(BI77=0,BI77=1),ROUND(O77+X77+Y77+GK77,2),0)</f>
        <v>27689.61</v>
      </c>
      <c r="GO77">
        <f t="shared" ref="GO77:GO87" si="111">IF(BI77=2,ROUND(O77+X77+Y77+GK77,2),0)</f>
        <v>0</v>
      </c>
      <c r="GP77">
        <f t="shared" ref="GP77:GP87" si="112">IF(BI77=4,ROUND(O77+X77+Y77+GK77,2)+GX77,0)</f>
        <v>0</v>
      </c>
      <c r="GR77">
        <v>0</v>
      </c>
      <c r="GS77">
        <v>0</v>
      </c>
      <c r="GT77">
        <v>0</v>
      </c>
      <c r="GU77" t="s">
        <v>3</v>
      </c>
      <c r="GV77">
        <f t="shared" ref="GV77:GV87" si="113">ROUND(GT77,6)</f>
        <v>0</v>
      </c>
      <c r="GW77">
        <v>1</v>
      </c>
      <c r="GX77">
        <f t="shared" ref="GX77:GX87" si="114">ROUND(GV77*GW77*I77,2)</f>
        <v>0</v>
      </c>
      <c r="HA77">
        <v>0</v>
      </c>
      <c r="HB77">
        <v>0</v>
      </c>
      <c r="IK77">
        <v>0</v>
      </c>
    </row>
    <row r="78" spans="1:245" x14ac:dyDescent="0.2">
      <c r="A78">
        <v>17</v>
      </c>
      <c r="B78">
        <v>1</v>
      </c>
      <c r="C78">
        <f>ROW(SmtRes!A19)</f>
        <v>19</v>
      </c>
      <c r="D78">
        <f>ROW(EtalonRes!A20)</f>
        <v>20</v>
      </c>
      <c r="E78" t="s">
        <v>128</v>
      </c>
      <c r="F78" t="s">
        <v>25</v>
      </c>
      <c r="G78" t="s">
        <v>26</v>
      </c>
      <c r="H78" t="s">
        <v>20</v>
      </c>
      <c r="I78">
        <f>ROUND((321.03)/100,9)</f>
        <v>3.2103000000000002</v>
      </c>
      <c r="J78">
        <v>0</v>
      </c>
      <c r="O78">
        <f t="shared" si="76"/>
        <v>22088.11</v>
      </c>
      <c r="P78">
        <f t="shared" si="77"/>
        <v>0</v>
      </c>
      <c r="Q78">
        <f t="shared" si="78"/>
        <v>19998.68</v>
      </c>
      <c r="R78">
        <f t="shared" si="79"/>
        <v>12910.8</v>
      </c>
      <c r="S78">
        <f t="shared" si="80"/>
        <v>2089.4299999999998</v>
      </c>
      <c r="T78">
        <f t="shared" si="81"/>
        <v>0</v>
      </c>
      <c r="U78">
        <f t="shared" si="82"/>
        <v>11.28869892</v>
      </c>
      <c r="V78">
        <f t="shared" si="83"/>
        <v>0</v>
      </c>
      <c r="W78">
        <f t="shared" si="84"/>
        <v>0</v>
      </c>
      <c r="X78">
        <f t="shared" si="85"/>
        <v>2026.75</v>
      </c>
      <c r="Y78">
        <f t="shared" si="86"/>
        <v>1128.29</v>
      </c>
      <c r="AA78">
        <v>42446460</v>
      </c>
      <c r="AB78">
        <f t="shared" si="87"/>
        <v>675.35</v>
      </c>
      <c r="AC78">
        <f t="shared" si="88"/>
        <v>0</v>
      </c>
      <c r="AD78">
        <f t="shared" si="89"/>
        <v>645.20000000000005</v>
      </c>
      <c r="AE78">
        <f t="shared" si="90"/>
        <v>186.3</v>
      </c>
      <c r="AF78">
        <f t="shared" si="91"/>
        <v>30.15</v>
      </c>
      <c r="AG78">
        <f t="shared" si="92"/>
        <v>0</v>
      </c>
      <c r="AH78">
        <f t="shared" si="93"/>
        <v>2.95</v>
      </c>
      <c r="AI78">
        <f t="shared" si="94"/>
        <v>0</v>
      </c>
      <c r="AJ78">
        <f t="shared" si="95"/>
        <v>0</v>
      </c>
      <c r="AK78">
        <v>675.35</v>
      </c>
      <c r="AL78">
        <v>0</v>
      </c>
      <c r="AM78">
        <v>645.20000000000005</v>
      </c>
      <c r="AN78">
        <v>186.3</v>
      </c>
      <c r="AO78">
        <v>30.15</v>
      </c>
      <c r="AP78">
        <v>0</v>
      </c>
      <c r="AQ78">
        <v>2.95</v>
      </c>
      <c r="AR78">
        <v>0</v>
      </c>
      <c r="AS78">
        <v>0</v>
      </c>
      <c r="AT78">
        <v>97</v>
      </c>
      <c r="AU78">
        <v>54</v>
      </c>
      <c r="AV78">
        <v>1.1919999999999999</v>
      </c>
      <c r="AW78">
        <v>1</v>
      </c>
      <c r="AZ78">
        <v>1</v>
      </c>
      <c r="BA78">
        <v>18.11</v>
      </c>
      <c r="BB78">
        <v>8.1</v>
      </c>
      <c r="BC78">
        <v>1</v>
      </c>
      <c r="BD78" t="s">
        <v>3</v>
      </c>
      <c r="BE78" t="s">
        <v>3</v>
      </c>
      <c r="BF78" t="s">
        <v>3</v>
      </c>
      <c r="BG78" t="s">
        <v>3</v>
      </c>
      <c r="BH78">
        <v>0</v>
      </c>
      <c r="BI78">
        <v>1</v>
      </c>
      <c r="BJ78" t="s">
        <v>27</v>
      </c>
      <c r="BM78">
        <v>2</v>
      </c>
      <c r="BN78">
        <v>0</v>
      </c>
      <c r="BO78" t="s">
        <v>25</v>
      </c>
      <c r="BP78">
        <v>1</v>
      </c>
      <c r="BQ78">
        <v>30</v>
      </c>
      <c r="BR78">
        <v>0</v>
      </c>
      <c r="BS78">
        <v>18.11</v>
      </c>
      <c r="BT78">
        <v>1</v>
      </c>
      <c r="BU78">
        <v>1</v>
      </c>
      <c r="BV78">
        <v>1</v>
      </c>
      <c r="BW78">
        <v>1</v>
      </c>
      <c r="BX78">
        <v>1</v>
      </c>
      <c r="BY78" t="s">
        <v>3</v>
      </c>
      <c r="BZ78">
        <v>97</v>
      </c>
      <c r="CA78">
        <v>54</v>
      </c>
      <c r="CF78">
        <v>0</v>
      </c>
      <c r="CG78">
        <v>0</v>
      </c>
      <c r="CM78">
        <v>0</v>
      </c>
      <c r="CN78" t="s">
        <v>3</v>
      </c>
      <c r="CO78">
        <v>0</v>
      </c>
      <c r="CP78">
        <f t="shared" si="96"/>
        <v>22088.11</v>
      </c>
      <c r="CQ78">
        <f t="shared" si="97"/>
        <v>0</v>
      </c>
      <c r="CR78">
        <f t="shared" si="98"/>
        <v>6229.5350399999998</v>
      </c>
      <c r="CS78">
        <f t="shared" si="99"/>
        <v>4021.680456</v>
      </c>
      <c r="CT78">
        <f t="shared" si="100"/>
        <v>650.8516679999999</v>
      </c>
      <c r="CU78">
        <f t="shared" si="101"/>
        <v>0</v>
      </c>
      <c r="CV78">
        <f t="shared" si="102"/>
        <v>3.5164</v>
      </c>
      <c r="CW78">
        <f t="shared" si="103"/>
        <v>0</v>
      </c>
      <c r="CX78">
        <f t="shared" si="104"/>
        <v>0</v>
      </c>
      <c r="CY78">
        <f t="shared" si="105"/>
        <v>2026.7470999999998</v>
      </c>
      <c r="CZ78">
        <f t="shared" si="106"/>
        <v>1128.2922000000001</v>
      </c>
      <c r="DC78" t="s">
        <v>3</v>
      </c>
      <c r="DD78" t="s">
        <v>3</v>
      </c>
      <c r="DE78" t="s">
        <v>3</v>
      </c>
      <c r="DF78" t="s">
        <v>3</v>
      </c>
      <c r="DG78" t="s">
        <v>3</v>
      </c>
      <c r="DH78" t="s">
        <v>3</v>
      </c>
      <c r="DI78" t="s">
        <v>3</v>
      </c>
      <c r="DJ78" t="s">
        <v>3</v>
      </c>
      <c r="DK78" t="s">
        <v>3</v>
      </c>
      <c r="DL78" t="s">
        <v>3</v>
      </c>
      <c r="DM78" t="s">
        <v>3</v>
      </c>
      <c r="DN78">
        <v>98</v>
      </c>
      <c r="DO78">
        <v>77</v>
      </c>
      <c r="DP78">
        <v>1.1919999999999999</v>
      </c>
      <c r="DQ78">
        <v>1</v>
      </c>
      <c r="DU78">
        <v>1013</v>
      </c>
      <c r="DV78" t="s">
        <v>20</v>
      </c>
      <c r="DW78" t="s">
        <v>20</v>
      </c>
      <c r="DX78">
        <v>1</v>
      </c>
      <c r="EE78">
        <v>42186049</v>
      </c>
      <c r="EF78">
        <v>30</v>
      </c>
      <c r="EG78" t="s">
        <v>14</v>
      </c>
      <c r="EH78">
        <v>0</v>
      </c>
      <c r="EI78" t="s">
        <v>3</v>
      </c>
      <c r="EJ78">
        <v>1</v>
      </c>
      <c r="EK78">
        <v>2</v>
      </c>
      <c r="EL78" t="s">
        <v>22</v>
      </c>
      <c r="EM78" t="s">
        <v>23</v>
      </c>
      <c r="EO78" t="s">
        <v>3</v>
      </c>
      <c r="EQ78">
        <v>0</v>
      </c>
      <c r="ER78">
        <v>675.35</v>
      </c>
      <c r="ES78">
        <v>0</v>
      </c>
      <c r="ET78">
        <v>645.20000000000005</v>
      </c>
      <c r="EU78">
        <v>186.3</v>
      </c>
      <c r="EV78">
        <v>30.15</v>
      </c>
      <c r="EW78">
        <v>2.95</v>
      </c>
      <c r="EX78">
        <v>0</v>
      </c>
      <c r="EY78">
        <v>0</v>
      </c>
      <c r="FQ78">
        <v>0</v>
      </c>
      <c r="FR78">
        <f t="shared" si="107"/>
        <v>0</v>
      </c>
      <c r="FS78">
        <v>0</v>
      </c>
      <c r="FX78">
        <v>98</v>
      </c>
      <c r="FY78">
        <v>77</v>
      </c>
      <c r="GA78" t="s">
        <v>3</v>
      </c>
      <c r="GD78">
        <v>0</v>
      </c>
      <c r="GF78">
        <v>1920991722</v>
      </c>
      <c r="GG78">
        <v>2</v>
      </c>
      <c r="GH78">
        <v>1</v>
      </c>
      <c r="GI78">
        <v>2</v>
      </c>
      <c r="GJ78">
        <v>0</v>
      </c>
      <c r="GK78">
        <f>ROUND(R78*(R12)/100,2)</f>
        <v>21561.040000000001</v>
      </c>
      <c r="GL78">
        <f t="shared" si="108"/>
        <v>0</v>
      </c>
      <c r="GM78">
        <f t="shared" si="109"/>
        <v>46804.19</v>
      </c>
      <c r="GN78">
        <f t="shared" si="110"/>
        <v>46804.19</v>
      </c>
      <c r="GO78">
        <f t="shared" si="111"/>
        <v>0</v>
      </c>
      <c r="GP78">
        <f t="shared" si="112"/>
        <v>0</v>
      </c>
      <c r="GR78">
        <v>0</v>
      </c>
      <c r="GS78">
        <v>3</v>
      </c>
      <c r="GT78">
        <v>0</v>
      </c>
      <c r="GU78" t="s">
        <v>3</v>
      </c>
      <c r="GV78">
        <f t="shared" si="113"/>
        <v>0</v>
      </c>
      <c r="GW78">
        <v>1</v>
      </c>
      <c r="GX78">
        <f t="shared" si="114"/>
        <v>0</v>
      </c>
      <c r="HA78">
        <v>0</v>
      </c>
      <c r="HB78">
        <v>0</v>
      </c>
      <c r="IK78">
        <v>0</v>
      </c>
    </row>
    <row r="79" spans="1:245" x14ac:dyDescent="0.2">
      <c r="A79">
        <v>17</v>
      </c>
      <c r="B79">
        <v>1</v>
      </c>
      <c r="E79" t="s">
        <v>129</v>
      </c>
      <c r="F79" t="s">
        <v>29</v>
      </c>
      <c r="G79" t="s">
        <v>30</v>
      </c>
      <c r="H79" t="s">
        <v>20</v>
      </c>
      <c r="I79">
        <f>ROUND(751.68*0.1/100,9)</f>
        <v>0.75168000000000001</v>
      </c>
      <c r="J79">
        <v>0</v>
      </c>
      <c r="O79">
        <f t="shared" si="76"/>
        <v>27806.03</v>
      </c>
      <c r="P79">
        <f t="shared" si="77"/>
        <v>0</v>
      </c>
      <c r="Q79">
        <f t="shared" si="78"/>
        <v>0</v>
      </c>
      <c r="R79">
        <f t="shared" si="79"/>
        <v>0</v>
      </c>
      <c r="S79">
        <f t="shared" si="80"/>
        <v>27806.03</v>
      </c>
      <c r="T79">
        <f t="shared" si="81"/>
        <v>0</v>
      </c>
      <c r="U79">
        <f t="shared" si="82"/>
        <v>144.848736</v>
      </c>
      <c r="V79">
        <f t="shared" si="83"/>
        <v>0</v>
      </c>
      <c r="W79">
        <f t="shared" si="84"/>
        <v>0</v>
      </c>
      <c r="X79">
        <f t="shared" si="85"/>
        <v>24747.37</v>
      </c>
      <c r="Y79">
        <f t="shared" si="86"/>
        <v>12234.65</v>
      </c>
      <c r="AA79">
        <v>42446460</v>
      </c>
      <c r="AB79">
        <f t="shared" si="87"/>
        <v>2042.62</v>
      </c>
      <c r="AC79">
        <f t="shared" si="88"/>
        <v>0</v>
      </c>
      <c r="AD79">
        <f t="shared" si="89"/>
        <v>0</v>
      </c>
      <c r="AE79">
        <f t="shared" si="90"/>
        <v>0</v>
      </c>
      <c r="AF79">
        <f t="shared" si="91"/>
        <v>2042.62</v>
      </c>
      <c r="AG79">
        <f t="shared" si="92"/>
        <v>0</v>
      </c>
      <c r="AH79">
        <f t="shared" si="93"/>
        <v>192.7</v>
      </c>
      <c r="AI79">
        <f t="shared" si="94"/>
        <v>0</v>
      </c>
      <c r="AJ79">
        <f t="shared" si="95"/>
        <v>0</v>
      </c>
      <c r="AK79">
        <v>2042.62</v>
      </c>
      <c r="AL79">
        <v>0</v>
      </c>
      <c r="AM79">
        <v>0</v>
      </c>
      <c r="AN79">
        <v>0</v>
      </c>
      <c r="AO79">
        <v>2042.62</v>
      </c>
      <c r="AP79">
        <v>0</v>
      </c>
      <c r="AQ79">
        <v>192.7</v>
      </c>
      <c r="AR79">
        <v>0</v>
      </c>
      <c r="AS79">
        <v>0</v>
      </c>
      <c r="AT79">
        <v>89</v>
      </c>
      <c r="AU79">
        <v>44</v>
      </c>
      <c r="AV79">
        <v>1</v>
      </c>
      <c r="AW79">
        <v>1</v>
      </c>
      <c r="AZ79">
        <v>1</v>
      </c>
      <c r="BA79">
        <v>18.11</v>
      </c>
      <c r="BB79">
        <v>1</v>
      </c>
      <c r="BC79">
        <v>1</v>
      </c>
      <c r="BD79" t="s">
        <v>3</v>
      </c>
      <c r="BE79" t="s">
        <v>3</v>
      </c>
      <c r="BF79" t="s">
        <v>3</v>
      </c>
      <c r="BG79" t="s">
        <v>3</v>
      </c>
      <c r="BH79">
        <v>0</v>
      </c>
      <c r="BI79">
        <v>1</v>
      </c>
      <c r="BJ79" t="s">
        <v>31</v>
      </c>
      <c r="BM79">
        <v>16</v>
      </c>
      <c r="BN79">
        <v>0</v>
      </c>
      <c r="BO79" t="s">
        <v>29</v>
      </c>
      <c r="BP79">
        <v>1</v>
      </c>
      <c r="BQ79">
        <v>30</v>
      </c>
      <c r="BR79">
        <v>0</v>
      </c>
      <c r="BS79">
        <v>18.11</v>
      </c>
      <c r="BT79">
        <v>1</v>
      </c>
      <c r="BU79">
        <v>1</v>
      </c>
      <c r="BV79">
        <v>1</v>
      </c>
      <c r="BW79">
        <v>1</v>
      </c>
      <c r="BX79">
        <v>1</v>
      </c>
      <c r="BY79" t="s">
        <v>3</v>
      </c>
      <c r="BZ79">
        <v>89</v>
      </c>
      <c r="CA79">
        <v>44</v>
      </c>
      <c r="CF79">
        <v>0</v>
      </c>
      <c r="CG79">
        <v>0</v>
      </c>
      <c r="CM79">
        <v>0</v>
      </c>
      <c r="CN79" t="s">
        <v>3</v>
      </c>
      <c r="CO79">
        <v>0</v>
      </c>
      <c r="CP79">
        <f t="shared" si="96"/>
        <v>27806.03</v>
      </c>
      <c r="CQ79">
        <f t="shared" si="97"/>
        <v>0</v>
      </c>
      <c r="CR79">
        <f t="shared" si="98"/>
        <v>0</v>
      </c>
      <c r="CS79">
        <f t="shared" si="99"/>
        <v>0</v>
      </c>
      <c r="CT79">
        <f t="shared" si="100"/>
        <v>36991.8482</v>
      </c>
      <c r="CU79">
        <f t="shared" si="101"/>
        <v>0</v>
      </c>
      <c r="CV79">
        <f t="shared" si="102"/>
        <v>192.7</v>
      </c>
      <c r="CW79">
        <f t="shared" si="103"/>
        <v>0</v>
      </c>
      <c r="CX79">
        <f t="shared" si="104"/>
        <v>0</v>
      </c>
      <c r="CY79">
        <f t="shared" si="105"/>
        <v>24747.366699999999</v>
      </c>
      <c r="CZ79">
        <f t="shared" si="106"/>
        <v>12234.653199999999</v>
      </c>
      <c r="DC79" t="s">
        <v>3</v>
      </c>
      <c r="DD79" t="s">
        <v>3</v>
      </c>
      <c r="DE79" t="s">
        <v>3</v>
      </c>
      <c r="DF79" t="s">
        <v>3</v>
      </c>
      <c r="DG79" t="s">
        <v>3</v>
      </c>
      <c r="DH79" t="s">
        <v>3</v>
      </c>
      <c r="DI79" t="s">
        <v>3</v>
      </c>
      <c r="DJ79" t="s">
        <v>3</v>
      </c>
      <c r="DK79" t="s">
        <v>3</v>
      </c>
      <c r="DL79" t="s">
        <v>3</v>
      </c>
      <c r="DM79" t="s">
        <v>3</v>
      </c>
      <c r="DN79">
        <v>105</v>
      </c>
      <c r="DO79">
        <v>77</v>
      </c>
      <c r="DP79">
        <v>1.248</v>
      </c>
      <c r="DQ79">
        <v>1</v>
      </c>
      <c r="DU79">
        <v>1013</v>
      </c>
      <c r="DV79" t="s">
        <v>20</v>
      </c>
      <c r="DW79" t="s">
        <v>20</v>
      </c>
      <c r="DX79">
        <v>1</v>
      </c>
      <c r="EE79">
        <v>42186063</v>
      </c>
      <c r="EF79">
        <v>30</v>
      </c>
      <c r="EG79" t="s">
        <v>14</v>
      </c>
      <c r="EH79">
        <v>0</v>
      </c>
      <c r="EI79" t="s">
        <v>3</v>
      </c>
      <c r="EJ79">
        <v>1</v>
      </c>
      <c r="EK79">
        <v>16</v>
      </c>
      <c r="EL79" t="s">
        <v>32</v>
      </c>
      <c r="EM79" t="s">
        <v>33</v>
      </c>
      <c r="EO79" t="s">
        <v>3</v>
      </c>
      <c r="EQ79">
        <v>131072</v>
      </c>
      <c r="ER79">
        <v>2042.62</v>
      </c>
      <c r="ES79">
        <v>0</v>
      </c>
      <c r="ET79">
        <v>0</v>
      </c>
      <c r="EU79">
        <v>0</v>
      </c>
      <c r="EV79">
        <v>2042.62</v>
      </c>
      <c r="EW79">
        <v>192.7</v>
      </c>
      <c r="EX79">
        <v>0</v>
      </c>
      <c r="EY79">
        <v>0</v>
      </c>
      <c r="FQ79">
        <v>0</v>
      </c>
      <c r="FR79">
        <f t="shared" si="107"/>
        <v>0</v>
      </c>
      <c r="FS79">
        <v>0</v>
      </c>
      <c r="FX79">
        <v>105</v>
      </c>
      <c r="FY79">
        <v>77</v>
      </c>
      <c r="GA79" t="s">
        <v>3</v>
      </c>
      <c r="GD79">
        <v>0</v>
      </c>
      <c r="GF79">
        <v>-877998331</v>
      </c>
      <c r="GG79">
        <v>2</v>
      </c>
      <c r="GH79">
        <v>0</v>
      </c>
      <c r="GI79">
        <v>0</v>
      </c>
      <c r="GJ79">
        <v>0</v>
      </c>
      <c r="GK79">
        <f>ROUND(R79*(R12)/100,2)</f>
        <v>0</v>
      </c>
      <c r="GL79">
        <f t="shared" si="108"/>
        <v>0</v>
      </c>
      <c r="GM79">
        <f t="shared" si="109"/>
        <v>64788.05</v>
      </c>
      <c r="GN79">
        <f t="shared" si="110"/>
        <v>64788.05</v>
      </c>
      <c r="GO79">
        <f t="shared" si="111"/>
        <v>0</v>
      </c>
      <c r="GP79">
        <f t="shared" si="112"/>
        <v>0</v>
      </c>
      <c r="GR79">
        <v>0</v>
      </c>
      <c r="GS79">
        <v>0</v>
      </c>
      <c r="GT79">
        <v>0</v>
      </c>
      <c r="GU79" t="s">
        <v>3</v>
      </c>
      <c r="GV79">
        <f t="shared" si="113"/>
        <v>0</v>
      </c>
      <c r="GW79">
        <v>1</v>
      </c>
      <c r="GX79">
        <f t="shared" si="114"/>
        <v>0</v>
      </c>
      <c r="HA79">
        <v>0</v>
      </c>
      <c r="HB79">
        <v>0</v>
      </c>
      <c r="IK79">
        <v>0</v>
      </c>
    </row>
    <row r="80" spans="1:245" x14ac:dyDescent="0.2">
      <c r="A80">
        <v>17</v>
      </c>
      <c r="B80">
        <v>1</v>
      </c>
      <c r="C80">
        <f>ROW(SmtRes!A20)</f>
        <v>20</v>
      </c>
      <c r="D80">
        <f>ROW(EtalonRes!A21)</f>
        <v>21</v>
      </c>
      <c r="E80" t="s">
        <v>130</v>
      </c>
      <c r="F80" t="s">
        <v>35</v>
      </c>
      <c r="G80" t="s">
        <v>36</v>
      </c>
      <c r="H80" t="s">
        <v>37</v>
      </c>
      <c r="I80">
        <f>ROUND(783/100,9)</f>
        <v>7.83</v>
      </c>
      <c r="J80">
        <v>0</v>
      </c>
      <c r="O80">
        <f t="shared" si="76"/>
        <v>38648.58</v>
      </c>
      <c r="P80">
        <f t="shared" si="77"/>
        <v>24.03</v>
      </c>
      <c r="Q80">
        <f t="shared" si="78"/>
        <v>27281.439999999999</v>
      </c>
      <c r="R80">
        <f t="shared" si="79"/>
        <v>13594.48</v>
      </c>
      <c r="S80">
        <f t="shared" si="80"/>
        <v>11343.11</v>
      </c>
      <c r="T80">
        <f t="shared" si="81"/>
        <v>0</v>
      </c>
      <c r="U80">
        <f t="shared" si="82"/>
        <v>50.796028800000002</v>
      </c>
      <c r="V80">
        <f t="shared" si="83"/>
        <v>0</v>
      </c>
      <c r="W80">
        <f t="shared" si="84"/>
        <v>0</v>
      </c>
      <c r="X80">
        <f t="shared" si="85"/>
        <v>10775.95</v>
      </c>
      <c r="Y80">
        <f t="shared" si="86"/>
        <v>5217.83</v>
      </c>
      <c r="AA80">
        <v>42446460</v>
      </c>
      <c r="AB80">
        <f t="shared" si="87"/>
        <v>462.43</v>
      </c>
      <c r="AC80">
        <f t="shared" si="88"/>
        <v>0.56000000000000005</v>
      </c>
      <c r="AD80">
        <f t="shared" si="89"/>
        <v>386.9</v>
      </c>
      <c r="AE80">
        <f t="shared" si="90"/>
        <v>89.85</v>
      </c>
      <c r="AF80">
        <f t="shared" si="91"/>
        <v>74.97</v>
      </c>
      <c r="AG80">
        <f t="shared" si="92"/>
        <v>0</v>
      </c>
      <c r="AH80">
        <f t="shared" si="93"/>
        <v>6.08</v>
      </c>
      <c r="AI80">
        <f t="shared" si="94"/>
        <v>0</v>
      </c>
      <c r="AJ80">
        <f t="shared" si="95"/>
        <v>0</v>
      </c>
      <c r="AK80">
        <v>462.43</v>
      </c>
      <c r="AL80">
        <v>0.56000000000000005</v>
      </c>
      <c r="AM80">
        <v>386.9</v>
      </c>
      <c r="AN80">
        <v>89.85</v>
      </c>
      <c r="AO80">
        <v>74.97</v>
      </c>
      <c r="AP80">
        <v>0</v>
      </c>
      <c r="AQ80">
        <v>6.08</v>
      </c>
      <c r="AR80">
        <v>0</v>
      </c>
      <c r="AS80">
        <v>0</v>
      </c>
      <c r="AT80">
        <v>95</v>
      </c>
      <c r="AU80">
        <v>46</v>
      </c>
      <c r="AV80">
        <v>1.0669999999999999</v>
      </c>
      <c r="AW80">
        <v>1.081</v>
      </c>
      <c r="AZ80">
        <v>1</v>
      </c>
      <c r="BA80">
        <v>18.11</v>
      </c>
      <c r="BB80">
        <v>8.44</v>
      </c>
      <c r="BC80">
        <v>5.07</v>
      </c>
      <c r="BD80" t="s">
        <v>3</v>
      </c>
      <c r="BE80" t="s">
        <v>3</v>
      </c>
      <c r="BF80" t="s">
        <v>3</v>
      </c>
      <c r="BG80" t="s">
        <v>3</v>
      </c>
      <c r="BH80">
        <v>0</v>
      </c>
      <c r="BI80">
        <v>2</v>
      </c>
      <c r="BJ80" t="s">
        <v>38</v>
      </c>
      <c r="BM80">
        <v>318</v>
      </c>
      <c r="BN80">
        <v>0</v>
      </c>
      <c r="BO80" t="s">
        <v>35</v>
      </c>
      <c r="BP80">
        <v>1</v>
      </c>
      <c r="BQ80">
        <v>40</v>
      </c>
      <c r="BR80">
        <v>0</v>
      </c>
      <c r="BS80">
        <v>18.11</v>
      </c>
      <c r="BT80">
        <v>1</v>
      </c>
      <c r="BU80">
        <v>1</v>
      </c>
      <c r="BV80">
        <v>1</v>
      </c>
      <c r="BW80">
        <v>1</v>
      </c>
      <c r="BX80">
        <v>1</v>
      </c>
      <c r="BY80" t="s">
        <v>3</v>
      </c>
      <c r="BZ80">
        <v>95</v>
      </c>
      <c r="CA80">
        <v>46</v>
      </c>
      <c r="CF80">
        <v>0</v>
      </c>
      <c r="CG80">
        <v>0</v>
      </c>
      <c r="CM80">
        <v>0</v>
      </c>
      <c r="CN80" t="s">
        <v>3</v>
      </c>
      <c r="CO80">
        <v>0</v>
      </c>
      <c r="CP80">
        <f t="shared" si="96"/>
        <v>38648.58</v>
      </c>
      <c r="CQ80">
        <f t="shared" si="97"/>
        <v>3.0691752000000001</v>
      </c>
      <c r="CR80">
        <f t="shared" si="98"/>
        <v>3484.2202119999997</v>
      </c>
      <c r="CS80">
        <f t="shared" si="99"/>
        <v>1736.2047944999997</v>
      </c>
      <c r="CT80">
        <f t="shared" si="100"/>
        <v>1448.6730488999999</v>
      </c>
      <c r="CU80">
        <f t="shared" si="101"/>
        <v>0</v>
      </c>
      <c r="CV80">
        <f t="shared" si="102"/>
        <v>6.4873599999999998</v>
      </c>
      <c r="CW80">
        <f t="shared" si="103"/>
        <v>0</v>
      </c>
      <c r="CX80">
        <f t="shared" si="104"/>
        <v>0</v>
      </c>
      <c r="CY80">
        <f t="shared" si="105"/>
        <v>10775.9545</v>
      </c>
      <c r="CZ80">
        <f t="shared" si="106"/>
        <v>5217.8306000000002</v>
      </c>
      <c r="DC80" t="s">
        <v>3</v>
      </c>
      <c r="DD80" t="s">
        <v>3</v>
      </c>
      <c r="DE80" t="s">
        <v>3</v>
      </c>
      <c r="DF80" t="s">
        <v>3</v>
      </c>
      <c r="DG80" t="s">
        <v>3</v>
      </c>
      <c r="DH80" t="s">
        <v>3</v>
      </c>
      <c r="DI80" t="s">
        <v>3</v>
      </c>
      <c r="DJ80" t="s">
        <v>3</v>
      </c>
      <c r="DK80" t="s">
        <v>3</v>
      </c>
      <c r="DL80" t="s">
        <v>3</v>
      </c>
      <c r="DM80" t="s">
        <v>3</v>
      </c>
      <c r="DN80">
        <v>112</v>
      </c>
      <c r="DO80">
        <v>70</v>
      </c>
      <c r="DP80">
        <v>1.0669999999999999</v>
      </c>
      <c r="DQ80">
        <v>1.081</v>
      </c>
      <c r="DU80">
        <v>1013</v>
      </c>
      <c r="DV80" t="s">
        <v>37</v>
      </c>
      <c r="DW80" t="s">
        <v>37</v>
      </c>
      <c r="DX80">
        <v>1</v>
      </c>
      <c r="EE80">
        <v>42186365</v>
      </c>
      <c r="EF80">
        <v>40</v>
      </c>
      <c r="EG80" t="s">
        <v>39</v>
      </c>
      <c r="EH80">
        <v>0</v>
      </c>
      <c r="EI80" t="s">
        <v>3</v>
      </c>
      <c r="EJ80">
        <v>2</v>
      </c>
      <c r="EK80">
        <v>318</v>
      </c>
      <c r="EL80" t="s">
        <v>40</v>
      </c>
      <c r="EM80" t="s">
        <v>41</v>
      </c>
      <c r="EO80" t="s">
        <v>3</v>
      </c>
      <c r="EQ80">
        <v>0</v>
      </c>
      <c r="ER80">
        <v>462.43</v>
      </c>
      <c r="ES80">
        <v>0.56000000000000005</v>
      </c>
      <c r="ET80">
        <v>386.9</v>
      </c>
      <c r="EU80">
        <v>89.85</v>
      </c>
      <c r="EV80">
        <v>74.97</v>
      </c>
      <c r="EW80">
        <v>6.08</v>
      </c>
      <c r="EX80">
        <v>0</v>
      </c>
      <c r="EY80">
        <v>0</v>
      </c>
      <c r="FQ80">
        <v>0</v>
      </c>
      <c r="FR80">
        <f t="shared" si="107"/>
        <v>0</v>
      </c>
      <c r="FS80">
        <v>0</v>
      </c>
      <c r="FX80">
        <v>112</v>
      </c>
      <c r="FY80">
        <v>70</v>
      </c>
      <c r="GA80" t="s">
        <v>3</v>
      </c>
      <c r="GD80">
        <v>0</v>
      </c>
      <c r="GF80">
        <v>137885402</v>
      </c>
      <c r="GG80">
        <v>2</v>
      </c>
      <c r="GH80">
        <v>1</v>
      </c>
      <c r="GI80">
        <v>2</v>
      </c>
      <c r="GJ80">
        <v>0</v>
      </c>
      <c r="GK80">
        <f>ROUND(R80*(R12)/100,2)</f>
        <v>22702.78</v>
      </c>
      <c r="GL80">
        <f t="shared" si="108"/>
        <v>0</v>
      </c>
      <c r="GM80">
        <f t="shared" si="109"/>
        <v>77345.14</v>
      </c>
      <c r="GN80">
        <f t="shared" si="110"/>
        <v>0</v>
      </c>
      <c r="GO80">
        <f t="shared" si="111"/>
        <v>77345.14</v>
      </c>
      <c r="GP80">
        <f t="shared" si="112"/>
        <v>0</v>
      </c>
      <c r="GR80">
        <v>0</v>
      </c>
      <c r="GS80">
        <v>3</v>
      </c>
      <c r="GT80">
        <v>0</v>
      </c>
      <c r="GU80" t="s">
        <v>3</v>
      </c>
      <c r="GV80">
        <f t="shared" si="113"/>
        <v>0</v>
      </c>
      <c r="GW80">
        <v>1</v>
      </c>
      <c r="GX80">
        <f t="shared" si="114"/>
        <v>0</v>
      </c>
      <c r="HA80">
        <v>0</v>
      </c>
      <c r="HB80">
        <v>0</v>
      </c>
      <c r="IK80">
        <v>0</v>
      </c>
    </row>
    <row r="81" spans="1:245" x14ac:dyDescent="0.2">
      <c r="A81">
        <v>17</v>
      </c>
      <c r="B81">
        <v>1</v>
      </c>
      <c r="E81" t="s">
        <v>131</v>
      </c>
      <c r="F81" t="s">
        <v>43</v>
      </c>
      <c r="G81" t="s">
        <v>44</v>
      </c>
      <c r="H81" t="s">
        <v>45</v>
      </c>
      <c r="I81">
        <f>ROUND(78.3*1.1,9)</f>
        <v>86.13</v>
      </c>
      <c r="J81">
        <v>0</v>
      </c>
      <c r="O81">
        <f t="shared" si="76"/>
        <v>47655.5</v>
      </c>
      <c r="P81">
        <f t="shared" si="77"/>
        <v>47655.5</v>
      </c>
      <c r="Q81">
        <f t="shared" si="78"/>
        <v>0</v>
      </c>
      <c r="R81">
        <f t="shared" si="79"/>
        <v>0</v>
      </c>
      <c r="S81">
        <f t="shared" si="80"/>
        <v>0</v>
      </c>
      <c r="T81">
        <f t="shared" si="81"/>
        <v>0</v>
      </c>
      <c r="U81">
        <f t="shared" si="82"/>
        <v>0</v>
      </c>
      <c r="V81">
        <f t="shared" si="83"/>
        <v>0</v>
      </c>
      <c r="W81">
        <f t="shared" si="84"/>
        <v>0</v>
      </c>
      <c r="X81">
        <f t="shared" si="85"/>
        <v>0</v>
      </c>
      <c r="Y81">
        <f t="shared" si="86"/>
        <v>0</v>
      </c>
      <c r="AA81">
        <v>42446460</v>
      </c>
      <c r="AB81">
        <f t="shared" si="87"/>
        <v>104.99</v>
      </c>
      <c r="AC81">
        <f t="shared" si="88"/>
        <v>104.99</v>
      </c>
      <c r="AD81">
        <f t="shared" si="89"/>
        <v>0</v>
      </c>
      <c r="AE81">
        <f t="shared" si="90"/>
        <v>0</v>
      </c>
      <c r="AF81">
        <f t="shared" si="91"/>
        <v>0</v>
      </c>
      <c r="AG81">
        <f t="shared" si="92"/>
        <v>0</v>
      </c>
      <c r="AH81">
        <f t="shared" si="93"/>
        <v>0</v>
      </c>
      <c r="AI81">
        <f t="shared" si="94"/>
        <v>0</v>
      </c>
      <c r="AJ81">
        <f t="shared" si="95"/>
        <v>0</v>
      </c>
      <c r="AK81">
        <v>104.99</v>
      </c>
      <c r="AL81">
        <v>104.99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1</v>
      </c>
      <c r="AW81">
        <v>1</v>
      </c>
      <c r="AZ81">
        <v>1</v>
      </c>
      <c r="BA81">
        <v>1</v>
      </c>
      <c r="BB81">
        <v>1</v>
      </c>
      <c r="BC81">
        <v>5.27</v>
      </c>
      <c r="BD81" t="s">
        <v>3</v>
      </c>
      <c r="BE81" t="s">
        <v>3</v>
      </c>
      <c r="BF81" t="s">
        <v>3</v>
      </c>
      <c r="BG81" t="s">
        <v>3</v>
      </c>
      <c r="BH81">
        <v>3</v>
      </c>
      <c r="BI81">
        <v>1</v>
      </c>
      <c r="BJ81" t="s">
        <v>46</v>
      </c>
      <c r="BM81">
        <v>146</v>
      </c>
      <c r="BN81">
        <v>0</v>
      </c>
      <c r="BO81" t="s">
        <v>43</v>
      </c>
      <c r="BP81">
        <v>1</v>
      </c>
      <c r="BQ81">
        <v>30</v>
      </c>
      <c r="BR81">
        <v>0</v>
      </c>
      <c r="BS81">
        <v>1</v>
      </c>
      <c r="BT81">
        <v>1</v>
      </c>
      <c r="BU81">
        <v>1</v>
      </c>
      <c r="BV81">
        <v>1</v>
      </c>
      <c r="BW81">
        <v>1</v>
      </c>
      <c r="BX81">
        <v>1</v>
      </c>
      <c r="BY81" t="s">
        <v>3</v>
      </c>
      <c r="BZ81">
        <v>0</v>
      </c>
      <c r="CA81">
        <v>0</v>
      </c>
      <c r="CF81">
        <v>0</v>
      </c>
      <c r="CG81">
        <v>0</v>
      </c>
      <c r="CM81">
        <v>0</v>
      </c>
      <c r="CN81" t="s">
        <v>3</v>
      </c>
      <c r="CO81">
        <v>0</v>
      </c>
      <c r="CP81">
        <f t="shared" si="96"/>
        <v>47655.5</v>
      </c>
      <c r="CQ81">
        <f t="shared" si="97"/>
        <v>553.29729999999995</v>
      </c>
      <c r="CR81">
        <f t="shared" si="98"/>
        <v>0</v>
      </c>
      <c r="CS81">
        <f t="shared" si="99"/>
        <v>0</v>
      </c>
      <c r="CT81">
        <f t="shared" si="100"/>
        <v>0</v>
      </c>
      <c r="CU81">
        <f t="shared" si="101"/>
        <v>0</v>
      </c>
      <c r="CV81">
        <f t="shared" si="102"/>
        <v>0</v>
      </c>
      <c r="CW81">
        <f t="shared" si="103"/>
        <v>0</v>
      </c>
      <c r="CX81">
        <f t="shared" si="104"/>
        <v>0</v>
      </c>
      <c r="CY81">
        <f t="shared" si="105"/>
        <v>0</v>
      </c>
      <c r="CZ81">
        <f t="shared" si="106"/>
        <v>0</v>
      </c>
      <c r="DC81" t="s">
        <v>3</v>
      </c>
      <c r="DD81" t="s">
        <v>3</v>
      </c>
      <c r="DE81" t="s">
        <v>3</v>
      </c>
      <c r="DF81" t="s">
        <v>3</v>
      </c>
      <c r="DG81" t="s">
        <v>3</v>
      </c>
      <c r="DH81" t="s">
        <v>3</v>
      </c>
      <c r="DI81" t="s">
        <v>3</v>
      </c>
      <c r="DJ81" t="s">
        <v>3</v>
      </c>
      <c r="DK81" t="s">
        <v>3</v>
      </c>
      <c r="DL81" t="s">
        <v>3</v>
      </c>
      <c r="DM81" t="s">
        <v>3</v>
      </c>
      <c r="DN81">
        <v>161</v>
      </c>
      <c r="DO81">
        <v>107</v>
      </c>
      <c r="DP81">
        <v>1.0469999999999999</v>
      </c>
      <c r="DQ81">
        <v>1.002</v>
      </c>
      <c r="DU81">
        <v>1007</v>
      </c>
      <c r="DV81" t="s">
        <v>45</v>
      </c>
      <c r="DW81" t="s">
        <v>45</v>
      </c>
      <c r="DX81">
        <v>1</v>
      </c>
      <c r="EE81">
        <v>42186193</v>
      </c>
      <c r="EF81">
        <v>30</v>
      </c>
      <c r="EG81" t="s">
        <v>14</v>
      </c>
      <c r="EH81">
        <v>0</v>
      </c>
      <c r="EI81" t="s">
        <v>3</v>
      </c>
      <c r="EJ81">
        <v>1</v>
      </c>
      <c r="EK81">
        <v>146</v>
      </c>
      <c r="EL81" t="s">
        <v>47</v>
      </c>
      <c r="EM81" t="s">
        <v>48</v>
      </c>
      <c r="EO81" t="s">
        <v>3</v>
      </c>
      <c r="EQ81">
        <v>0</v>
      </c>
      <c r="ER81">
        <v>104.99</v>
      </c>
      <c r="ES81">
        <v>104.99</v>
      </c>
      <c r="ET81">
        <v>0</v>
      </c>
      <c r="EU81">
        <v>0</v>
      </c>
      <c r="EV81">
        <v>0</v>
      </c>
      <c r="EW81">
        <v>0</v>
      </c>
      <c r="EX81">
        <v>0</v>
      </c>
      <c r="EY81">
        <v>0</v>
      </c>
      <c r="FQ81">
        <v>0</v>
      </c>
      <c r="FR81">
        <f t="shared" si="107"/>
        <v>0</v>
      </c>
      <c r="FS81">
        <v>0</v>
      </c>
      <c r="FX81">
        <v>161</v>
      </c>
      <c r="FY81">
        <v>107</v>
      </c>
      <c r="GA81" t="s">
        <v>3</v>
      </c>
      <c r="GD81">
        <v>0</v>
      </c>
      <c r="GF81">
        <v>2069056849</v>
      </c>
      <c r="GG81">
        <v>2</v>
      </c>
      <c r="GH81">
        <v>0</v>
      </c>
      <c r="GI81">
        <v>0</v>
      </c>
      <c r="GJ81">
        <v>0</v>
      </c>
      <c r="GK81">
        <f>ROUND(R81*(R12)/100,2)</f>
        <v>0</v>
      </c>
      <c r="GL81">
        <f t="shared" si="108"/>
        <v>0</v>
      </c>
      <c r="GM81">
        <f t="shared" si="109"/>
        <v>47655.5</v>
      </c>
      <c r="GN81">
        <f t="shared" si="110"/>
        <v>47655.5</v>
      </c>
      <c r="GO81">
        <f t="shared" si="111"/>
        <v>0</v>
      </c>
      <c r="GP81">
        <f t="shared" si="112"/>
        <v>0</v>
      </c>
      <c r="GR81">
        <v>0</v>
      </c>
      <c r="GS81">
        <v>0</v>
      </c>
      <c r="GT81">
        <v>0</v>
      </c>
      <c r="GU81" t="s">
        <v>3</v>
      </c>
      <c r="GV81">
        <f t="shared" si="113"/>
        <v>0</v>
      </c>
      <c r="GW81">
        <v>1</v>
      </c>
      <c r="GX81">
        <f t="shared" si="114"/>
        <v>0</v>
      </c>
      <c r="HA81">
        <v>0</v>
      </c>
      <c r="HB81">
        <v>0</v>
      </c>
      <c r="IK81">
        <v>0</v>
      </c>
    </row>
    <row r="82" spans="1:245" x14ac:dyDescent="0.2">
      <c r="A82">
        <v>17</v>
      </c>
      <c r="B82">
        <v>1</v>
      </c>
      <c r="C82">
        <f>ROW(SmtRes!A21)</f>
        <v>21</v>
      </c>
      <c r="D82">
        <f>ROW(EtalonRes!A22)</f>
        <v>22</v>
      </c>
      <c r="E82" t="s">
        <v>132</v>
      </c>
      <c r="F82" t="s">
        <v>50</v>
      </c>
      <c r="G82" t="s">
        <v>51</v>
      </c>
      <c r="H82" t="s">
        <v>20</v>
      </c>
      <c r="I82">
        <f>ROUND(242.73/100,9)</f>
        <v>2.4272999999999998</v>
      </c>
      <c r="J82">
        <v>0</v>
      </c>
      <c r="O82">
        <f t="shared" si="76"/>
        <v>1568.07</v>
      </c>
      <c r="P82">
        <f t="shared" si="77"/>
        <v>0</v>
      </c>
      <c r="Q82">
        <f t="shared" si="78"/>
        <v>1568.07</v>
      </c>
      <c r="R82">
        <f t="shared" si="79"/>
        <v>872.13</v>
      </c>
      <c r="S82">
        <f t="shared" si="80"/>
        <v>0</v>
      </c>
      <c r="T82">
        <f t="shared" si="81"/>
        <v>0</v>
      </c>
      <c r="U82">
        <f t="shared" si="82"/>
        <v>0</v>
      </c>
      <c r="V82">
        <f t="shared" si="83"/>
        <v>0</v>
      </c>
      <c r="W82">
        <f t="shared" si="84"/>
        <v>0</v>
      </c>
      <c r="X82">
        <f t="shared" si="85"/>
        <v>0</v>
      </c>
      <c r="Y82">
        <f t="shared" si="86"/>
        <v>0</v>
      </c>
      <c r="AA82">
        <v>42446460</v>
      </c>
      <c r="AB82">
        <f t="shared" si="87"/>
        <v>84.89</v>
      </c>
      <c r="AC82">
        <f t="shared" si="88"/>
        <v>0</v>
      </c>
      <c r="AD82">
        <f t="shared" si="89"/>
        <v>84.89</v>
      </c>
      <c r="AE82">
        <f t="shared" si="90"/>
        <v>19.84</v>
      </c>
      <c r="AF82">
        <f t="shared" si="91"/>
        <v>0</v>
      </c>
      <c r="AG82">
        <f t="shared" si="92"/>
        <v>0</v>
      </c>
      <c r="AH82">
        <f t="shared" si="93"/>
        <v>0</v>
      </c>
      <c r="AI82">
        <f t="shared" si="94"/>
        <v>0</v>
      </c>
      <c r="AJ82">
        <f t="shared" si="95"/>
        <v>0</v>
      </c>
      <c r="AK82">
        <v>84.89</v>
      </c>
      <c r="AL82">
        <v>0</v>
      </c>
      <c r="AM82">
        <v>84.89</v>
      </c>
      <c r="AN82">
        <v>19.84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97</v>
      </c>
      <c r="AU82">
        <v>54</v>
      </c>
      <c r="AV82">
        <v>1</v>
      </c>
      <c r="AW82">
        <v>1</v>
      </c>
      <c r="AZ82">
        <v>1</v>
      </c>
      <c r="BA82">
        <v>18.11</v>
      </c>
      <c r="BB82">
        <v>7.61</v>
      </c>
      <c r="BC82">
        <v>1</v>
      </c>
      <c r="BD82" t="s">
        <v>3</v>
      </c>
      <c r="BE82" t="s">
        <v>3</v>
      </c>
      <c r="BF82" t="s">
        <v>3</v>
      </c>
      <c r="BG82" t="s">
        <v>3</v>
      </c>
      <c r="BH82">
        <v>0</v>
      </c>
      <c r="BI82">
        <v>1</v>
      </c>
      <c r="BJ82" t="s">
        <v>52</v>
      </c>
      <c r="BM82">
        <v>5</v>
      </c>
      <c r="BN82">
        <v>0</v>
      </c>
      <c r="BO82" t="s">
        <v>50</v>
      </c>
      <c r="BP82">
        <v>1</v>
      </c>
      <c r="BQ82">
        <v>30</v>
      </c>
      <c r="BR82">
        <v>0</v>
      </c>
      <c r="BS82">
        <v>18.11</v>
      </c>
      <c r="BT82">
        <v>1</v>
      </c>
      <c r="BU82">
        <v>1</v>
      </c>
      <c r="BV82">
        <v>1</v>
      </c>
      <c r="BW82">
        <v>1</v>
      </c>
      <c r="BX82">
        <v>1</v>
      </c>
      <c r="BY82" t="s">
        <v>3</v>
      </c>
      <c r="BZ82">
        <v>97</v>
      </c>
      <c r="CA82">
        <v>54</v>
      </c>
      <c r="CF82">
        <v>0</v>
      </c>
      <c r="CG82">
        <v>0</v>
      </c>
      <c r="CM82">
        <v>0</v>
      </c>
      <c r="CN82" t="s">
        <v>3</v>
      </c>
      <c r="CO82">
        <v>0</v>
      </c>
      <c r="CP82">
        <f t="shared" si="96"/>
        <v>1568.07</v>
      </c>
      <c r="CQ82">
        <f t="shared" si="97"/>
        <v>0</v>
      </c>
      <c r="CR82">
        <f t="shared" si="98"/>
        <v>646.01290000000006</v>
      </c>
      <c r="CS82">
        <f t="shared" si="99"/>
        <v>359.30239999999998</v>
      </c>
      <c r="CT82">
        <f t="shared" si="100"/>
        <v>0</v>
      </c>
      <c r="CU82">
        <f t="shared" si="101"/>
        <v>0</v>
      </c>
      <c r="CV82">
        <f t="shared" si="102"/>
        <v>0</v>
      </c>
      <c r="CW82">
        <f t="shared" si="103"/>
        <v>0</v>
      </c>
      <c r="CX82">
        <f t="shared" si="104"/>
        <v>0</v>
      </c>
      <c r="CY82">
        <f t="shared" si="105"/>
        <v>0</v>
      </c>
      <c r="CZ82">
        <f t="shared" si="106"/>
        <v>0</v>
      </c>
      <c r="DC82" t="s">
        <v>3</v>
      </c>
      <c r="DD82" t="s">
        <v>3</v>
      </c>
      <c r="DE82" t="s">
        <v>3</v>
      </c>
      <c r="DF82" t="s">
        <v>3</v>
      </c>
      <c r="DG82" t="s">
        <v>3</v>
      </c>
      <c r="DH82" t="s">
        <v>3</v>
      </c>
      <c r="DI82" t="s">
        <v>3</v>
      </c>
      <c r="DJ82" t="s">
        <v>3</v>
      </c>
      <c r="DK82" t="s">
        <v>3</v>
      </c>
      <c r="DL82" t="s">
        <v>3</v>
      </c>
      <c r="DM82" t="s">
        <v>3</v>
      </c>
      <c r="DN82">
        <v>98</v>
      </c>
      <c r="DO82">
        <v>77</v>
      </c>
      <c r="DP82">
        <v>1.014</v>
      </c>
      <c r="DQ82">
        <v>1</v>
      </c>
      <c r="DU82">
        <v>1013</v>
      </c>
      <c r="DV82" t="s">
        <v>20</v>
      </c>
      <c r="DW82" t="s">
        <v>20</v>
      </c>
      <c r="DX82">
        <v>1</v>
      </c>
      <c r="EE82">
        <v>42186052</v>
      </c>
      <c r="EF82">
        <v>30</v>
      </c>
      <c r="EG82" t="s">
        <v>14</v>
      </c>
      <c r="EH82">
        <v>0</v>
      </c>
      <c r="EI82" t="s">
        <v>3</v>
      </c>
      <c r="EJ82">
        <v>1</v>
      </c>
      <c r="EK82">
        <v>5</v>
      </c>
      <c r="EL82" t="s">
        <v>53</v>
      </c>
      <c r="EM82" t="s">
        <v>54</v>
      </c>
      <c r="EO82" t="s">
        <v>3</v>
      </c>
      <c r="EQ82">
        <v>131072</v>
      </c>
      <c r="ER82">
        <v>84.89</v>
      </c>
      <c r="ES82">
        <v>0</v>
      </c>
      <c r="ET82">
        <v>84.89</v>
      </c>
      <c r="EU82">
        <v>19.84</v>
      </c>
      <c r="EV82">
        <v>0</v>
      </c>
      <c r="EW82">
        <v>0</v>
      </c>
      <c r="EX82">
        <v>0</v>
      </c>
      <c r="EY82">
        <v>0</v>
      </c>
      <c r="FQ82">
        <v>0</v>
      </c>
      <c r="FR82">
        <f t="shared" si="107"/>
        <v>0</v>
      </c>
      <c r="FS82">
        <v>0</v>
      </c>
      <c r="FX82">
        <v>98</v>
      </c>
      <c r="FY82">
        <v>77</v>
      </c>
      <c r="GA82" t="s">
        <v>3</v>
      </c>
      <c r="GD82">
        <v>0</v>
      </c>
      <c r="GF82">
        <v>323187003</v>
      </c>
      <c r="GG82">
        <v>2</v>
      </c>
      <c r="GH82">
        <v>0</v>
      </c>
      <c r="GI82">
        <v>0</v>
      </c>
      <c r="GJ82">
        <v>0</v>
      </c>
      <c r="GK82">
        <f>ROUND(R82*(R12)/100,2)</f>
        <v>1456.46</v>
      </c>
      <c r="GL82">
        <f t="shared" si="108"/>
        <v>0</v>
      </c>
      <c r="GM82">
        <f t="shared" si="109"/>
        <v>3024.53</v>
      </c>
      <c r="GN82">
        <f t="shared" si="110"/>
        <v>3024.53</v>
      </c>
      <c r="GO82">
        <f t="shared" si="111"/>
        <v>0</v>
      </c>
      <c r="GP82">
        <f t="shared" si="112"/>
        <v>0</v>
      </c>
      <c r="GR82">
        <v>0</v>
      </c>
      <c r="GS82">
        <v>0</v>
      </c>
      <c r="GT82">
        <v>0</v>
      </c>
      <c r="GU82" t="s">
        <v>3</v>
      </c>
      <c r="GV82">
        <f t="shared" si="113"/>
        <v>0</v>
      </c>
      <c r="GW82">
        <v>1</v>
      </c>
      <c r="GX82">
        <f t="shared" si="114"/>
        <v>0</v>
      </c>
      <c r="HA82">
        <v>0</v>
      </c>
      <c r="HB82">
        <v>0</v>
      </c>
      <c r="IK82">
        <v>0</v>
      </c>
    </row>
    <row r="83" spans="1:245" x14ac:dyDescent="0.2">
      <c r="A83">
        <v>18</v>
      </c>
      <c r="B83">
        <v>1</v>
      </c>
      <c r="C83">
        <v>21</v>
      </c>
      <c r="E83" t="s">
        <v>133</v>
      </c>
      <c r="F83" t="s">
        <v>43</v>
      </c>
      <c r="G83" t="s">
        <v>44</v>
      </c>
      <c r="H83" t="s">
        <v>45</v>
      </c>
      <c r="I83">
        <f>I82*J83</f>
        <v>242.73</v>
      </c>
      <c r="J83">
        <v>100</v>
      </c>
      <c r="O83">
        <f t="shared" si="76"/>
        <v>134301.85</v>
      </c>
      <c r="P83">
        <f t="shared" si="77"/>
        <v>134301.85</v>
      </c>
      <c r="Q83">
        <f t="shared" si="78"/>
        <v>0</v>
      </c>
      <c r="R83">
        <f t="shared" si="79"/>
        <v>0</v>
      </c>
      <c r="S83">
        <f t="shared" si="80"/>
        <v>0</v>
      </c>
      <c r="T83">
        <f t="shared" si="81"/>
        <v>0</v>
      </c>
      <c r="U83">
        <f t="shared" si="82"/>
        <v>0</v>
      </c>
      <c r="V83">
        <f t="shared" si="83"/>
        <v>0</v>
      </c>
      <c r="W83">
        <f t="shared" si="84"/>
        <v>0</v>
      </c>
      <c r="X83">
        <f t="shared" si="85"/>
        <v>0</v>
      </c>
      <c r="Y83">
        <f t="shared" si="86"/>
        <v>0</v>
      </c>
      <c r="AA83">
        <v>42446460</v>
      </c>
      <c r="AB83">
        <f t="shared" si="87"/>
        <v>104.99</v>
      </c>
      <c r="AC83">
        <f t="shared" si="88"/>
        <v>104.99</v>
      </c>
      <c r="AD83">
        <f t="shared" si="89"/>
        <v>0</v>
      </c>
      <c r="AE83">
        <f t="shared" si="90"/>
        <v>0</v>
      </c>
      <c r="AF83">
        <f t="shared" si="91"/>
        <v>0</v>
      </c>
      <c r="AG83">
        <f t="shared" si="92"/>
        <v>0</v>
      </c>
      <c r="AH83">
        <f t="shared" si="93"/>
        <v>0</v>
      </c>
      <c r="AI83">
        <f t="shared" si="94"/>
        <v>0</v>
      </c>
      <c r="AJ83">
        <f t="shared" si="95"/>
        <v>0</v>
      </c>
      <c r="AK83">
        <v>104.99</v>
      </c>
      <c r="AL83">
        <v>104.99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1</v>
      </c>
      <c r="AW83">
        <v>1</v>
      </c>
      <c r="AZ83">
        <v>1</v>
      </c>
      <c r="BA83">
        <v>1</v>
      </c>
      <c r="BB83">
        <v>1</v>
      </c>
      <c r="BC83">
        <v>5.27</v>
      </c>
      <c r="BD83" t="s">
        <v>3</v>
      </c>
      <c r="BE83" t="s">
        <v>3</v>
      </c>
      <c r="BF83" t="s">
        <v>3</v>
      </c>
      <c r="BG83" t="s">
        <v>3</v>
      </c>
      <c r="BH83">
        <v>3</v>
      </c>
      <c r="BI83">
        <v>1</v>
      </c>
      <c r="BJ83" t="s">
        <v>46</v>
      </c>
      <c r="BM83">
        <v>5</v>
      </c>
      <c r="BN83">
        <v>0</v>
      </c>
      <c r="BO83" t="s">
        <v>43</v>
      </c>
      <c r="BP83">
        <v>1</v>
      </c>
      <c r="BQ83">
        <v>30</v>
      </c>
      <c r="BR83">
        <v>0</v>
      </c>
      <c r="BS83">
        <v>1</v>
      </c>
      <c r="BT83">
        <v>1</v>
      </c>
      <c r="BU83">
        <v>1</v>
      </c>
      <c r="BV83">
        <v>1</v>
      </c>
      <c r="BW83">
        <v>1</v>
      </c>
      <c r="BX83">
        <v>1</v>
      </c>
      <c r="BY83" t="s">
        <v>3</v>
      </c>
      <c r="BZ83">
        <v>0</v>
      </c>
      <c r="CA83">
        <v>0</v>
      </c>
      <c r="CF83">
        <v>0</v>
      </c>
      <c r="CG83">
        <v>0</v>
      </c>
      <c r="CM83">
        <v>0</v>
      </c>
      <c r="CN83" t="s">
        <v>3</v>
      </c>
      <c r="CO83">
        <v>0</v>
      </c>
      <c r="CP83">
        <f t="shared" si="96"/>
        <v>134301.85</v>
      </c>
      <c r="CQ83">
        <f t="shared" si="97"/>
        <v>553.29729999999995</v>
      </c>
      <c r="CR83">
        <f t="shared" si="98"/>
        <v>0</v>
      </c>
      <c r="CS83">
        <f t="shared" si="99"/>
        <v>0</v>
      </c>
      <c r="CT83">
        <f t="shared" si="100"/>
        <v>0</v>
      </c>
      <c r="CU83">
        <f t="shared" si="101"/>
        <v>0</v>
      </c>
      <c r="CV83">
        <f t="shared" si="102"/>
        <v>0</v>
      </c>
      <c r="CW83">
        <f t="shared" si="103"/>
        <v>0</v>
      </c>
      <c r="CX83">
        <f t="shared" si="104"/>
        <v>0</v>
      </c>
      <c r="CY83">
        <f t="shared" si="105"/>
        <v>0</v>
      </c>
      <c r="CZ83">
        <f t="shared" si="106"/>
        <v>0</v>
      </c>
      <c r="DC83" t="s">
        <v>3</v>
      </c>
      <c r="DD83" t="s">
        <v>3</v>
      </c>
      <c r="DE83" t="s">
        <v>3</v>
      </c>
      <c r="DF83" t="s">
        <v>3</v>
      </c>
      <c r="DG83" t="s">
        <v>3</v>
      </c>
      <c r="DH83" t="s">
        <v>3</v>
      </c>
      <c r="DI83" t="s">
        <v>3</v>
      </c>
      <c r="DJ83" t="s">
        <v>3</v>
      </c>
      <c r="DK83" t="s">
        <v>3</v>
      </c>
      <c r="DL83" t="s">
        <v>3</v>
      </c>
      <c r="DM83" t="s">
        <v>3</v>
      </c>
      <c r="DN83">
        <v>98</v>
      </c>
      <c r="DO83">
        <v>77</v>
      </c>
      <c r="DP83">
        <v>1.014</v>
      </c>
      <c r="DQ83">
        <v>1</v>
      </c>
      <c r="DU83">
        <v>1007</v>
      </c>
      <c r="DV83" t="s">
        <v>45</v>
      </c>
      <c r="DW83" t="s">
        <v>45</v>
      </c>
      <c r="DX83">
        <v>1</v>
      </c>
      <c r="EE83">
        <v>42186052</v>
      </c>
      <c r="EF83">
        <v>30</v>
      </c>
      <c r="EG83" t="s">
        <v>14</v>
      </c>
      <c r="EH83">
        <v>0</v>
      </c>
      <c r="EI83" t="s">
        <v>3</v>
      </c>
      <c r="EJ83">
        <v>1</v>
      </c>
      <c r="EK83">
        <v>5</v>
      </c>
      <c r="EL83" t="s">
        <v>53</v>
      </c>
      <c r="EM83" t="s">
        <v>54</v>
      </c>
      <c r="EO83" t="s">
        <v>3</v>
      </c>
      <c r="EQ83">
        <v>0</v>
      </c>
      <c r="ER83">
        <v>104.99</v>
      </c>
      <c r="ES83">
        <v>104.99</v>
      </c>
      <c r="ET83">
        <v>0</v>
      </c>
      <c r="EU83">
        <v>0</v>
      </c>
      <c r="EV83">
        <v>0</v>
      </c>
      <c r="EW83">
        <v>0</v>
      </c>
      <c r="EX83">
        <v>0</v>
      </c>
      <c r="FQ83">
        <v>0</v>
      </c>
      <c r="FR83">
        <f t="shared" si="107"/>
        <v>0</v>
      </c>
      <c r="FS83">
        <v>0</v>
      </c>
      <c r="FX83">
        <v>98</v>
      </c>
      <c r="FY83">
        <v>77</v>
      </c>
      <c r="GA83" t="s">
        <v>3</v>
      </c>
      <c r="GD83">
        <v>0</v>
      </c>
      <c r="GF83">
        <v>2069056849</v>
      </c>
      <c r="GG83">
        <v>2</v>
      </c>
      <c r="GH83">
        <v>0</v>
      </c>
      <c r="GI83">
        <v>0</v>
      </c>
      <c r="GJ83">
        <v>0</v>
      </c>
      <c r="GK83">
        <f>ROUND(R83*(R12)/100,2)</f>
        <v>0</v>
      </c>
      <c r="GL83">
        <f t="shared" si="108"/>
        <v>0</v>
      </c>
      <c r="GM83">
        <f t="shared" si="109"/>
        <v>134301.85</v>
      </c>
      <c r="GN83">
        <f t="shared" si="110"/>
        <v>134301.85</v>
      </c>
      <c r="GO83">
        <f t="shared" si="111"/>
        <v>0</v>
      </c>
      <c r="GP83">
        <f t="shared" si="112"/>
        <v>0</v>
      </c>
      <c r="GR83">
        <v>0</v>
      </c>
      <c r="GS83">
        <v>0</v>
      </c>
      <c r="GT83">
        <v>0</v>
      </c>
      <c r="GU83" t="s">
        <v>3</v>
      </c>
      <c r="GV83">
        <f t="shared" si="113"/>
        <v>0</v>
      </c>
      <c r="GW83">
        <v>1</v>
      </c>
      <c r="GX83">
        <f t="shared" si="114"/>
        <v>0</v>
      </c>
      <c r="HA83">
        <v>0</v>
      </c>
      <c r="HB83">
        <v>0</v>
      </c>
      <c r="IK83">
        <v>0</v>
      </c>
    </row>
    <row r="84" spans="1:245" x14ac:dyDescent="0.2">
      <c r="A84">
        <v>17</v>
      </c>
      <c r="B84">
        <v>1</v>
      </c>
      <c r="C84">
        <f>ROW(SmtRes!A22)</f>
        <v>22</v>
      </c>
      <c r="D84">
        <f>ROW(EtalonRes!A23)</f>
        <v>23</v>
      </c>
      <c r="E84" t="s">
        <v>134</v>
      </c>
      <c r="F84" t="s">
        <v>50</v>
      </c>
      <c r="G84" t="s">
        <v>57</v>
      </c>
      <c r="H84" t="s">
        <v>20</v>
      </c>
      <c r="I84">
        <f>ROUND(430.65*0.9/100,9)</f>
        <v>3.8758499999999998</v>
      </c>
      <c r="J84">
        <v>0</v>
      </c>
      <c r="O84">
        <f t="shared" si="76"/>
        <v>2503.85</v>
      </c>
      <c r="P84">
        <f t="shared" si="77"/>
        <v>0</v>
      </c>
      <c r="Q84">
        <f t="shared" si="78"/>
        <v>2503.85</v>
      </c>
      <c r="R84">
        <f t="shared" si="79"/>
        <v>1392.6</v>
      </c>
      <c r="S84">
        <f t="shared" si="80"/>
        <v>0</v>
      </c>
      <c r="T84">
        <f t="shared" si="81"/>
        <v>0</v>
      </c>
      <c r="U84">
        <f t="shared" si="82"/>
        <v>0</v>
      </c>
      <c r="V84">
        <f t="shared" si="83"/>
        <v>0</v>
      </c>
      <c r="W84">
        <f t="shared" si="84"/>
        <v>0</v>
      </c>
      <c r="X84">
        <f t="shared" si="85"/>
        <v>0</v>
      </c>
      <c r="Y84">
        <f t="shared" si="86"/>
        <v>0</v>
      </c>
      <c r="AA84">
        <v>42446460</v>
      </c>
      <c r="AB84">
        <f t="shared" si="87"/>
        <v>84.89</v>
      </c>
      <c r="AC84">
        <f t="shared" si="88"/>
        <v>0</v>
      </c>
      <c r="AD84">
        <f t="shared" si="89"/>
        <v>84.89</v>
      </c>
      <c r="AE84">
        <f t="shared" si="90"/>
        <v>19.84</v>
      </c>
      <c r="AF84">
        <f t="shared" si="91"/>
        <v>0</v>
      </c>
      <c r="AG84">
        <f t="shared" si="92"/>
        <v>0</v>
      </c>
      <c r="AH84">
        <f t="shared" si="93"/>
        <v>0</v>
      </c>
      <c r="AI84">
        <f t="shared" si="94"/>
        <v>0</v>
      </c>
      <c r="AJ84">
        <f t="shared" si="95"/>
        <v>0</v>
      </c>
      <c r="AK84">
        <v>84.89</v>
      </c>
      <c r="AL84">
        <v>0</v>
      </c>
      <c r="AM84">
        <v>84.89</v>
      </c>
      <c r="AN84">
        <v>19.84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97</v>
      </c>
      <c r="AU84">
        <v>54</v>
      </c>
      <c r="AV84">
        <v>1</v>
      </c>
      <c r="AW84">
        <v>1</v>
      </c>
      <c r="AZ84">
        <v>1</v>
      </c>
      <c r="BA84">
        <v>18.11</v>
      </c>
      <c r="BB84">
        <v>7.61</v>
      </c>
      <c r="BC84">
        <v>1</v>
      </c>
      <c r="BD84" t="s">
        <v>3</v>
      </c>
      <c r="BE84" t="s">
        <v>3</v>
      </c>
      <c r="BF84" t="s">
        <v>3</v>
      </c>
      <c r="BG84" t="s">
        <v>3</v>
      </c>
      <c r="BH84">
        <v>0</v>
      </c>
      <c r="BI84">
        <v>1</v>
      </c>
      <c r="BJ84" t="s">
        <v>52</v>
      </c>
      <c r="BM84">
        <v>5</v>
      </c>
      <c r="BN84">
        <v>0</v>
      </c>
      <c r="BO84" t="s">
        <v>50</v>
      </c>
      <c r="BP84">
        <v>1</v>
      </c>
      <c r="BQ84">
        <v>30</v>
      </c>
      <c r="BR84">
        <v>0</v>
      </c>
      <c r="BS84">
        <v>18.11</v>
      </c>
      <c r="BT84">
        <v>1</v>
      </c>
      <c r="BU84">
        <v>1</v>
      </c>
      <c r="BV84">
        <v>1</v>
      </c>
      <c r="BW84">
        <v>1</v>
      </c>
      <c r="BX84">
        <v>1</v>
      </c>
      <c r="BY84" t="s">
        <v>3</v>
      </c>
      <c r="BZ84">
        <v>97</v>
      </c>
      <c r="CA84">
        <v>54</v>
      </c>
      <c r="CF84">
        <v>0</v>
      </c>
      <c r="CG84">
        <v>0</v>
      </c>
      <c r="CM84">
        <v>0</v>
      </c>
      <c r="CN84" t="s">
        <v>3</v>
      </c>
      <c r="CO84">
        <v>0</v>
      </c>
      <c r="CP84">
        <f t="shared" si="96"/>
        <v>2503.85</v>
      </c>
      <c r="CQ84">
        <f t="shared" si="97"/>
        <v>0</v>
      </c>
      <c r="CR84">
        <f t="shared" si="98"/>
        <v>646.01290000000006</v>
      </c>
      <c r="CS84">
        <f t="shared" si="99"/>
        <v>359.30239999999998</v>
      </c>
      <c r="CT84">
        <f t="shared" si="100"/>
        <v>0</v>
      </c>
      <c r="CU84">
        <f t="shared" si="101"/>
        <v>0</v>
      </c>
      <c r="CV84">
        <f t="shared" si="102"/>
        <v>0</v>
      </c>
      <c r="CW84">
        <f t="shared" si="103"/>
        <v>0</v>
      </c>
      <c r="CX84">
        <f t="shared" si="104"/>
        <v>0</v>
      </c>
      <c r="CY84">
        <f t="shared" si="105"/>
        <v>0</v>
      </c>
      <c r="CZ84">
        <f t="shared" si="106"/>
        <v>0</v>
      </c>
      <c r="DC84" t="s">
        <v>3</v>
      </c>
      <c r="DD84" t="s">
        <v>3</v>
      </c>
      <c r="DE84" t="s">
        <v>3</v>
      </c>
      <c r="DF84" t="s">
        <v>3</v>
      </c>
      <c r="DG84" t="s">
        <v>3</v>
      </c>
      <c r="DH84" t="s">
        <v>3</v>
      </c>
      <c r="DI84" t="s">
        <v>3</v>
      </c>
      <c r="DJ84" t="s">
        <v>3</v>
      </c>
      <c r="DK84" t="s">
        <v>3</v>
      </c>
      <c r="DL84" t="s">
        <v>3</v>
      </c>
      <c r="DM84" t="s">
        <v>3</v>
      </c>
      <c r="DN84">
        <v>98</v>
      </c>
      <c r="DO84">
        <v>77</v>
      </c>
      <c r="DP84">
        <v>1.014</v>
      </c>
      <c r="DQ84">
        <v>1</v>
      </c>
      <c r="DU84">
        <v>1013</v>
      </c>
      <c r="DV84" t="s">
        <v>20</v>
      </c>
      <c r="DW84" t="s">
        <v>20</v>
      </c>
      <c r="DX84">
        <v>1</v>
      </c>
      <c r="EE84">
        <v>42186052</v>
      </c>
      <c r="EF84">
        <v>30</v>
      </c>
      <c r="EG84" t="s">
        <v>14</v>
      </c>
      <c r="EH84">
        <v>0</v>
      </c>
      <c r="EI84" t="s">
        <v>3</v>
      </c>
      <c r="EJ84">
        <v>1</v>
      </c>
      <c r="EK84">
        <v>5</v>
      </c>
      <c r="EL84" t="s">
        <v>53</v>
      </c>
      <c r="EM84" t="s">
        <v>54</v>
      </c>
      <c r="EO84" t="s">
        <v>3</v>
      </c>
      <c r="EQ84">
        <v>131072</v>
      </c>
      <c r="ER84">
        <v>84.89</v>
      </c>
      <c r="ES84">
        <v>0</v>
      </c>
      <c r="ET84">
        <v>84.89</v>
      </c>
      <c r="EU84">
        <v>19.84</v>
      </c>
      <c r="EV84">
        <v>0</v>
      </c>
      <c r="EW84">
        <v>0</v>
      </c>
      <c r="EX84">
        <v>0</v>
      </c>
      <c r="EY84">
        <v>0</v>
      </c>
      <c r="FQ84">
        <v>0</v>
      </c>
      <c r="FR84">
        <f t="shared" si="107"/>
        <v>0</v>
      </c>
      <c r="FS84">
        <v>0</v>
      </c>
      <c r="FX84">
        <v>98</v>
      </c>
      <c r="FY84">
        <v>77</v>
      </c>
      <c r="GA84" t="s">
        <v>3</v>
      </c>
      <c r="GD84">
        <v>0</v>
      </c>
      <c r="GF84">
        <v>-2025649596</v>
      </c>
      <c r="GG84">
        <v>2</v>
      </c>
      <c r="GH84">
        <v>0</v>
      </c>
      <c r="GI84">
        <v>0</v>
      </c>
      <c r="GJ84">
        <v>0</v>
      </c>
      <c r="GK84">
        <f>ROUND(R84*(R12)/100,2)</f>
        <v>2325.64</v>
      </c>
      <c r="GL84">
        <f t="shared" si="108"/>
        <v>0</v>
      </c>
      <c r="GM84">
        <f t="shared" si="109"/>
        <v>4829.49</v>
      </c>
      <c r="GN84">
        <f t="shared" si="110"/>
        <v>4829.49</v>
      </c>
      <c r="GO84">
        <f t="shared" si="111"/>
        <v>0</v>
      </c>
      <c r="GP84">
        <f t="shared" si="112"/>
        <v>0</v>
      </c>
      <c r="GR84">
        <v>0</v>
      </c>
      <c r="GS84">
        <v>0</v>
      </c>
      <c r="GT84">
        <v>0</v>
      </c>
      <c r="GU84" t="s">
        <v>3</v>
      </c>
      <c r="GV84">
        <f t="shared" si="113"/>
        <v>0</v>
      </c>
      <c r="GW84">
        <v>1</v>
      </c>
      <c r="GX84">
        <f t="shared" si="114"/>
        <v>0</v>
      </c>
      <c r="HA84">
        <v>0</v>
      </c>
      <c r="HB84">
        <v>0</v>
      </c>
      <c r="IK84">
        <v>0</v>
      </c>
    </row>
    <row r="85" spans="1:245" x14ac:dyDescent="0.2">
      <c r="A85">
        <v>17</v>
      </c>
      <c r="B85">
        <v>1</v>
      </c>
      <c r="C85">
        <f>ROW(SmtRes!A25)</f>
        <v>25</v>
      </c>
      <c r="D85">
        <f>ROW(EtalonRes!A26)</f>
        <v>26</v>
      </c>
      <c r="E85" t="s">
        <v>135</v>
      </c>
      <c r="F85" t="s">
        <v>66</v>
      </c>
      <c r="G85" t="s">
        <v>67</v>
      </c>
      <c r="H85" t="s">
        <v>68</v>
      </c>
      <c r="I85">
        <f>ROUND(I84,9)</f>
        <v>3.8758499999999998</v>
      </c>
      <c r="J85">
        <v>0</v>
      </c>
      <c r="O85">
        <f t="shared" si="76"/>
        <v>95239.72</v>
      </c>
      <c r="P85">
        <f t="shared" si="77"/>
        <v>11618.56</v>
      </c>
      <c r="Q85">
        <f t="shared" si="78"/>
        <v>75166.06</v>
      </c>
      <c r="R85">
        <f t="shared" si="79"/>
        <v>25651.18</v>
      </c>
      <c r="S85">
        <f t="shared" si="80"/>
        <v>8455.1</v>
      </c>
      <c r="T85">
        <f t="shared" si="81"/>
        <v>0</v>
      </c>
      <c r="U85">
        <f t="shared" si="82"/>
        <v>49.507782389999996</v>
      </c>
      <c r="V85">
        <f t="shared" si="83"/>
        <v>0</v>
      </c>
      <c r="W85">
        <f t="shared" si="84"/>
        <v>0</v>
      </c>
      <c r="X85">
        <f t="shared" si="85"/>
        <v>8201.4500000000007</v>
      </c>
      <c r="Y85">
        <f t="shared" si="86"/>
        <v>4565.75</v>
      </c>
      <c r="AA85">
        <v>42446460</v>
      </c>
      <c r="AB85">
        <f t="shared" si="87"/>
        <v>2537.13</v>
      </c>
      <c r="AC85">
        <f t="shared" si="88"/>
        <v>707</v>
      </c>
      <c r="AD85">
        <f t="shared" si="89"/>
        <v>1715.08</v>
      </c>
      <c r="AE85">
        <f t="shared" si="90"/>
        <v>349.04</v>
      </c>
      <c r="AF85">
        <f t="shared" si="91"/>
        <v>115.05</v>
      </c>
      <c r="AG85">
        <f t="shared" si="92"/>
        <v>0</v>
      </c>
      <c r="AH85">
        <f t="shared" si="93"/>
        <v>12.2</v>
      </c>
      <c r="AI85">
        <f t="shared" si="94"/>
        <v>0</v>
      </c>
      <c r="AJ85">
        <f t="shared" si="95"/>
        <v>0</v>
      </c>
      <c r="AK85">
        <v>2537.13</v>
      </c>
      <c r="AL85">
        <v>707</v>
      </c>
      <c r="AM85">
        <v>1715.08</v>
      </c>
      <c r="AN85">
        <v>349.04</v>
      </c>
      <c r="AO85">
        <v>115.05</v>
      </c>
      <c r="AP85">
        <v>0</v>
      </c>
      <c r="AQ85">
        <v>12.2</v>
      </c>
      <c r="AR85">
        <v>0</v>
      </c>
      <c r="AS85">
        <v>0</v>
      </c>
      <c r="AT85">
        <v>97</v>
      </c>
      <c r="AU85">
        <v>54</v>
      </c>
      <c r="AV85">
        <v>1.0469999999999999</v>
      </c>
      <c r="AW85">
        <v>1</v>
      </c>
      <c r="AZ85">
        <v>1</v>
      </c>
      <c r="BA85">
        <v>18.11</v>
      </c>
      <c r="BB85">
        <v>10.8</v>
      </c>
      <c r="BC85">
        <v>4.24</v>
      </c>
      <c r="BD85" t="s">
        <v>3</v>
      </c>
      <c r="BE85" t="s">
        <v>3</v>
      </c>
      <c r="BF85" t="s">
        <v>3</v>
      </c>
      <c r="BG85" t="s">
        <v>3</v>
      </c>
      <c r="BH85">
        <v>0</v>
      </c>
      <c r="BI85">
        <v>1</v>
      </c>
      <c r="BJ85" t="s">
        <v>69</v>
      </c>
      <c r="BM85">
        <v>10</v>
      </c>
      <c r="BN85">
        <v>0</v>
      </c>
      <c r="BO85" t="s">
        <v>66</v>
      </c>
      <c r="BP85">
        <v>1</v>
      </c>
      <c r="BQ85">
        <v>30</v>
      </c>
      <c r="BR85">
        <v>0</v>
      </c>
      <c r="BS85">
        <v>18.11</v>
      </c>
      <c r="BT85">
        <v>1</v>
      </c>
      <c r="BU85">
        <v>1</v>
      </c>
      <c r="BV85">
        <v>1</v>
      </c>
      <c r="BW85">
        <v>1</v>
      </c>
      <c r="BX85">
        <v>1</v>
      </c>
      <c r="BY85" t="s">
        <v>3</v>
      </c>
      <c r="BZ85">
        <v>97</v>
      </c>
      <c r="CA85">
        <v>54</v>
      </c>
      <c r="CF85">
        <v>0</v>
      </c>
      <c r="CG85">
        <v>0</v>
      </c>
      <c r="CM85">
        <v>0</v>
      </c>
      <c r="CN85" t="s">
        <v>3</v>
      </c>
      <c r="CO85">
        <v>0</v>
      </c>
      <c r="CP85">
        <f t="shared" si="96"/>
        <v>95239.72</v>
      </c>
      <c r="CQ85">
        <f t="shared" si="97"/>
        <v>2997.6800000000003</v>
      </c>
      <c r="CR85">
        <f t="shared" si="98"/>
        <v>19393.438608</v>
      </c>
      <c r="CS85">
        <f t="shared" si="99"/>
        <v>6618.2067767999997</v>
      </c>
      <c r="CT85">
        <f t="shared" si="100"/>
        <v>2181.4826085</v>
      </c>
      <c r="CU85">
        <f t="shared" si="101"/>
        <v>0</v>
      </c>
      <c r="CV85">
        <f t="shared" si="102"/>
        <v>12.773399999999999</v>
      </c>
      <c r="CW85">
        <f t="shared" si="103"/>
        <v>0</v>
      </c>
      <c r="CX85">
        <f t="shared" si="104"/>
        <v>0</v>
      </c>
      <c r="CY85">
        <f t="shared" si="105"/>
        <v>8201.4470000000001</v>
      </c>
      <c r="CZ85">
        <f t="shared" si="106"/>
        <v>4565.7540000000008</v>
      </c>
      <c r="DC85" t="s">
        <v>3</v>
      </c>
      <c r="DD85" t="s">
        <v>3</v>
      </c>
      <c r="DE85" t="s">
        <v>3</v>
      </c>
      <c r="DF85" t="s">
        <v>3</v>
      </c>
      <c r="DG85" t="s">
        <v>3</v>
      </c>
      <c r="DH85" t="s">
        <v>3</v>
      </c>
      <c r="DI85" t="s">
        <v>3</v>
      </c>
      <c r="DJ85" t="s">
        <v>3</v>
      </c>
      <c r="DK85" t="s">
        <v>3</v>
      </c>
      <c r="DL85" t="s">
        <v>3</v>
      </c>
      <c r="DM85" t="s">
        <v>3</v>
      </c>
      <c r="DN85">
        <v>98</v>
      </c>
      <c r="DO85">
        <v>77</v>
      </c>
      <c r="DP85">
        <v>1.0469999999999999</v>
      </c>
      <c r="DQ85">
        <v>1</v>
      </c>
      <c r="DU85">
        <v>1013</v>
      </c>
      <c r="DV85" t="s">
        <v>68</v>
      </c>
      <c r="DW85" t="s">
        <v>68</v>
      </c>
      <c r="DX85">
        <v>1</v>
      </c>
      <c r="EE85">
        <v>42186057</v>
      </c>
      <c r="EF85">
        <v>30</v>
      </c>
      <c r="EG85" t="s">
        <v>14</v>
      </c>
      <c r="EH85">
        <v>0</v>
      </c>
      <c r="EI85" t="s">
        <v>3</v>
      </c>
      <c r="EJ85">
        <v>1</v>
      </c>
      <c r="EK85">
        <v>10</v>
      </c>
      <c r="EL85" t="s">
        <v>63</v>
      </c>
      <c r="EM85" t="s">
        <v>64</v>
      </c>
      <c r="EO85" t="s">
        <v>3</v>
      </c>
      <c r="EQ85">
        <v>0</v>
      </c>
      <c r="ER85">
        <v>2537.13</v>
      </c>
      <c r="ES85">
        <v>707</v>
      </c>
      <c r="ET85">
        <v>1715.08</v>
      </c>
      <c r="EU85">
        <v>349.04</v>
      </c>
      <c r="EV85">
        <v>115.05</v>
      </c>
      <c r="EW85">
        <v>12.2</v>
      </c>
      <c r="EX85">
        <v>0</v>
      </c>
      <c r="EY85">
        <v>0</v>
      </c>
      <c r="FQ85">
        <v>0</v>
      </c>
      <c r="FR85">
        <f t="shared" si="107"/>
        <v>0</v>
      </c>
      <c r="FS85">
        <v>0</v>
      </c>
      <c r="FX85">
        <v>98</v>
      </c>
      <c r="FY85">
        <v>77</v>
      </c>
      <c r="GA85" t="s">
        <v>3</v>
      </c>
      <c r="GD85">
        <v>0</v>
      </c>
      <c r="GF85">
        <v>-54960766</v>
      </c>
      <c r="GG85">
        <v>2</v>
      </c>
      <c r="GH85">
        <v>1</v>
      </c>
      <c r="GI85">
        <v>2</v>
      </c>
      <c r="GJ85">
        <v>0</v>
      </c>
      <c r="GK85">
        <f>ROUND(R85*(R12)/100,2)</f>
        <v>42837.47</v>
      </c>
      <c r="GL85">
        <f t="shared" si="108"/>
        <v>0</v>
      </c>
      <c r="GM85">
        <f t="shared" si="109"/>
        <v>150844.39000000001</v>
      </c>
      <c r="GN85">
        <f t="shared" si="110"/>
        <v>150844.39000000001</v>
      </c>
      <c r="GO85">
        <f t="shared" si="111"/>
        <v>0</v>
      </c>
      <c r="GP85">
        <f t="shared" si="112"/>
        <v>0</v>
      </c>
      <c r="GR85">
        <v>0</v>
      </c>
      <c r="GS85">
        <v>3</v>
      </c>
      <c r="GT85">
        <v>0</v>
      </c>
      <c r="GU85" t="s">
        <v>3</v>
      </c>
      <c r="GV85">
        <f t="shared" si="113"/>
        <v>0</v>
      </c>
      <c r="GW85">
        <v>1</v>
      </c>
      <c r="GX85">
        <f t="shared" si="114"/>
        <v>0</v>
      </c>
      <c r="HA85">
        <v>0</v>
      </c>
      <c r="HB85">
        <v>0</v>
      </c>
      <c r="IK85">
        <v>0</v>
      </c>
    </row>
    <row r="86" spans="1:245" x14ac:dyDescent="0.2">
      <c r="A86">
        <v>17</v>
      </c>
      <c r="B86">
        <v>1</v>
      </c>
      <c r="C86">
        <f>ROW(SmtRes!A28)</f>
        <v>28</v>
      </c>
      <c r="D86">
        <f>ROW(EtalonRes!A29)</f>
        <v>29</v>
      </c>
      <c r="E86" t="s">
        <v>136</v>
      </c>
      <c r="F86" t="s">
        <v>59</v>
      </c>
      <c r="G86" t="s">
        <v>60</v>
      </c>
      <c r="H86" t="s">
        <v>61</v>
      </c>
      <c r="I86">
        <f>ROUND(I84,9)</f>
        <v>3.8758499999999998</v>
      </c>
      <c r="J86">
        <v>0</v>
      </c>
      <c r="O86">
        <f t="shared" si="76"/>
        <v>31836.86</v>
      </c>
      <c r="P86">
        <f t="shared" si="77"/>
        <v>0</v>
      </c>
      <c r="Q86">
        <f t="shared" si="78"/>
        <v>23361.919999999998</v>
      </c>
      <c r="R86">
        <f t="shared" si="79"/>
        <v>13685.97</v>
      </c>
      <c r="S86">
        <f t="shared" si="80"/>
        <v>8474.94</v>
      </c>
      <c r="T86">
        <f t="shared" si="81"/>
        <v>0</v>
      </c>
      <c r="U86">
        <f t="shared" si="82"/>
        <v>41.859180000000002</v>
      </c>
      <c r="V86">
        <f t="shared" si="83"/>
        <v>0</v>
      </c>
      <c r="W86">
        <f t="shared" si="84"/>
        <v>0</v>
      </c>
      <c r="X86">
        <f t="shared" si="85"/>
        <v>8220.69</v>
      </c>
      <c r="Y86">
        <f t="shared" si="86"/>
        <v>4576.47</v>
      </c>
      <c r="AA86">
        <v>42446460</v>
      </c>
      <c r="AB86">
        <f t="shared" si="87"/>
        <v>764.71</v>
      </c>
      <c r="AC86">
        <f t="shared" si="88"/>
        <v>0</v>
      </c>
      <c r="AD86">
        <f t="shared" si="89"/>
        <v>643.97</v>
      </c>
      <c r="AE86">
        <f t="shared" si="90"/>
        <v>194.98</v>
      </c>
      <c r="AF86">
        <f t="shared" si="91"/>
        <v>120.74</v>
      </c>
      <c r="AG86">
        <f t="shared" si="92"/>
        <v>0</v>
      </c>
      <c r="AH86">
        <f t="shared" si="93"/>
        <v>10.8</v>
      </c>
      <c r="AI86">
        <f t="shared" si="94"/>
        <v>0</v>
      </c>
      <c r="AJ86">
        <f t="shared" si="95"/>
        <v>0</v>
      </c>
      <c r="AK86">
        <v>764.71</v>
      </c>
      <c r="AL86">
        <v>0</v>
      </c>
      <c r="AM86">
        <v>643.97</v>
      </c>
      <c r="AN86">
        <v>194.98</v>
      </c>
      <c r="AO86">
        <v>120.74</v>
      </c>
      <c r="AP86">
        <v>0</v>
      </c>
      <c r="AQ86">
        <v>10.8</v>
      </c>
      <c r="AR86">
        <v>0</v>
      </c>
      <c r="AS86">
        <v>0</v>
      </c>
      <c r="AT86">
        <v>97</v>
      </c>
      <c r="AU86">
        <v>54</v>
      </c>
      <c r="AV86">
        <v>1</v>
      </c>
      <c r="AW86">
        <v>1</v>
      </c>
      <c r="AZ86">
        <v>1</v>
      </c>
      <c r="BA86">
        <v>18.11</v>
      </c>
      <c r="BB86">
        <v>9.36</v>
      </c>
      <c r="BC86">
        <v>1</v>
      </c>
      <c r="BD86" t="s">
        <v>3</v>
      </c>
      <c r="BE86" t="s">
        <v>3</v>
      </c>
      <c r="BF86" t="s">
        <v>3</v>
      </c>
      <c r="BG86" t="s">
        <v>3</v>
      </c>
      <c r="BH86">
        <v>0</v>
      </c>
      <c r="BI86">
        <v>1</v>
      </c>
      <c r="BJ86" t="s">
        <v>62</v>
      </c>
      <c r="BM86">
        <v>10</v>
      </c>
      <c r="BN86">
        <v>0</v>
      </c>
      <c r="BO86" t="s">
        <v>59</v>
      </c>
      <c r="BP86">
        <v>1</v>
      </c>
      <c r="BQ86">
        <v>30</v>
      </c>
      <c r="BR86">
        <v>0</v>
      </c>
      <c r="BS86">
        <v>18.11</v>
      </c>
      <c r="BT86">
        <v>1</v>
      </c>
      <c r="BU86">
        <v>1</v>
      </c>
      <c r="BV86">
        <v>1</v>
      </c>
      <c r="BW86">
        <v>1</v>
      </c>
      <c r="BX86">
        <v>1</v>
      </c>
      <c r="BY86" t="s">
        <v>3</v>
      </c>
      <c r="BZ86">
        <v>97</v>
      </c>
      <c r="CA86">
        <v>54</v>
      </c>
      <c r="CF86">
        <v>0</v>
      </c>
      <c r="CG86">
        <v>0</v>
      </c>
      <c r="CM86">
        <v>0</v>
      </c>
      <c r="CN86" t="s">
        <v>3</v>
      </c>
      <c r="CO86">
        <v>0</v>
      </c>
      <c r="CP86">
        <f t="shared" si="96"/>
        <v>31836.86</v>
      </c>
      <c r="CQ86">
        <f t="shared" si="97"/>
        <v>0</v>
      </c>
      <c r="CR86">
        <f t="shared" si="98"/>
        <v>6027.5591999999997</v>
      </c>
      <c r="CS86">
        <f t="shared" si="99"/>
        <v>3531.0877999999998</v>
      </c>
      <c r="CT86">
        <f t="shared" si="100"/>
        <v>2186.6014</v>
      </c>
      <c r="CU86">
        <f t="shared" si="101"/>
        <v>0</v>
      </c>
      <c r="CV86">
        <f t="shared" si="102"/>
        <v>10.8</v>
      </c>
      <c r="CW86">
        <f t="shared" si="103"/>
        <v>0</v>
      </c>
      <c r="CX86">
        <f t="shared" si="104"/>
        <v>0</v>
      </c>
      <c r="CY86">
        <f t="shared" si="105"/>
        <v>8220.6918000000005</v>
      </c>
      <c r="CZ86">
        <f t="shared" si="106"/>
        <v>4576.4676000000009</v>
      </c>
      <c r="DC86" t="s">
        <v>3</v>
      </c>
      <c r="DD86" t="s">
        <v>3</v>
      </c>
      <c r="DE86" t="s">
        <v>3</v>
      </c>
      <c r="DF86" t="s">
        <v>3</v>
      </c>
      <c r="DG86" t="s">
        <v>3</v>
      </c>
      <c r="DH86" t="s">
        <v>3</v>
      </c>
      <c r="DI86" t="s">
        <v>3</v>
      </c>
      <c r="DJ86" t="s">
        <v>3</v>
      </c>
      <c r="DK86" t="s">
        <v>3</v>
      </c>
      <c r="DL86" t="s">
        <v>3</v>
      </c>
      <c r="DM86" t="s">
        <v>3</v>
      </c>
      <c r="DN86">
        <v>98</v>
      </c>
      <c r="DO86">
        <v>77</v>
      </c>
      <c r="DP86">
        <v>1.0469999999999999</v>
      </c>
      <c r="DQ86">
        <v>1</v>
      </c>
      <c r="DU86">
        <v>1013</v>
      </c>
      <c r="DV86" t="s">
        <v>61</v>
      </c>
      <c r="DW86" t="s">
        <v>61</v>
      </c>
      <c r="DX86">
        <v>1</v>
      </c>
      <c r="EE86">
        <v>42186057</v>
      </c>
      <c r="EF86">
        <v>30</v>
      </c>
      <c r="EG86" t="s">
        <v>14</v>
      </c>
      <c r="EH86">
        <v>0</v>
      </c>
      <c r="EI86" t="s">
        <v>3</v>
      </c>
      <c r="EJ86">
        <v>1</v>
      </c>
      <c r="EK86">
        <v>10</v>
      </c>
      <c r="EL86" t="s">
        <v>63</v>
      </c>
      <c r="EM86" t="s">
        <v>64</v>
      </c>
      <c r="EO86" t="s">
        <v>3</v>
      </c>
      <c r="EQ86">
        <v>131072</v>
      </c>
      <c r="ER86">
        <v>764.71</v>
      </c>
      <c r="ES86">
        <v>0</v>
      </c>
      <c r="ET86">
        <v>643.97</v>
      </c>
      <c r="EU86">
        <v>194.98</v>
      </c>
      <c r="EV86">
        <v>120.74</v>
      </c>
      <c r="EW86">
        <v>10.8</v>
      </c>
      <c r="EX86">
        <v>0</v>
      </c>
      <c r="EY86">
        <v>0</v>
      </c>
      <c r="FQ86">
        <v>0</v>
      </c>
      <c r="FR86">
        <f t="shared" si="107"/>
        <v>0</v>
      </c>
      <c r="FS86">
        <v>0</v>
      </c>
      <c r="FX86">
        <v>98</v>
      </c>
      <c r="FY86">
        <v>77</v>
      </c>
      <c r="GA86" t="s">
        <v>3</v>
      </c>
      <c r="GD86">
        <v>0</v>
      </c>
      <c r="GF86">
        <v>-1696570498</v>
      </c>
      <c r="GG86">
        <v>2</v>
      </c>
      <c r="GH86">
        <v>0</v>
      </c>
      <c r="GI86">
        <v>0</v>
      </c>
      <c r="GJ86">
        <v>0</v>
      </c>
      <c r="GK86">
        <f>ROUND(R86*(R12)/100,2)</f>
        <v>22855.57</v>
      </c>
      <c r="GL86">
        <f t="shared" si="108"/>
        <v>0</v>
      </c>
      <c r="GM86">
        <f t="shared" si="109"/>
        <v>67489.59</v>
      </c>
      <c r="GN86">
        <f t="shared" si="110"/>
        <v>67489.59</v>
      </c>
      <c r="GO86">
        <f t="shared" si="111"/>
        <v>0</v>
      </c>
      <c r="GP86">
        <f t="shared" si="112"/>
        <v>0</v>
      </c>
      <c r="GR86">
        <v>0</v>
      </c>
      <c r="GS86">
        <v>0</v>
      </c>
      <c r="GT86">
        <v>0</v>
      </c>
      <c r="GU86" t="s">
        <v>3</v>
      </c>
      <c r="GV86">
        <f t="shared" si="113"/>
        <v>0</v>
      </c>
      <c r="GW86">
        <v>1</v>
      </c>
      <c r="GX86">
        <f t="shared" si="114"/>
        <v>0</v>
      </c>
      <c r="HA86">
        <v>0</v>
      </c>
      <c r="HB86">
        <v>0</v>
      </c>
      <c r="IK86">
        <v>0</v>
      </c>
    </row>
    <row r="87" spans="1:245" x14ac:dyDescent="0.2">
      <c r="A87">
        <v>17</v>
      </c>
      <c r="B87">
        <v>1</v>
      </c>
      <c r="D87">
        <f>ROW(EtalonRes!A30)</f>
        <v>30</v>
      </c>
      <c r="E87" t="s">
        <v>137</v>
      </c>
      <c r="F87" t="s">
        <v>71</v>
      </c>
      <c r="G87" t="s">
        <v>72</v>
      </c>
      <c r="H87" t="s">
        <v>20</v>
      </c>
      <c r="I87">
        <f>ROUND(430.65*0.1/100,9)</f>
        <v>0.43064999999999998</v>
      </c>
      <c r="J87">
        <v>0</v>
      </c>
      <c r="O87">
        <f t="shared" si="76"/>
        <v>8197.84</v>
      </c>
      <c r="P87">
        <f t="shared" si="77"/>
        <v>0</v>
      </c>
      <c r="Q87">
        <f t="shared" si="78"/>
        <v>0</v>
      </c>
      <c r="R87">
        <f t="shared" si="79"/>
        <v>0</v>
      </c>
      <c r="S87">
        <f t="shared" si="80"/>
        <v>8197.84</v>
      </c>
      <c r="T87">
        <f t="shared" si="81"/>
        <v>0</v>
      </c>
      <c r="U87">
        <f t="shared" si="82"/>
        <v>46.096775999999998</v>
      </c>
      <c r="V87">
        <f t="shared" si="83"/>
        <v>0</v>
      </c>
      <c r="W87">
        <f t="shared" si="84"/>
        <v>0</v>
      </c>
      <c r="X87">
        <f t="shared" si="85"/>
        <v>7296.08</v>
      </c>
      <c r="Y87">
        <f t="shared" si="86"/>
        <v>3607.05</v>
      </c>
      <c r="AA87">
        <v>42446460</v>
      </c>
      <c r="AB87">
        <f t="shared" si="87"/>
        <v>1051.1300000000001</v>
      </c>
      <c r="AC87">
        <f t="shared" si="88"/>
        <v>0</v>
      </c>
      <c r="AD87">
        <f t="shared" si="89"/>
        <v>0</v>
      </c>
      <c r="AE87">
        <f t="shared" si="90"/>
        <v>0</v>
      </c>
      <c r="AF87">
        <f t="shared" si="91"/>
        <v>1051.1300000000001</v>
      </c>
      <c r="AG87">
        <f t="shared" si="92"/>
        <v>0</v>
      </c>
      <c r="AH87">
        <f t="shared" si="93"/>
        <v>107.04</v>
      </c>
      <c r="AI87">
        <f t="shared" si="94"/>
        <v>0</v>
      </c>
      <c r="AJ87">
        <f t="shared" si="95"/>
        <v>0</v>
      </c>
      <c r="AK87">
        <v>1051.1300000000001</v>
      </c>
      <c r="AL87">
        <v>0</v>
      </c>
      <c r="AM87">
        <v>0</v>
      </c>
      <c r="AN87">
        <v>0</v>
      </c>
      <c r="AO87">
        <v>1051.1300000000001</v>
      </c>
      <c r="AP87">
        <v>0</v>
      </c>
      <c r="AQ87">
        <v>107.04</v>
      </c>
      <c r="AR87">
        <v>0</v>
      </c>
      <c r="AS87">
        <v>0</v>
      </c>
      <c r="AT87">
        <v>89</v>
      </c>
      <c r="AU87">
        <v>44</v>
      </c>
      <c r="AV87">
        <v>1</v>
      </c>
      <c r="AW87">
        <v>1</v>
      </c>
      <c r="AZ87">
        <v>1</v>
      </c>
      <c r="BA87">
        <v>18.11</v>
      </c>
      <c r="BB87">
        <v>1</v>
      </c>
      <c r="BC87">
        <v>1</v>
      </c>
      <c r="BD87" t="s">
        <v>3</v>
      </c>
      <c r="BE87" t="s">
        <v>3</v>
      </c>
      <c r="BF87" t="s">
        <v>3</v>
      </c>
      <c r="BG87" t="s">
        <v>3</v>
      </c>
      <c r="BH87">
        <v>0</v>
      </c>
      <c r="BI87">
        <v>1</v>
      </c>
      <c r="BJ87" t="s">
        <v>73</v>
      </c>
      <c r="BM87">
        <v>16</v>
      </c>
      <c r="BN87">
        <v>0</v>
      </c>
      <c r="BO87" t="s">
        <v>71</v>
      </c>
      <c r="BP87">
        <v>1</v>
      </c>
      <c r="BQ87">
        <v>30</v>
      </c>
      <c r="BR87">
        <v>0</v>
      </c>
      <c r="BS87">
        <v>18.11</v>
      </c>
      <c r="BT87">
        <v>1</v>
      </c>
      <c r="BU87">
        <v>1</v>
      </c>
      <c r="BV87">
        <v>1</v>
      </c>
      <c r="BW87">
        <v>1</v>
      </c>
      <c r="BX87">
        <v>1</v>
      </c>
      <c r="BY87" t="s">
        <v>3</v>
      </c>
      <c r="BZ87">
        <v>89</v>
      </c>
      <c r="CA87">
        <v>44</v>
      </c>
      <c r="CF87">
        <v>0</v>
      </c>
      <c r="CG87">
        <v>0</v>
      </c>
      <c r="CM87">
        <v>0</v>
      </c>
      <c r="CN87" t="s">
        <v>3</v>
      </c>
      <c r="CO87">
        <v>0</v>
      </c>
      <c r="CP87">
        <f t="shared" si="96"/>
        <v>8197.84</v>
      </c>
      <c r="CQ87">
        <f t="shared" si="97"/>
        <v>0</v>
      </c>
      <c r="CR87">
        <f t="shared" si="98"/>
        <v>0</v>
      </c>
      <c r="CS87">
        <f t="shared" si="99"/>
        <v>0</v>
      </c>
      <c r="CT87">
        <f t="shared" si="100"/>
        <v>19035.9643</v>
      </c>
      <c r="CU87">
        <f t="shared" si="101"/>
        <v>0</v>
      </c>
      <c r="CV87">
        <f t="shared" si="102"/>
        <v>107.04</v>
      </c>
      <c r="CW87">
        <f t="shared" si="103"/>
        <v>0</v>
      </c>
      <c r="CX87">
        <f t="shared" si="104"/>
        <v>0</v>
      </c>
      <c r="CY87">
        <f t="shared" si="105"/>
        <v>7296.0776000000005</v>
      </c>
      <c r="CZ87">
        <f t="shared" si="106"/>
        <v>3607.0496000000003</v>
      </c>
      <c r="DC87" t="s">
        <v>3</v>
      </c>
      <c r="DD87" t="s">
        <v>3</v>
      </c>
      <c r="DE87" t="s">
        <v>3</v>
      </c>
      <c r="DF87" t="s">
        <v>3</v>
      </c>
      <c r="DG87" t="s">
        <v>3</v>
      </c>
      <c r="DH87" t="s">
        <v>3</v>
      </c>
      <c r="DI87" t="s">
        <v>3</v>
      </c>
      <c r="DJ87" t="s">
        <v>3</v>
      </c>
      <c r="DK87" t="s">
        <v>3</v>
      </c>
      <c r="DL87" t="s">
        <v>3</v>
      </c>
      <c r="DM87" t="s">
        <v>3</v>
      </c>
      <c r="DN87">
        <v>105</v>
      </c>
      <c r="DO87">
        <v>77</v>
      </c>
      <c r="DP87">
        <v>1.248</v>
      </c>
      <c r="DQ87">
        <v>1</v>
      </c>
      <c r="DU87">
        <v>1013</v>
      </c>
      <c r="DV87" t="s">
        <v>20</v>
      </c>
      <c r="DW87" t="s">
        <v>20</v>
      </c>
      <c r="DX87">
        <v>1</v>
      </c>
      <c r="EE87">
        <v>42186063</v>
      </c>
      <c r="EF87">
        <v>30</v>
      </c>
      <c r="EG87" t="s">
        <v>14</v>
      </c>
      <c r="EH87">
        <v>0</v>
      </c>
      <c r="EI87" t="s">
        <v>3</v>
      </c>
      <c r="EJ87">
        <v>1</v>
      </c>
      <c r="EK87">
        <v>16</v>
      </c>
      <c r="EL87" t="s">
        <v>32</v>
      </c>
      <c r="EM87" t="s">
        <v>33</v>
      </c>
      <c r="EO87" t="s">
        <v>3</v>
      </c>
      <c r="EQ87">
        <v>131072</v>
      </c>
      <c r="ER87">
        <v>1051.1300000000001</v>
      </c>
      <c r="ES87">
        <v>0</v>
      </c>
      <c r="ET87">
        <v>0</v>
      </c>
      <c r="EU87">
        <v>0</v>
      </c>
      <c r="EV87">
        <v>1051.1300000000001</v>
      </c>
      <c r="EW87">
        <v>107.04</v>
      </c>
      <c r="EX87">
        <v>0</v>
      </c>
      <c r="EY87">
        <v>0</v>
      </c>
      <c r="FQ87">
        <v>0</v>
      </c>
      <c r="FR87">
        <f t="shared" si="107"/>
        <v>0</v>
      </c>
      <c r="FS87">
        <v>0</v>
      </c>
      <c r="FX87">
        <v>105</v>
      </c>
      <c r="FY87">
        <v>77</v>
      </c>
      <c r="GA87" t="s">
        <v>3</v>
      </c>
      <c r="GD87">
        <v>0</v>
      </c>
      <c r="GF87">
        <v>-1043644608</v>
      </c>
      <c r="GG87">
        <v>2</v>
      </c>
      <c r="GH87">
        <v>0</v>
      </c>
      <c r="GI87">
        <v>0</v>
      </c>
      <c r="GJ87">
        <v>0</v>
      </c>
      <c r="GK87">
        <f>ROUND(R87*(R12)/100,2)</f>
        <v>0</v>
      </c>
      <c r="GL87">
        <f t="shared" si="108"/>
        <v>0</v>
      </c>
      <c r="GM87">
        <f t="shared" si="109"/>
        <v>19100.97</v>
      </c>
      <c r="GN87">
        <f t="shared" si="110"/>
        <v>19100.97</v>
      </c>
      <c r="GO87">
        <f t="shared" si="111"/>
        <v>0</v>
      </c>
      <c r="GP87">
        <f t="shared" si="112"/>
        <v>0</v>
      </c>
      <c r="GR87">
        <v>0</v>
      </c>
      <c r="GS87">
        <v>0</v>
      </c>
      <c r="GT87">
        <v>0</v>
      </c>
      <c r="GU87" t="s">
        <v>3</v>
      </c>
      <c r="GV87">
        <f t="shared" si="113"/>
        <v>0</v>
      </c>
      <c r="GW87">
        <v>1</v>
      </c>
      <c r="GX87">
        <f t="shared" si="114"/>
        <v>0</v>
      </c>
      <c r="HA87">
        <v>0</v>
      </c>
      <c r="HB87">
        <v>0</v>
      </c>
      <c r="IK87">
        <v>0</v>
      </c>
    </row>
    <row r="89" spans="1:245" x14ac:dyDescent="0.2">
      <c r="A89" s="2">
        <v>51</v>
      </c>
      <c r="B89" s="2">
        <f>B73</f>
        <v>1</v>
      </c>
      <c r="C89" s="2">
        <f>A73</f>
        <v>5</v>
      </c>
      <c r="D89" s="2">
        <f>ROW(A73)</f>
        <v>73</v>
      </c>
      <c r="E89" s="2"/>
      <c r="F89" s="2" t="str">
        <f>IF(F73&lt;&gt;"",F73,"")</f>
        <v>Новый подраздел</v>
      </c>
      <c r="G89" s="2" t="str">
        <f>IF(G73&lt;&gt;"",G73,"")</f>
        <v>Траншея 1.2</v>
      </c>
      <c r="H89" s="2">
        <v>0</v>
      </c>
      <c r="I89" s="2"/>
      <c r="J89" s="2"/>
      <c r="K89" s="2"/>
      <c r="L89" s="2"/>
      <c r="M89" s="2"/>
      <c r="N89" s="2"/>
      <c r="O89" s="2">
        <f t="shared" ref="O89:T89" si="115">ROUND(AB89,2)</f>
        <v>422738.76</v>
      </c>
      <c r="P89" s="2">
        <f t="shared" si="115"/>
        <v>193599.94</v>
      </c>
      <c r="Q89" s="2">
        <f t="shared" si="115"/>
        <v>161989.54</v>
      </c>
      <c r="R89" s="2">
        <f t="shared" si="115"/>
        <v>76259.960000000006</v>
      </c>
      <c r="S89" s="2">
        <f t="shared" si="115"/>
        <v>67149.279999999999</v>
      </c>
      <c r="T89" s="2">
        <f t="shared" si="115"/>
        <v>0</v>
      </c>
      <c r="U89" s="2">
        <f>AH89</f>
        <v>348.62743790999997</v>
      </c>
      <c r="V89" s="2">
        <f>AI89</f>
        <v>0</v>
      </c>
      <c r="W89" s="2">
        <f>ROUND(AJ89,2)</f>
        <v>0</v>
      </c>
      <c r="X89" s="2">
        <f>ROUND(AK89,2)</f>
        <v>62027.64</v>
      </c>
      <c r="Y89" s="2">
        <f>ROUND(AL89,2)</f>
        <v>31752.77</v>
      </c>
      <c r="Z89" s="2"/>
      <c r="AA89" s="2"/>
      <c r="AB89" s="2">
        <f>ROUND(SUMIF(AA77:AA87,"=42446460",O77:O87),2)</f>
        <v>422738.76</v>
      </c>
      <c r="AC89" s="2">
        <f>ROUND(SUMIF(AA77:AA87,"=42446460",P77:P87),2)</f>
        <v>193599.94</v>
      </c>
      <c r="AD89" s="2">
        <f>ROUND(SUMIF(AA77:AA87,"=42446460",Q77:Q87),2)</f>
        <v>161989.54</v>
      </c>
      <c r="AE89" s="2">
        <f>ROUND(SUMIF(AA77:AA87,"=42446460",R77:R87),2)</f>
        <v>76259.960000000006</v>
      </c>
      <c r="AF89" s="2">
        <f>ROUND(SUMIF(AA77:AA87,"=42446460",S77:S87),2)</f>
        <v>67149.279999999999</v>
      </c>
      <c r="AG89" s="2">
        <f>ROUND(SUMIF(AA77:AA87,"=42446460",T77:T87),2)</f>
        <v>0</v>
      </c>
      <c r="AH89" s="2">
        <f>SUMIF(AA77:AA87,"=42446460",U77:U87)</f>
        <v>348.62743790999997</v>
      </c>
      <c r="AI89" s="2">
        <f>SUMIF(AA77:AA87,"=42446460",V77:V87)</f>
        <v>0</v>
      </c>
      <c r="AJ89" s="2">
        <f>ROUND(SUMIF(AA77:AA87,"=42446460",W77:W87),2)</f>
        <v>0</v>
      </c>
      <c r="AK89" s="2">
        <f>ROUND(SUMIF(AA77:AA87,"=42446460",X77:X87),2)</f>
        <v>62027.64</v>
      </c>
      <c r="AL89" s="2">
        <f>ROUND(SUMIF(AA77:AA87,"=42446460",Y77:Y87),2)</f>
        <v>31752.77</v>
      </c>
      <c r="AM89" s="2"/>
      <c r="AN89" s="2"/>
      <c r="AO89" s="2">
        <f t="shared" ref="AO89:BC89" si="116">ROUND(BX89,2)</f>
        <v>0</v>
      </c>
      <c r="AP89" s="2">
        <f t="shared" si="116"/>
        <v>0</v>
      </c>
      <c r="AQ89" s="2">
        <f t="shared" si="116"/>
        <v>0</v>
      </c>
      <c r="AR89" s="2">
        <f t="shared" si="116"/>
        <v>643873.31000000006</v>
      </c>
      <c r="AS89" s="2">
        <f t="shared" si="116"/>
        <v>566528.17000000004</v>
      </c>
      <c r="AT89" s="2">
        <f t="shared" si="116"/>
        <v>77345.14</v>
      </c>
      <c r="AU89" s="2">
        <f t="shared" si="116"/>
        <v>0</v>
      </c>
      <c r="AV89" s="2">
        <f t="shared" si="116"/>
        <v>193599.94</v>
      </c>
      <c r="AW89" s="2">
        <f t="shared" si="116"/>
        <v>193599.94</v>
      </c>
      <c r="AX89" s="2">
        <f t="shared" si="116"/>
        <v>0</v>
      </c>
      <c r="AY89" s="2">
        <f t="shared" si="116"/>
        <v>193599.94</v>
      </c>
      <c r="AZ89" s="2">
        <f t="shared" si="116"/>
        <v>0</v>
      </c>
      <c r="BA89" s="2">
        <f t="shared" si="116"/>
        <v>0</v>
      </c>
      <c r="BB89" s="2">
        <f t="shared" si="116"/>
        <v>0</v>
      </c>
      <c r="BC89" s="2">
        <f t="shared" si="116"/>
        <v>0</v>
      </c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>
        <f>ROUND(SUMIF(AA77:AA87,"=42446460",FQ77:FQ87),2)</f>
        <v>0</v>
      </c>
      <c r="BY89" s="2">
        <f>ROUND(SUMIF(AA77:AA87,"=42446460",FR77:FR87),2)</f>
        <v>0</v>
      </c>
      <c r="BZ89" s="2">
        <f>ROUND(SUMIF(AA77:AA87,"=42446460",GL77:GL87),2)</f>
        <v>0</v>
      </c>
      <c r="CA89" s="2">
        <f>ROUND(SUMIF(AA77:AA87,"=42446460",GM77:GM87),2)</f>
        <v>643873.31000000006</v>
      </c>
      <c r="CB89" s="2">
        <f>ROUND(SUMIF(AA77:AA87,"=42446460",GN77:GN87),2)</f>
        <v>566528.17000000004</v>
      </c>
      <c r="CC89" s="2">
        <f>ROUND(SUMIF(AA77:AA87,"=42446460",GO77:GO87),2)</f>
        <v>77345.14</v>
      </c>
      <c r="CD89" s="2">
        <f>ROUND(SUMIF(AA77:AA87,"=42446460",GP77:GP87),2)</f>
        <v>0</v>
      </c>
      <c r="CE89" s="2">
        <f>AC89-BX89</f>
        <v>193599.94</v>
      </c>
      <c r="CF89" s="2">
        <f>AC89-BY89</f>
        <v>193599.94</v>
      </c>
      <c r="CG89" s="2">
        <f>BX89-BZ89</f>
        <v>0</v>
      </c>
      <c r="CH89" s="2">
        <f>AC89-BX89-BY89+BZ89</f>
        <v>193599.94</v>
      </c>
      <c r="CI89" s="2">
        <f>BY89-BZ89</f>
        <v>0</v>
      </c>
      <c r="CJ89" s="2">
        <f>ROUND(SUMIF(AA77:AA87,"=42446460",GX77:GX87),2)</f>
        <v>0</v>
      </c>
      <c r="CK89" s="2">
        <f>ROUND(SUMIF(AA77:AA87,"=42446460",GY77:GY87),2)</f>
        <v>0</v>
      </c>
      <c r="CL89" s="2">
        <f>ROUND(SUMIF(AA77:AA87,"=42446460",GZ77:GZ87),2)</f>
        <v>0</v>
      </c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>
        <v>0</v>
      </c>
    </row>
    <row r="91" spans="1:245" x14ac:dyDescent="0.2">
      <c r="A91" s="4">
        <v>50</v>
      </c>
      <c r="B91" s="4">
        <v>0</v>
      </c>
      <c r="C91" s="4">
        <v>0</v>
      </c>
      <c r="D91" s="4">
        <v>1</v>
      </c>
      <c r="E91" s="4">
        <v>201</v>
      </c>
      <c r="F91" s="4">
        <f>ROUND(Source!O89,O91)</f>
        <v>422738.76</v>
      </c>
      <c r="G91" s="4" t="s">
        <v>74</v>
      </c>
      <c r="H91" s="4" t="s">
        <v>75</v>
      </c>
      <c r="I91" s="4"/>
      <c r="J91" s="4"/>
      <c r="K91" s="4">
        <v>201</v>
      </c>
      <c r="L91" s="4">
        <v>1</v>
      </c>
      <c r="M91" s="4">
        <v>3</v>
      </c>
      <c r="N91" s="4" t="s">
        <v>3</v>
      </c>
      <c r="O91" s="4">
        <v>2</v>
      </c>
      <c r="P91" s="4"/>
      <c r="Q91" s="4"/>
      <c r="R91" s="4"/>
      <c r="S91" s="4"/>
      <c r="T91" s="4"/>
      <c r="U91" s="4"/>
      <c r="V91" s="4"/>
      <c r="W91" s="4"/>
    </row>
    <row r="92" spans="1:245" x14ac:dyDescent="0.2">
      <c r="A92" s="4">
        <v>50</v>
      </c>
      <c r="B92" s="4">
        <v>0</v>
      </c>
      <c r="C92" s="4">
        <v>0</v>
      </c>
      <c r="D92" s="4">
        <v>1</v>
      </c>
      <c r="E92" s="4">
        <v>202</v>
      </c>
      <c r="F92" s="4">
        <f>ROUND(Source!P89,O92)</f>
        <v>193599.94</v>
      </c>
      <c r="G92" s="4" t="s">
        <v>76</v>
      </c>
      <c r="H92" s="4" t="s">
        <v>77</v>
      </c>
      <c r="I92" s="4"/>
      <c r="J92" s="4"/>
      <c r="K92" s="4">
        <v>202</v>
      </c>
      <c r="L92" s="4">
        <v>2</v>
      </c>
      <c r="M92" s="4">
        <v>3</v>
      </c>
      <c r="N92" s="4" t="s">
        <v>3</v>
      </c>
      <c r="O92" s="4">
        <v>2</v>
      </c>
      <c r="P92" s="4"/>
      <c r="Q92" s="4"/>
      <c r="R92" s="4"/>
      <c r="S92" s="4"/>
      <c r="T92" s="4"/>
      <c r="U92" s="4"/>
      <c r="V92" s="4"/>
      <c r="W92" s="4"/>
    </row>
    <row r="93" spans="1:245" x14ac:dyDescent="0.2">
      <c r="A93" s="4">
        <v>50</v>
      </c>
      <c r="B93" s="4">
        <v>0</v>
      </c>
      <c r="C93" s="4">
        <v>0</v>
      </c>
      <c r="D93" s="4">
        <v>1</v>
      </c>
      <c r="E93" s="4">
        <v>222</v>
      </c>
      <c r="F93" s="4">
        <f>ROUND(Source!AO89,O93)</f>
        <v>0</v>
      </c>
      <c r="G93" s="4" t="s">
        <v>78</v>
      </c>
      <c r="H93" s="4" t="s">
        <v>79</v>
      </c>
      <c r="I93" s="4"/>
      <c r="J93" s="4"/>
      <c r="K93" s="4">
        <v>222</v>
      </c>
      <c r="L93" s="4">
        <v>3</v>
      </c>
      <c r="M93" s="4">
        <v>3</v>
      </c>
      <c r="N93" s="4" t="s">
        <v>3</v>
      </c>
      <c r="O93" s="4">
        <v>2</v>
      </c>
      <c r="P93" s="4"/>
      <c r="Q93" s="4"/>
      <c r="R93" s="4"/>
      <c r="S93" s="4"/>
      <c r="T93" s="4"/>
      <c r="U93" s="4"/>
      <c r="V93" s="4"/>
      <c r="W93" s="4"/>
    </row>
    <row r="94" spans="1:245" x14ac:dyDescent="0.2">
      <c r="A94" s="4">
        <v>50</v>
      </c>
      <c r="B94" s="4">
        <v>0</v>
      </c>
      <c r="C94" s="4">
        <v>0</v>
      </c>
      <c r="D94" s="4">
        <v>1</v>
      </c>
      <c r="E94" s="4">
        <v>225</v>
      </c>
      <c r="F94" s="4">
        <f>ROUND(Source!AV89,O94)</f>
        <v>193599.94</v>
      </c>
      <c r="G94" s="4" t="s">
        <v>80</v>
      </c>
      <c r="H94" s="4" t="s">
        <v>81</v>
      </c>
      <c r="I94" s="4"/>
      <c r="J94" s="4"/>
      <c r="K94" s="4">
        <v>225</v>
      </c>
      <c r="L94" s="4">
        <v>4</v>
      </c>
      <c r="M94" s="4">
        <v>3</v>
      </c>
      <c r="N94" s="4" t="s">
        <v>3</v>
      </c>
      <c r="O94" s="4">
        <v>2</v>
      </c>
      <c r="P94" s="4"/>
      <c r="Q94" s="4"/>
      <c r="R94" s="4"/>
      <c r="S94" s="4"/>
      <c r="T94" s="4"/>
      <c r="U94" s="4"/>
      <c r="V94" s="4"/>
      <c r="W94" s="4"/>
    </row>
    <row r="95" spans="1:245" x14ac:dyDescent="0.2">
      <c r="A95" s="4">
        <v>50</v>
      </c>
      <c r="B95" s="4">
        <v>0</v>
      </c>
      <c r="C95" s="4">
        <v>0</v>
      </c>
      <c r="D95" s="4">
        <v>1</v>
      </c>
      <c r="E95" s="4">
        <v>226</v>
      </c>
      <c r="F95" s="4">
        <f>ROUND(Source!AW89,O95)</f>
        <v>193599.94</v>
      </c>
      <c r="G95" s="4" t="s">
        <v>82</v>
      </c>
      <c r="H95" s="4" t="s">
        <v>83</v>
      </c>
      <c r="I95" s="4"/>
      <c r="J95" s="4"/>
      <c r="K95" s="4">
        <v>226</v>
      </c>
      <c r="L95" s="4">
        <v>5</v>
      </c>
      <c r="M95" s="4">
        <v>3</v>
      </c>
      <c r="N95" s="4" t="s">
        <v>3</v>
      </c>
      <c r="O95" s="4">
        <v>2</v>
      </c>
      <c r="P95" s="4"/>
      <c r="Q95" s="4"/>
      <c r="R95" s="4"/>
      <c r="S95" s="4"/>
      <c r="T95" s="4"/>
      <c r="U95" s="4"/>
      <c r="V95" s="4"/>
      <c r="W95" s="4"/>
    </row>
    <row r="96" spans="1:245" x14ac:dyDescent="0.2">
      <c r="A96" s="4">
        <v>50</v>
      </c>
      <c r="B96" s="4">
        <v>0</v>
      </c>
      <c r="C96" s="4">
        <v>0</v>
      </c>
      <c r="D96" s="4">
        <v>1</v>
      </c>
      <c r="E96" s="4">
        <v>227</v>
      </c>
      <c r="F96" s="4">
        <f>ROUND(Source!AX89,O96)</f>
        <v>0</v>
      </c>
      <c r="G96" s="4" t="s">
        <v>84</v>
      </c>
      <c r="H96" s="4" t="s">
        <v>85</v>
      </c>
      <c r="I96" s="4"/>
      <c r="J96" s="4"/>
      <c r="K96" s="4">
        <v>227</v>
      </c>
      <c r="L96" s="4">
        <v>6</v>
      </c>
      <c r="M96" s="4">
        <v>3</v>
      </c>
      <c r="N96" s="4" t="s">
        <v>3</v>
      </c>
      <c r="O96" s="4">
        <v>2</v>
      </c>
      <c r="P96" s="4"/>
      <c r="Q96" s="4"/>
      <c r="R96" s="4"/>
      <c r="S96" s="4"/>
      <c r="T96" s="4"/>
      <c r="U96" s="4"/>
      <c r="V96" s="4"/>
      <c r="W96" s="4"/>
    </row>
    <row r="97" spans="1:23" x14ac:dyDescent="0.2">
      <c r="A97" s="4">
        <v>50</v>
      </c>
      <c r="B97" s="4">
        <v>0</v>
      </c>
      <c r="C97" s="4">
        <v>0</v>
      </c>
      <c r="D97" s="4">
        <v>1</v>
      </c>
      <c r="E97" s="4">
        <v>228</v>
      </c>
      <c r="F97" s="4">
        <f>ROUND(Source!AY89,O97)</f>
        <v>193599.94</v>
      </c>
      <c r="G97" s="4" t="s">
        <v>86</v>
      </c>
      <c r="H97" s="4" t="s">
        <v>87</v>
      </c>
      <c r="I97" s="4"/>
      <c r="J97" s="4"/>
      <c r="K97" s="4">
        <v>228</v>
      </c>
      <c r="L97" s="4">
        <v>7</v>
      </c>
      <c r="M97" s="4">
        <v>3</v>
      </c>
      <c r="N97" s="4" t="s">
        <v>3</v>
      </c>
      <c r="O97" s="4">
        <v>2</v>
      </c>
      <c r="P97" s="4"/>
      <c r="Q97" s="4"/>
      <c r="R97" s="4"/>
      <c r="S97" s="4"/>
      <c r="T97" s="4"/>
      <c r="U97" s="4"/>
      <c r="V97" s="4"/>
      <c r="W97" s="4"/>
    </row>
    <row r="98" spans="1:23" x14ac:dyDescent="0.2">
      <c r="A98" s="4">
        <v>50</v>
      </c>
      <c r="B98" s="4">
        <v>0</v>
      </c>
      <c r="C98" s="4">
        <v>0</v>
      </c>
      <c r="D98" s="4">
        <v>1</v>
      </c>
      <c r="E98" s="4">
        <v>216</v>
      </c>
      <c r="F98" s="4">
        <f>ROUND(Source!AP89,O98)</f>
        <v>0</v>
      </c>
      <c r="G98" s="4" t="s">
        <v>88</v>
      </c>
      <c r="H98" s="4" t="s">
        <v>89</v>
      </c>
      <c r="I98" s="4"/>
      <c r="J98" s="4"/>
      <c r="K98" s="4">
        <v>216</v>
      </c>
      <c r="L98" s="4">
        <v>8</v>
      </c>
      <c r="M98" s="4">
        <v>3</v>
      </c>
      <c r="N98" s="4" t="s">
        <v>3</v>
      </c>
      <c r="O98" s="4">
        <v>2</v>
      </c>
      <c r="P98" s="4"/>
      <c r="Q98" s="4"/>
      <c r="R98" s="4"/>
      <c r="S98" s="4"/>
      <c r="T98" s="4"/>
      <c r="U98" s="4"/>
      <c r="V98" s="4"/>
      <c r="W98" s="4"/>
    </row>
    <row r="99" spans="1:23" x14ac:dyDescent="0.2">
      <c r="A99" s="4">
        <v>50</v>
      </c>
      <c r="B99" s="4">
        <v>0</v>
      </c>
      <c r="C99" s="4">
        <v>0</v>
      </c>
      <c r="D99" s="4">
        <v>1</v>
      </c>
      <c r="E99" s="4">
        <v>223</v>
      </c>
      <c r="F99" s="4">
        <f>ROUND(Source!AQ89,O99)</f>
        <v>0</v>
      </c>
      <c r="G99" s="4" t="s">
        <v>90</v>
      </c>
      <c r="H99" s="4" t="s">
        <v>91</v>
      </c>
      <c r="I99" s="4"/>
      <c r="J99" s="4"/>
      <c r="K99" s="4">
        <v>223</v>
      </c>
      <c r="L99" s="4">
        <v>9</v>
      </c>
      <c r="M99" s="4">
        <v>3</v>
      </c>
      <c r="N99" s="4" t="s">
        <v>3</v>
      </c>
      <c r="O99" s="4">
        <v>2</v>
      </c>
      <c r="P99" s="4"/>
      <c r="Q99" s="4"/>
      <c r="R99" s="4"/>
      <c r="S99" s="4"/>
      <c r="T99" s="4"/>
      <c r="U99" s="4"/>
      <c r="V99" s="4"/>
      <c r="W99" s="4"/>
    </row>
    <row r="100" spans="1:23" x14ac:dyDescent="0.2">
      <c r="A100" s="4">
        <v>50</v>
      </c>
      <c r="B100" s="4">
        <v>0</v>
      </c>
      <c r="C100" s="4">
        <v>0</v>
      </c>
      <c r="D100" s="4">
        <v>1</v>
      </c>
      <c r="E100" s="4">
        <v>229</v>
      </c>
      <c r="F100" s="4">
        <f>ROUND(Source!AZ89,O100)</f>
        <v>0</v>
      </c>
      <c r="G100" s="4" t="s">
        <v>92</v>
      </c>
      <c r="H100" s="4" t="s">
        <v>93</v>
      </c>
      <c r="I100" s="4"/>
      <c r="J100" s="4"/>
      <c r="K100" s="4">
        <v>229</v>
      </c>
      <c r="L100" s="4">
        <v>10</v>
      </c>
      <c r="M100" s="4">
        <v>3</v>
      </c>
      <c r="N100" s="4" t="s">
        <v>3</v>
      </c>
      <c r="O100" s="4">
        <v>2</v>
      </c>
      <c r="P100" s="4"/>
      <c r="Q100" s="4"/>
      <c r="R100" s="4"/>
      <c r="S100" s="4"/>
      <c r="T100" s="4"/>
      <c r="U100" s="4"/>
      <c r="V100" s="4"/>
      <c r="W100" s="4"/>
    </row>
    <row r="101" spans="1:23" x14ac:dyDescent="0.2">
      <c r="A101" s="4">
        <v>50</v>
      </c>
      <c r="B101" s="4">
        <v>0</v>
      </c>
      <c r="C101" s="4">
        <v>0</v>
      </c>
      <c r="D101" s="4">
        <v>1</v>
      </c>
      <c r="E101" s="4">
        <v>203</v>
      </c>
      <c r="F101" s="4">
        <f>ROUND(Source!Q89,O101)</f>
        <v>161989.54</v>
      </c>
      <c r="G101" s="4" t="s">
        <v>94</v>
      </c>
      <c r="H101" s="4" t="s">
        <v>95</v>
      </c>
      <c r="I101" s="4"/>
      <c r="J101" s="4"/>
      <c r="K101" s="4">
        <v>203</v>
      </c>
      <c r="L101" s="4">
        <v>11</v>
      </c>
      <c r="M101" s="4">
        <v>3</v>
      </c>
      <c r="N101" s="4" t="s">
        <v>3</v>
      </c>
      <c r="O101" s="4">
        <v>2</v>
      </c>
      <c r="P101" s="4"/>
      <c r="Q101" s="4"/>
      <c r="R101" s="4"/>
      <c r="S101" s="4"/>
      <c r="T101" s="4"/>
      <c r="U101" s="4"/>
      <c r="V101" s="4"/>
      <c r="W101" s="4"/>
    </row>
    <row r="102" spans="1:23" x14ac:dyDescent="0.2">
      <c r="A102" s="4">
        <v>50</v>
      </c>
      <c r="B102" s="4">
        <v>0</v>
      </c>
      <c r="C102" s="4">
        <v>0</v>
      </c>
      <c r="D102" s="4">
        <v>1</v>
      </c>
      <c r="E102" s="4">
        <v>231</v>
      </c>
      <c r="F102" s="4">
        <f>ROUND(Source!BB89,O102)</f>
        <v>0</v>
      </c>
      <c r="G102" s="4" t="s">
        <v>96</v>
      </c>
      <c r="H102" s="4" t="s">
        <v>97</v>
      </c>
      <c r="I102" s="4"/>
      <c r="J102" s="4"/>
      <c r="K102" s="4">
        <v>231</v>
      </c>
      <c r="L102" s="4">
        <v>12</v>
      </c>
      <c r="M102" s="4">
        <v>3</v>
      </c>
      <c r="N102" s="4" t="s">
        <v>3</v>
      </c>
      <c r="O102" s="4">
        <v>2</v>
      </c>
      <c r="P102" s="4"/>
      <c r="Q102" s="4"/>
      <c r="R102" s="4"/>
      <c r="S102" s="4"/>
      <c r="T102" s="4"/>
      <c r="U102" s="4"/>
      <c r="V102" s="4"/>
      <c r="W102" s="4"/>
    </row>
    <row r="103" spans="1:23" x14ac:dyDescent="0.2">
      <c r="A103" s="4">
        <v>50</v>
      </c>
      <c r="B103" s="4">
        <v>0</v>
      </c>
      <c r="C103" s="4">
        <v>0</v>
      </c>
      <c r="D103" s="4">
        <v>1</v>
      </c>
      <c r="E103" s="4">
        <v>204</v>
      </c>
      <c r="F103" s="4">
        <f>ROUND(Source!R89,O103)</f>
        <v>76259.960000000006</v>
      </c>
      <c r="G103" s="4" t="s">
        <v>98</v>
      </c>
      <c r="H103" s="4" t="s">
        <v>99</v>
      </c>
      <c r="I103" s="4"/>
      <c r="J103" s="4"/>
      <c r="K103" s="4">
        <v>204</v>
      </c>
      <c r="L103" s="4">
        <v>13</v>
      </c>
      <c r="M103" s="4">
        <v>3</v>
      </c>
      <c r="N103" s="4" t="s">
        <v>3</v>
      </c>
      <c r="O103" s="4">
        <v>2</v>
      </c>
      <c r="P103" s="4"/>
      <c r="Q103" s="4"/>
      <c r="R103" s="4"/>
      <c r="S103" s="4"/>
      <c r="T103" s="4"/>
      <c r="U103" s="4"/>
      <c r="V103" s="4"/>
      <c r="W103" s="4"/>
    </row>
    <row r="104" spans="1:23" x14ac:dyDescent="0.2">
      <c r="A104" s="4">
        <v>50</v>
      </c>
      <c r="B104" s="4">
        <v>0</v>
      </c>
      <c r="C104" s="4">
        <v>0</v>
      </c>
      <c r="D104" s="4">
        <v>1</v>
      </c>
      <c r="E104" s="4">
        <v>205</v>
      </c>
      <c r="F104" s="4">
        <f>ROUND(Source!S89,O104)</f>
        <v>67149.279999999999</v>
      </c>
      <c r="G104" s="4" t="s">
        <v>100</v>
      </c>
      <c r="H104" s="4" t="s">
        <v>101</v>
      </c>
      <c r="I104" s="4"/>
      <c r="J104" s="4"/>
      <c r="K104" s="4">
        <v>205</v>
      </c>
      <c r="L104" s="4">
        <v>14</v>
      </c>
      <c r="M104" s="4">
        <v>3</v>
      </c>
      <c r="N104" s="4" t="s">
        <v>3</v>
      </c>
      <c r="O104" s="4">
        <v>2</v>
      </c>
      <c r="P104" s="4"/>
      <c r="Q104" s="4"/>
      <c r="R104" s="4"/>
      <c r="S104" s="4"/>
      <c r="T104" s="4"/>
      <c r="U104" s="4"/>
      <c r="V104" s="4"/>
      <c r="W104" s="4"/>
    </row>
    <row r="105" spans="1:23" x14ac:dyDescent="0.2">
      <c r="A105" s="4">
        <v>50</v>
      </c>
      <c r="B105" s="4">
        <v>0</v>
      </c>
      <c r="C105" s="4">
        <v>0</v>
      </c>
      <c r="D105" s="4">
        <v>1</v>
      </c>
      <c r="E105" s="4">
        <v>232</v>
      </c>
      <c r="F105" s="4">
        <f>ROUND(Source!BC89,O105)</f>
        <v>0</v>
      </c>
      <c r="G105" s="4" t="s">
        <v>102</v>
      </c>
      <c r="H105" s="4" t="s">
        <v>103</v>
      </c>
      <c r="I105" s="4"/>
      <c r="J105" s="4"/>
      <c r="K105" s="4">
        <v>232</v>
      </c>
      <c r="L105" s="4">
        <v>15</v>
      </c>
      <c r="M105" s="4">
        <v>3</v>
      </c>
      <c r="N105" s="4" t="s">
        <v>3</v>
      </c>
      <c r="O105" s="4">
        <v>2</v>
      </c>
      <c r="P105" s="4"/>
      <c r="Q105" s="4"/>
      <c r="R105" s="4"/>
      <c r="S105" s="4"/>
      <c r="T105" s="4"/>
      <c r="U105" s="4"/>
      <c r="V105" s="4"/>
      <c r="W105" s="4"/>
    </row>
    <row r="106" spans="1:23" x14ac:dyDescent="0.2">
      <c r="A106" s="4">
        <v>50</v>
      </c>
      <c r="B106" s="4">
        <v>0</v>
      </c>
      <c r="C106" s="4">
        <v>0</v>
      </c>
      <c r="D106" s="4">
        <v>1</v>
      </c>
      <c r="E106" s="4">
        <v>214</v>
      </c>
      <c r="F106" s="4">
        <f>ROUND(Source!AS89,O106)</f>
        <v>566528.17000000004</v>
      </c>
      <c r="G106" s="4" t="s">
        <v>104</v>
      </c>
      <c r="H106" s="4" t="s">
        <v>105</v>
      </c>
      <c r="I106" s="4"/>
      <c r="J106" s="4"/>
      <c r="K106" s="4">
        <v>214</v>
      </c>
      <c r="L106" s="4">
        <v>16</v>
      </c>
      <c r="M106" s="4">
        <v>3</v>
      </c>
      <c r="N106" s="4" t="s">
        <v>3</v>
      </c>
      <c r="O106" s="4">
        <v>2</v>
      </c>
      <c r="P106" s="4"/>
      <c r="Q106" s="4"/>
      <c r="R106" s="4"/>
      <c r="S106" s="4"/>
      <c r="T106" s="4"/>
      <c r="U106" s="4"/>
      <c r="V106" s="4"/>
      <c r="W106" s="4"/>
    </row>
    <row r="107" spans="1:23" x14ac:dyDescent="0.2">
      <c r="A107" s="4">
        <v>50</v>
      </c>
      <c r="B107" s="4">
        <v>0</v>
      </c>
      <c r="C107" s="4">
        <v>0</v>
      </c>
      <c r="D107" s="4">
        <v>1</v>
      </c>
      <c r="E107" s="4">
        <v>215</v>
      </c>
      <c r="F107" s="4">
        <f>ROUND(Source!AT89,O107)</f>
        <v>77345.14</v>
      </c>
      <c r="G107" s="4" t="s">
        <v>106</v>
      </c>
      <c r="H107" s="4" t="s">
        <v>107</v>
      </c>
      <c r="I107" s="4"/>
      <c r="J107" s="4"/>
      <c r="K107" s="4">
        <v>215</v>
      </c>
      <c r="L107" s="4">
        <v>17</v>
      </c>
      <c r="M107" s="4">
        <v>3</v>
      </c>
      <c r="N107" s="4" t="s">
        <v>3</v>
      </c>
      <c r="O107" s="4">
        <v>2</v>
      </c>
      <c r="P107" s="4"/>
      <c r="Q107" s="4"/>
      <c r="R107" s="4"/>
      <c r="S107" s="4"/>
      <c r="T107" s="4"/>
      <c r="U107" s="4"/>
      <c r="V107" s="4"/>
      <c r="W107" s="4"/>
    </row>
    <row r="108" spans="1:23" x14ac:dyDescent="0.2">
      <c r="A108" s="4">
        <v>50</v>
      </c>
      <c r="B108" s="4">
        <v>0</v>
      </c>
      <c r="C108" s="4">
        <v>0</v>
      </c>
      <c r="D108" s="4">
        <v>1</v>
      </c>
      <c r="E108" s="4">
        <v>217</v>
      </c>
      <c r="F108" s="4">
        <f>ROUND(Source!AU89,O108)</f>
        <v>0</v>
      </c>
      <c r="G108" s="4" t="s">
        <v>108</v>
      </c>
      <c r="H108" s="4" t="s">
        <v>109</v>
      </c>
      <c r="I108" s="4"/>
      <c r="J108" s="4"/>
      <c r="K108" s="4">
        <v>217</v>
      </c>
      <c r="L108" s="4">
        <v>18</v>
      </c>
      <c r="M108" s="4">
        <v>3</v>
      </c>
      <c r="N108" s="4" t="s">
        <v>3</v>
      </c>
      <c r="O108" s="4">
        <v>2</v>
      </c>
      <c r="P108" s="4"/>
      <c r="Q108" s="4"/>
      <c r="R108" s="4"/>
      <c r="S108" s="4"/>
      <c r="T108" s="4"/>
      <c r="U108" s="4"/>
      <c r="V108" s="4"/>
      <c r="W108" s="4"/>
    </row>
    <row r="109" spans="1:23" x14ac:dyDescent="0.2">
      <c r="A109" s="4">
        <v>50</v>
      </c>
      <c r="B109" s="4">
        <v>0</v>
      </c>
      <c r="C109" s="4">
        <v>0</v>
      </c>
      <c r="D109" s="4">
        <v>1</v>
      </c>
      <c r="E109" s="4">
        <v>230</v>
      </c>
      <c r="F109" s="4">
        <f>ROUND(Source!BA89,O109)</f>
        <v>0</v>
      </c>
      <c r="G109" s="4" t="s">
        <v>110</v>
      </c>
      <c r="H109" s="4" t="s">
        <v>111</v>
      </c>
      <c r="I109" s="4"/>
      <c r="J109" s="4"/>
      <c r="K109" s="4">
        <v>230</v>
      </c>
      <c r="L109" s="4">
        <v>19</v>
      </c>
      <c r="M109" s="4">
        <v>3</v>
      </c>
      <c r="N109" s="4" t="s">
        <v>3</v>
      </c>
      <c r="O109" s="4">
        <v>2</v>
      </c>
      <c r="P109" s="4"/>
      <c r="Q109" s="4"/>
      <c r="R109" s="4"/>
      <c r="S109" s="4"/>
      <c r="T109" s="4"/>
      <c r="U109" s="4"/>
      <c r="V109" s="4"/>
      <c r="W109" s="4"/>
    </row>
    <row r="110" spans="1:23" x14ac:dyDescent="0.2">
      <c r="A110" s="4">
        <v>50</v>
      </c>
      <c r="B110" s="4">
        <v>0</v>
      </c>
      <c r="C110" s="4">
        <v>0</v>
      </c>
      <c r="D110" s="4">
        <v>1</v>
      </c>
      <c r="E110" s="4">
        <v>206</v>
      </c>
      <c r="F110" s="4">
        <f>ROUND(Source!T89,O110)</f>
        <v>0</v>
      </c>
      <c r="G110" s="4" t="s">
        <v>112</v>
      </c>
      <c r="H110" s="4" t="s">
        <v>113</v>
      </c>
      <c r="I110" s="4"/>
      <c r="J110" s="4"/>
      <c r="K110" s="4">
        <v>206</v>
      </c>
      <c r="L110" s="4">
        <v>20</v>
      </c>
      <c r="M110" s="4">
        <v>3</v>
      </c>
      <c r="N110" s="4" t="s">
        <v>3</v>
      </c>
      <c r="O110" s="4">
        <v>2</v>
      </c>
      <c r="P110" s="4"/>
      <c r="Q110" s="4"/>
      <c r="R110" s="4"/>
      <c r="S110" s="4"/>
      <c r="T110" s="4"/>
      <c r="U110" s="4"/>
      <c r="V110" s="4"/>
      <c r="W110" s="4"/>
    </row>
    <row r="111" spans="1:23" x14ac:dyDescent="0.2">
      <c r="A111" s="4">
        <v>50</v>
      </c>
      <c r="B111" s="4">
        <v>0</v>
      </c>
      <c r="C111" s="4">
        <v>0</v>
      </c>
      <c r="D111" s="4">
        <v>1</v>
      </c>
      <c r="E111" s="4">
        <v>207</v>
      </c>
      <c r="F111" s="4">
        <f>Source!U89</f>
        <v>348.62743790999997</v>
      </c>
      <c r="G111" s="4" t="s">
        <v>114</v>
      </c>
      <c r="H111" s="4" t="s">
        <v>115</v>
      </c>
      <c r="I111" s="4"/>
      <c r="J111" s="4"/>
      <c r="K111" s="4">
        <v>207</v>
      </c>
      <c r="L111" s="4">
        <v>21</v>
      </c>
      <c r="M111" s="4">
        <v>3</v>
      </c>
      <c r="N111" s="4" t="s">
        <v>3</v>
      </c>
      <c r="O111" s="4">
        <v>-1</v>
      </c>
      <c r="P111" s="4"/>
      <c r="Q111" s="4"/>
      <c r="R111" s="4"/>
      <c r="S111" s="4"/>
      <c r="T111" s="4"/>
      <c r="U111" s="4"/>
      <c r="V111" s="4"/>
      <c r="W111" s="4"/>
    </row>
    <row r="112" spans="1:23" x14ac:dyDescent="0.2">
      <c r="A112" s="4">
        <v>50</v>
      </c>
      <c r="B112" s="4">
        <v>0</v>
      </c>
      <c r="C112" s="4">
        <v>0</v>
      </c>
      <c r="D112" s="4">
        <v>1</v>
      </c>
      <c r="E112" s="4">
        <v>208</v>
      </c>
      <c r="F112" s="4">
        <f>Source!V89</f>
        <v>0</v>
      </c>
      <c r="G112" s="4" t="s">
        <v>116</v>
      </c>
      <c r="H112" s="4" t="s">
        <v>117</v>
      </c>
      <c r="I112" s="4"/>
      <c r="J112" s="4"/>
      <c r="K112" s="4">
        <v>208</v>
      </c>
      <c r="L112" s="4">
        <v>22</v>
      </c>
      <c r="M112" s="4">
        <v>3</v>
      </c>
      <c r="N112" s="4" t="s">
        <v>3</v>
      </c>
      <c r="O112" s="4">
        <v>-1</v>
      </c>
      <c r="P112" s="4"/>
      <c r="Q112" s="4"/>
      <c r="R112" s="4"/>
      <c r="S112" s="4"/>
      <c r="T112" s="4"/>
      <c r="U112" s="4"/>
      <c r="V112" s="4"/>
      <c r="W112" s="4"/>
    </row>
    <row r="113" spans="1:245" x14ac:dyDescent="0.2">
      <c r="A113" s="4">
        <v>50</v>
      </c>
      <c r="B113" s="4">
        <v>0</v>
      </c>
      <c r="C113" s="4">
        <v>0</v>
      </c>
      <c r="D113" s="4">
        <v>1</v>
      </c>
      <c r="E113" s="4">
        <v>209</v>
      </c>
      <c r="F113" s="4">
        <f>ROUND(Source!W89,O113)</f>
        <v>0</v>
      </c>
      <c r="G113" s="4" t="s">
        <v>118</v>
      </c>
      <c r="H113" s="4" t="s">
        <v>119</v>
      </c>
      <c r="I113" s="4"/>
      <c r="J113" s="4"/>
      <c r="K113" s="4">
        <v>209</v>
      </c>
      <c r="L113" s="4">
        <v>23</v>
      </c>
      <c r="M113" s="4">
        <v>3</v>
      </c>
      <c r="N113" s="4" t="s">
        <v>3</v>
      </c>
      <c r="O113" s="4">
        <v>2</v>
      </c>
      <c r="P113" s="4"/>
      <c r="Q113" s="4"/>
      <c r="R113" s="4"/>
      <c r="S113" s="4"/>
      <c r="T113" s="4"/>
      <c r="U113" s="4"/>
      <c r="V113" s="4"/>
      <c r="W113" s="4"/>
    </row>
    <row r="114" spans="1:245" x14ac:dyDescent="0.2">
      <c r="A114" s="4">
        <v>50</v>
      </c>
      <c r="B114" s="4">
        <v>0</v>
      </c>
      <c r="C114" s="4">
        <v>0</v>
      </c>
      <c r="D114" s="4">
        <v>1</v>
      </c>
      <c r="E114" s="4">
        <v>210</v>
      </c>
      <c r="F114" s="4">
        <f>ROUND(Source!X89,O114)</f>
        <v>62027.64</v>
      </c>
      <c r="G114" s="4" t="s">
        <v>120</v>
      </c>
      <c r="H114" s="4" t="s">
        <v>121</v>
      </c>
      <c r="I114" s="4"/>
      <c r="J114" s="4"/>
      <c r="K114" s="4">
        <v>210</v>
      </c>
      <c r="L114" s="4">
        <v>24</v>
      </c>
      <c r="M114" s="4">
        <v>3</v>
      </c>
      <c r="N114" s="4" t="s">
        <v>3</v>
      </c>
      <c r="O114" s="4">
        <v>2</v>
      </c>
      <c r="P114" s="4"/>
      <c r="Q114" s="4"/>
      <c r="R114" s="4"/>
      <c r="S114" s="4"/>
      <c r="T114" s="4"/>
      <c r="U114" s="4"/>
      <c r="V114" s="4"/>
      <c r="W114" s="4"/>
    </row>
    <row r="115" spans="1:245" x14ac:dyDescent="0.2">
      <c r="A115" s="4">
        <v>50</v>
      </c>
      <c r="B115" s="4">
        <v>0</v>
      </c>
      <c r="C115" s="4">
        <v>0</v>
      </c>
      <c r="D115" s="4">
        <v>1</v>
      </c>
      <c r="E115" s="4">
        <v>211</v>
      </c>
      <c r="F115" s="4">
        <f>ROUND(Source!Y89,O115)</f>
        <v>31752.77</v>
      </c>
      <c r="G115" s="4" t="s">
        <v>122</v>
      </c>
      <c r="H115" s="4" t="s">
        <v>123</v>
      </c>
      <c r="I115" s="4"/>
      <c r="J115" s="4"/>
      <c r="K115" s="4">
        <v>211</v>
      </c>
      <c r="L115" s="4">
        <v>25</v>
      </c>
      <c r="M115" s="4">
        <v>3</v>
      </c>
      <c r="N115" s="4" t="s">
        <v>3</v>
      </c>
      <c r="O115" s="4">
        <v>2</v>
      </c>
      <c r="P115" s="4"/>
      <c r="Q115" s="4"/>
      <c r="R115" s="4"/>
      <c r="S115" s="4"/>
      <c r="T115" s="4"/>
      <c r="U115" s="4"/>
      <c r="V115" s="4"/>
      <c r="W115" s="4"/>
    </row>
    <row r="116" spans="1:245" x14ac:dyDescent="0.2">
      <c r="A116" s="4">
        <v>50</v>
      </c>
      <c r="B116" s="4">
        <v>0</v>
      </c>
      <c r="C116" s="4">
        <v>0</v>
      </c>
      <c r="D116" s="4">
        <v>1</v>
      </c>
      <c r="E116" s="4">
        <v>224</v>
      </c>
      <c r="F116" s="4">
        <f>ROUND(Source!AR89,O116)</f>
        <v>643873.31000000006</v>
      </c>
      <c r="G116" s="4" t="s">
        <v>124</v>
      </c>
      <c r="H116" s="4" t="s">
        <v>125</v>
      </c>
      <c r="I116" s="4"/>
      <c r="J116" s="4"/>
      <c r="K116" s="4">
        <v>224</v>
      </c>
      <c r="L116" s="4">
        <v>26</v>
      </c>
      <c r="M116" s="4">
        <v>3</v>
      </c>
      <c r="N116" s="4" t="s">
        <v>3</v>
      </c>
      <c r="O116" s="4">
        <v>2</v>
      </c>
      <c r="P116" s="4"/>
      <c r="Q116" s="4"/>
      <c r="R116" s="4"/>
      <c r="S116" s="4"/>
      <c r="T116" s="4"/>
      <c r="U116" s="4"/>
      <c r="V116" s="4"/>
      <c r="W116" s="4"/>
    </row>
    <row r="118" spans="1:245" x14ac:dyDescent="0.2">
      <c r="A118" s="1">
        <v>5</v>
      </c>
      <c r="B118" s="1">
        <v>1</v>
      </c>
      <c r="C118" s="1"/>
      <c r="D118" s="1">
        <f>ROW(A125)</f>
        <v>125</v>
      </c>
      <c r="E118" s="1"/>
      <c r="F118" s="1" t="s">
        <v>15</v>
      </c>
      <c r="G118" s="1" t="s">
        <v>138</v>
      </c>
      <c r="H118" s="1" t="s">
        <v>3</v>
      </c>
      <c r="I118" s="1">
        <v>0</v>
      </c>
      <c r="J118" s="1"/>
      <c r="K118" s="1">
        <v>0</v>
      </c>
      <c r="L118" s="1"/>
      <c r="M118" s="1"/>
      <c r="N118" s="1"/>
      <c r="O118" s="1"/>
      <c r="P118" s="1"/>
      <c r="Q118" s="1"/>
      <c r="R118" s="1"/>
      <c r="S118" s="1"/>
      <c r="T118" s="1"/>
      <c r="U118" s="1" t="s">
        <v>3</v>
      </c>
      <c r="V118" s="1">
        <v>0</v>
      </c>
      <c r="W118" s="1"/>
      <c r="X118" s="1"/>
      <c r="Y118" s="1"/>
      <c r="Z118" s="1"/>
      <c r="AA118" s="1"/>
      <c r="AB118" s="1" t="s">
        <v>3</v>
      </c>
      <c r="AC118" s="1" t="s">
        <v>3</v>
      </c>
      <c r="AD118" s="1" t="s">
        <v>3</v>
      </c>
      <c r="AE118" s="1" t="s">
        <v>3</v>
      </c>
      <c r="AF118" s="1" t="s">
        <v>3</v>
      </c>
      <c r="AG118" s="1" t="s">
        <v>3</v>
      </c>
      <c r="AH118" s="1"/>
      <c r="AI118" s="1"/>
      <c r="AJ118" s="1"/>
      <c r="AK118" s="1"/>
      <c r="AL118" s="1"/>
      <c r="AM118" s="1"/>
      <c r="AN118" s="1"/>
      <c r="AO118" s="1"/>
      <c r="AP118" s="1" t="s">
        <v>3</v>
      </c>
      <c r="AQ118" s="1" t="s">
        <v>3</v>
      </c>
      <c r="AR118" s="1" t="s">
        <v>3</v>
      </c>
      <c r="AS118" s="1"/>
      <c r="AT118" s="1"/>
      <c r="AU118" s="1"/>
      <c r="AV118" s="1"/>
      <c r="AW118" s="1"/>
      <c r="AX118" s="1"/>
      <c r="AY118" s="1"/>
      <c r="AZ118" s="1" t="s">
        <v>3</v>
      </c>
      <c r="BA118" s="1"/>
      <c r="BB118" s="1" t="s">
        <v>3</v>
      </c>
      <c r="BC118" s="1" t="s">
        <v>3</v>
      </c>
      <c r="BD118" s="1" t="s">
        <v>3</v>
      </c>
      <c r="BE118" s="1" t="s">
        <v>3</v>
      </c>
      <c r="BF118" s="1" t="s">
        <v>3</v>
      </c>
      <c r="BG118" s="1" t="s">
        <v>3</v>
      </c>
      <c r="BH118" s="1" t="s">
        <v>3</v>
      </c>
      <c r="BI118" s="1" t="s">
        <v>3</v>
      </c>
      <c r="BJ118" s="1" t="s">
        <v>3</v>
      </c>
      <c r="BK118" s="1" t="s">
        <v>3</v>
      </c>
      <c r="BL118" s="1" t="s">
        <v>3</v>
      </c>
      <c r="BM118" s="1" t="s">
        <v>3</v>
      </c>
      <c r="BN118" s="1" t="s">
        <v>3</v>
      </c>
      <c r="BO118" s="1" t="s">
        <v>3</v>
      </c>
      <c r="BP118" s="1" t="s">
        <v>3</v>
      </c>
      <c r="BQ118" s="1"/>
      <c r="BR118" s="1"/>
      <c r="BS118" s="1"/>
      <c r="BT118" s="1"/>
      <c r="BU118" s="1"/>
      <c r="BV118" s="1"/>
      <c r="BW118" s="1"/>
      <c r="BX118" s="1">
        <v>0</v>
      </c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>
        <v>0</v>
      </c>
    </row>
    <row r="120" spans="1:245" x14ac:dyDescent="0.2">
      <c r="A120" s="2">
        <v>52</v>
      </c>
      <c r="B120" s="2">
        <f t="shared" ref="B120:G120" si="117">B125</f>
        <v>1</v>
      </c>
      <c r="C120" s="2">
        <f t="shared" si="117"/>
        <v>5</v>
      </c>
      <c r="D120" s="2">
        <f t="shared" si="117"/>
        <v>118</v>
      </c>
      <c r="E120" s="2">
        <f t="shared" si="117"/>
        <v>0</v>
      </c>
      <c r="F120" s="2" t="str">
        <f t="shared" si="117"/>
        <v>Новый подраздел</v>
      </c>
      <c r="G120" s="2" t="str">
        <f t="shared" si="117"/>
        <v>1.3</v>
      </c>
      <c r="H120" s="2"/>
      <c r="I120" s="2"/>
      <c r="J120" s="2"/>
      <c r="K120" s="2"/>
      <c r="L120" s="2"/>
      <c r="M120" s="2"/>
      <c r="N120" s="2"/>
      <c r="O120" s="2">
        <f t="shared" ref="O120:AT120" si="118">O125</f>
        <v>28315.59</v>
      </c>
      <c r="P120" s="2">
        <f t="shared" si="118"/>
        <v>0</v>
      </c>
      <c r="Q120" s="2">
        <f t="shared" si="118"/>
        <v>7065.84</v>
      </c>
      <c r="R120" s="2">
        <f t="shared" si="118"/>
        <v>3600.42</v>
      </c>
      <c r="S120" s="2">
        <f t="shared" si="118"/>
        <v>21249.75</v>
      </c>
      <c r="T120" s="2">
        <f t="shared" si="118"/>
        <v>0</v>
      </c>
      <c r="U120" s="2">
        <f t="shared" si="118"/>
        <v>104.95242999999999</v>
      </c>
      <c r="V120" s="2">
        <f t="shared" si="118"/>
        <v>0</v>
      </c>
      <c r="W120" s="2">
        <f t="shared" si="118"/>
        <v>0</v>
      </c>
      <c r="X120" s="2">
        <f t="shared" si="118"/>
        <v>18912.28</v>
      </c>
      <c r="Y120" s="2">
        <f t="shared" si="118"/>
        <v>9349.89</v>
      </c>
      <c r="Z120" s="2">
        <f t="shared" si="118"/>
        <v>0</v>
      </c>
      <c r="AA120" s="2">
        <f t="shared" si="118"/>
        <v>0</v>
      </c>
      <c r="AB120" s="2">
        <f t="shared" si="118"/>
        <v>28315.59</v>
      </c>
      <c r="AC120" s="2">
        <f t="shared" si="118"/>
        <v>0</v>
      </c>
      <c r="AD120" s="2">
        <f t="shared" si="118"/>
        <v>7065.84</v>
      </c>
      <c r="AE120" s="2">
        <f t="shared" si="118"/>
        <v>3600.42</v>
      </c>
      <c r="AF120" s="2">
        <f t="shared" si="118"/>
        <v>21249.75</v>
      </c>
      <c r="AG120" s="2">
        <f t="shared" si="118"/>
        <v>0</v>
      </c>
      <c r="AH120" s="2">
        <f t="shared" si="118"/>
        <v>104.95242999999999</v>
      </c>
      <c r="AI120" s="2">
        <f t="shared" si="118"/>
        <v>0</v>
      </c>
      <c r="AJ120" s="2">
        <f t="shared" si="118"/>
        <v>0</v>
      </c>
      <c r="AK120" s="2">
        <f t="shared" si="118"/>
        <v>18912.28</v>
      </c>
      <c r="AL120" s="2">
        <f t="shared" si="118"/>
        <v>9349.89</v>
      </c>
      <c r="AM120" s="2">
        <f t="shared" si="118"/>
        <v>0</v>
      </c>
      <c r="AN120" s="2">
        <f t="shared" si="118"/>
        <v>0</v>
      </c>
      <c r="AO120" s="2">
        <f t="shared" si="118"/>
        <v>0</v>
      </c>
      <c r="AP120" s="2">
        <f t="shared" si="118"/>
        <v>0</v>
      </c>
      <c r="AQ120" s="2">
        <f t="shared" si="118"/>
        <v>0</v>
      </c>
      <c r="AR120" s="2">
        <f t="shared" si="118"/>
        <v>62590.46</v>
      </c>
      <c r="AS120" s="2">
        <f t="shared" si="118"/>
        <v>62590.46</v>
      </c>
      <c r="AT120" s="2">
        <f t="shared" si="118"/>
        <v>0</v>
      </c>
      <c r="AU120" s="2">
        <f t="shared" ref="AU120:BZ120" si="119">AU125</f>
        <v>0</v>
      </c>
      <c r="AV120" s="2">
        <f t="shared" si="119"/>
        <v>0</v>
      </c>
      <c r="AW120" s="2">
        <f t="shared" si="119"/>
        <v>0</v>
      </c>
      <c r="AX120" s="2">
        <f t="shared" si="119"/>
        <v>0</v>
      </c>
      <c r="AY120" s="2">
        <f t="shared" si="119"/>
        <v>0</v>
      </c>
      <c r="AZ120" s="2">
        <f t="shared" si="119"/>
        <v>0</v>
      </c>
      <c r="BA120" s="2">
        <f t="shared" si="119"/>
        <v>0</v>
      </c>
      <c r="BB120" s="2">
        <f t="shared" si="119"/>
        <v>0</v>
      </c>
      <c r="BC120" s="2">
        <f t="shared" si="119"/>
        <v>0</v>
      </c>
      <c r="BD120" s="2">
        <f t="shared" si="119"/>
        <v>0</v>
      </c>
      <c r="BE120" s="2">
        <f t="shared" si="119"/>
        <v>0</v>
      </c>
      <c r="BF120" s="2">
        <f t="shared" si="119"/>
        <v>0</v>
      </c>
      <c r="BG120" s="2">
        <f t="shared" si="119"/>
        <v>0</v>
      </c>
      <c r="BH120" s="2">
        <f t="shared" si="119"/>
        <v>0</v>
      </c>
      <c r="BI120" s="2">
        <f t="shared" si="119"/>
        <v>0</v>
      </c>
      <c r="BJ120" s="2">
        <f t="shared" si="119"/>
        <v>0</v>
      </c>
      <c r="BK120" s="2">
        <f t="shared" si="119"/>
        <v>0</v>
      </c>
      <c r="BL120" s="2">
        <f t="shared" si="119"/>
        <v>0</v>
      </c>
      <c r="BM120" s="2">
        <f t="shared" si="119"/>
        <v>0</v>
      </c>
      <c r="BN120" s="2">
        <f t="shared" si="119"/>
        <v>0</v>
      </c>
      <c r="BO120" s="2">
        <f t="shared" si="119"/>
        <v>0</v>
      </c>
      <c r="BP120" s="2">
        <f t="shared" si="119"/>
        <v>0</v>
      </c>
      <c r="BQ120" s="2">
        <f t="shared" si="119"/>
        <v>0</v>
      </c>
      <c r="BR120" s="2">
        <f t="shared" si="119"/>
        <v>0</v>
      </c>
      <c r="BS120" s="2">
        <f t="shared" si="119"/>
        <v>0</v>
      </c>
      <c r="BT120" s="2">
        <f t="shared" si="119"/>
        <v>0</v>
      </c>
      <c r="BU120" s="2">
        <f t="shared" si="119"/>
        <v>0</v>
      </c>
      <c r="BV120" s="2">
        <f t="shared" si="119"/>
        <v>0</v>
      </c>
      <c r="BW120" s="2">
        <f t="shared" si="119"/>
        <v>0</v>
      </c>
      <c r="BX120" s="2">
        <f t="shared" si="119"/>
        <v>0</v>
      </c>
      <c r="BY120" s="2">
        <f t="shared" si="119"/>
        <v>0</v>
      </c>
      <c r="BZ120" s="2">
        <f t="shared" si="119"/>
        <v>0</v>
      </c>
      <c r="CA120" s="2">
        <f t="shared" ref="CA120:DF120" si="120">CA125</f>
        <v>62590.46</v>
      </c>
      <c r="CB120" s="2">
        <f t="shared" si="120"/>
        <v>62590.46</v>
      </c>
      <c r="CC120" s="2">
        <f t="shared" si="120"/>
        <v>0</v>
      </c>
      <c r="CD120" s="2">
        <f t="shared" si="120"/>
        <v>0</v>
      </c>
      <c r="CE120" s="2">
        <f t="shared" si="120"/>
        <v>0</v>
      </c>
      <c r="CF120" s="2">
        <f t="shared" si="120"/>
        <v>0</v>
      </c>
      <c r="CG120" s="2">
        <f t="shared" si="120"/>
        <v>0</v>
      </c>
      <c r="CH120" s="2">
        <f t="shared" si="120"/>
        <v>0</v>
      </c>
      <c r="CI120" s="2">
        <f t="shared" si="120"/>
        <v>0</v>
      </c>
      <c r="CJ120" s="2">
        <f t="shared" si="120"/>
        <v>0</v>
      </c>
      <c r="CK120" s="2">
        <f t="shared" si="120"/>
        <v>0</v>
      </c>
      <c r="CL120" s="2">
        <f t="shared" si="120"/>
        <v>0</v>
      </c>
      <c r="CM120" s="2">
        <f t="shared" si="120"/>
        <v>0</v>
      </c>
      <c r="CN120" s="2">
        <f t="shared" si="120"/>
        <v>0</v>
      </c>
      <c r="CO120" s="2">
        <f t="shared" si="120"/>
        <v>0</v>
      </c>
      <c r="CP120" s="2">
        <f t="shared" si="120"/>
        <v>0</v>
      </c>
      <c r="CQ120" s="2">
        <f t="shared" si="120"/>
        <v>0</v>
      </c>
      <c r="CR120" s="2">
        <f t="shared" si="120"/>
        <v>0</v>
      </c>
      <c r="CS120" s="2">
        <f t="shared" si="120"/>
        <v>0</v>
      </c>
      <c r="CT120" s="2">
        <f t="shared" si="120"/>
        <v>0</v>
      </c>
      <c r="CU120" s="2">
        <f t="shared" si="120"/>
        <v>0</v>
      </c>
      <c r="CV120" s="2">
        <f t="shared" si="120"/>
        <v>0</v>
      </c>
      <c r="CW120" s="2">
        <f t="shared" si="120"/>
        <v>0</v>
      </c>
      <c r="CX120" s="2">
        <f t="shared" si="120"/>
        <v>0</v>
      </c>
      <c r="CY120" s="2">
        <f t="shared" si="120"/>
        <v>0</v>
      </c>
      <c r="CZ120" s="2">
        <f t="shared" si="120"/>
        <v>0</v>
      </c>
      <c r="DA120" s="2">
        <f t="shared" si="120"/>
        <v>0</v>
      </c>
      <c r="DB120" s="2">
        <f t="shared" si="120"/>
        <v>0</v>
      </c>
      <c r="DC120" s="2">
        <f t="shared" si="120"/>
        <v>0</v>
      </c>
      <c r="DD120" s="2">
        <f t="shared" si="120"/>
        <v>0</v>
      </c>
      <c r="DE120" s="2">
        <f t="shared" si="120"/>
        <v>0</v>
      </c>
      <c r="DF120" s="2">
        <f t="shared" si="120"/>
        <v>0</v>
      </c>
      <c r="DG120" s="3">
        <f t="shared" ref="DG120:EL120" si="121">DG125</f>
        <v>0</v>
      </c>
      <c r="DH120" s="3">
        <f t="shared" si="121"/>
        <v>0</v>
      </c>
      <c r="DI120" s="3">
        <f t="shared" si="121"/>
        <v>0</v>
      </c>
      <c r="DJ120" s="3">
        <f t="shared" si="121"/>
        <v>0</v>
      </c>
      <c r="DK120" s="3">
        <f t="shared" si="121"/>
        <v>0</v>
      </c>
      <c r="DL120" s="3">
        <f t="shared" si="121"/>
        <v>0</v>
      </c>
      <c r="DM120" s="3">
        <f t="shared" si="121"/>
        <v>0</v>
      </c>
      <c r="DN120" s="3">
        <f t="shared" si="121"/>
        <v>0</v>
      </c>
      <c r="DO120" s="3">
        <f t="shared" si="121"/>
        <v>0</v>
      </c>
      <c r="DP120" s="3">
        <f t="shared" si="121"/>
        <v>0</v>
      </c>
      <c r="DQ120" s="3">
        <f t="shared" si="121"/>
        <v>0</v>
      </c>
      <c r="DR120" s="3">
        <f t="shared" si="121"/>
        <v>0</v>
      </c>
      <c r="DS120" s="3">
        <f t="shared" si="121"/>
        <v>0</v>
      </c>
      <c r="DT120" s="3">
        <f t="shared" si="121"/>
        <v>0</v>
      </c>
      <c r="DU120" s="3">
        <f t="shared" si="121"/>
        <v>0</v>
      </c>
      <c r="DV120" s="3">
        <f t="shared" si="121"/>
        <v>0</v>
      </c>
      <c r="DW120" s="3">
        <f t="shared" si="121"/>
        <v>0</v>
      </c>
      <c r="DX120" s="3">
        <f t="shared" si="121"/>
        <v>0</v>
      </c>
      <c r="DY120" s="3">
        <f t="shared" si="121"/>
        <v>0</v>
      </c>
      <c r="DZ120" s="3">
        <f t="shared" si="121"/>
        <v>0</v>
      </c>
      <c r="EA120" s="3">
        <f t="shared" si="121"/>
        <v>0</v>
      </c>
      <c r="EB120" s="3">
        <f t="shared" si="121"/>
        <v>0</v>
      </c>
      <c r="EC120" s="3">
        <f t="shared" si="121"/>
        <v>0</v>
      </c>
      <c r="ED120" s="3">
        <f t="shared" si="121"/>
        <v>0</v>
      </c>
      <c r="EE120" s="3">
        <f t="shared" si="121"/>
        <v>0</v>
      </c>
      <c r="EF120" s="3">
        <f t="shared" si="121"/>
        <v>0</v>
      </c>
      <c r="EG120" s="3">
        <f t="shared" si="121"/>
        <v>0</v>
      </c>
      <c r="EH120" s="3">
        <f t="shared" si="121"/>
        <v>0</v>
      </c>
      <c r="EI120" s="3">
        <f t="shared" si="121"/>
        <v>0</v>
      </c>
      <c r="EJ120" s="3">
        <f t="shared" si="121"/>
        <v>0</v>
      </c>
      <c r="EK120" s="3">
        <f t="shared" si="121"/>
        <v>0</v>
      </c>
      <c r="EL120" s="3">
        <f t="shared" si="121"/>
        <v>0</v>
      </c>
      <c r="EM120" s="3">
        <f t="shared" ref="EM120:FR120" si="122">EM125</f>
        <v>0</v>
      </c>
      <c r="EN120" s="3">
        <f t="shared" si="122"/>
        <v>0</v>
      </c>
      <c r="EO120" s="3">
        <f t="shared" si="122"/>
        <v>0</v>
      </c>
      <c r="EP120" s="3">
        <f t="shared" si="122"/>
        <v>0</v>
      </c>
      <c r="EQ120" s="3">
        <f t="shared" si="122"/>
        <v>0</v>
      </c>
      <c r="ER120" s="3">
        <f t="shared" si="122"/>
        <v>0</v>
      </c>
      <c r="ES120" s="3">
        <f t="shared" si="122"/>
        <v>0</v>
      </c>
      <c r="ET120" s="3">
        <f t="shared" si="122"/>
        <v>0</v>
      </c>
      <c r="EU120" s="3">
        <f t="shared" si="122"/>
        <v>0</v>
      </c>
      <c r="EV120" s="3">
        <f t="shared" si="122"/>
        <v>0</v>
      </c>
      <c r="EW120" s="3">
        <f t="shared" si="122"/>
        <v>0</v>
      </c>
      <c r="EX120" s="3">
        <f t="shared" si="122"/>
        <v>0</v>
      </c>
      <c r="EY120" s="3">
        <f t="shared" si="122"/>
        <v>0</v>
      </c>
      <c r="EZ120" s="3">
        <f t="shared" si="122"/>
        <v>0</v>
      </c>
      <c r="FA120" s="3">
        <f t="shared" si="122"/>
        <v>0</v>
      </c>
      <c r="FB120" s="3">
        <f t="shared" si="122"/>
        <v>0</v>
      </c>
      <c r="FC120" s="3">
        <f t="shared" si="122"/>
        <v>0</v>
      </c>
      <c r="FD120" s="3">
        <f t="shared" si="122"/>
        <v>0</v>
      </c>
      <c r="FE120" s="3">
        <f t="shared" si="122"/>
        <v>0</v>
      </c>
      <c r="FF120" s="3">
        <f t="shared" si="122"/>
        <v>0</v>
      </c>
      <c r="FG120" s="3">
        <f t="shared" si="122"/>
        <v>0</v>
      </c>
      <c r="FH120" s="3">
        <f t="shared" si="122"/>
        <v>0</v>
      </c>
      <c r="FI120" s="3">
        <f t="shared" si="122"/>
        <v>0</v>
      </c>
      <c r="FJ120" s="3">
        <f t="shared" si="122"/>
        <v>0</v>
      </c>
      <c r="FK120" s="3">
        <f t="shared" si="122"/>
        <v>0</v>
      </c>
      <c r="FL120" s="3">
        <f t="shared" si="122"/>
        <v>0</v>
      </c>
      <c r="FM120" s="3">
        <f t="shared" si="122"/>
        <v>0</v>
      </c>
      <c r="FN120" s="3">
        <f t="shared" si="122"/>
        <v>0</v>
      </c>
      <c r="FO120" s="3">
        <f t="shared" si="122"/>
        <v>0</v>
      </c>
      <c r="FP120" s="3">
        <f t="shared" si="122"/>
        <v>0</v>
      </c>
      <c r="FQ120" s="3">
        <f t="shared" si="122"/>
        <v>0</v>
      </c>
      <c r="FR120" s="3">
        <f t="shared" si="122"/>
        <v>0</v>
      </c>
      <c r="FS120" s="3">
        <f t="shared" ref="FS120:GX120" si="123">FS125</f>
        <v>0</v>
      </c>
      <c r="FT120" s="3">
        <f t="shared" si="123"/>
        <v>0</v>
      </c>
      <c r="FU120" s="3">
        <f t="shared" si="123"/>
        <v>0</v>
      </c>
      <c r="FV120" s="3">
        <f t="shared" si="123"/>
        <v>0</v>
      </c>
      <c r="FW120" s="3">
        <f t="shared" si="123"/>
        <v>0</v>
      </c>
      <c r="FX120" s="3">
        <f t="shared" si="123"/>
        <v>0</v>
      </c>
      <c r="FY120" s="3">
        <f t="shared" si="123"/>
        <v>0</v>
      </c>
      <c r="FZ120" s="3">
        <f t="shared" si="123"/>
        <v>0</v>
      </c>
      <c r="GA120" s="3">
        <f t="shared" si="123"/>
        <v>0</v>
      </c>
      <c r="GB120" s="3">
        <f t="shared" si="123"/>
        <v>0</v>
      </c>
      <c r="GC120" s="3">
        <f t="shared" si="123"/>
        <v>0</v>
      </c>
      <c r="GD120" s="3">
        <f t="shared" si="123"/>
        <v>0</v>
      </c>
      <c r="GE120" s="3">
        <f t="shared" si="123"/>
        <v>0</v>
      </c>
      <c r="GF120" s="3">
        <f t="shared" si="123"/>
        <v>0</v>
      </c>
      <c r="GG120" s="3">
        <f t="shared" si="123"/>
        <v>0</v>
      </c>
      <c r="GH120" s="3">
        <f t="shared" si="123"/>
        <v>0</v>
      </c>
      <c r="GI120" s="3">
        <f t="shared" si="123"/>
        <v>0</v>
      </c>
      <c r="GJ120" s="3">
        <f t="shared" si="123"/>
        <v>0</v>
      </c>
      <c r="GK120" s="3">
        <f t="shared" si="123"/>
        <v>0</v>
      </c>
      <c r="GL120" s="3">
        <f t="shared" si="123"/>
        <v>0</v>
      </c>
      <c r="GM120" s="3">
        <f t="shared" si="123"/>
        <v>0</v>
      </c>
      <c r="GN120" s="3">
        <f t="shared" si="123"/>
        <v>0</v>
      </c>
      <c r="GO120" s="3">
        <f t="shared" si="123"/>
        <v>0</v>
      </c>
      <c r="GP120" s="3">
        <f t="shared" si="123"/>
        <v>0</v>
      </c>
      <c r="GQ120" s="3">
        <f t="shared" si="123"/>
        <v>0</v>
      </c>
      <c r="GR120" s="3">
        <f t="shared" si="123"/>
        <v>0</v>
      </c>
      <c r="GS120" s="3">
        <f t="shared" si="123"/>
        <v>0</v>
      </c>
      <c r="GT120" s="3">
        <f t="shared" si="123"/>
        <v>0</v>
      </c>
      <c r="GU120" s="3">
        <f t="shared" si="123"/>
        <v>0</v>
      </c>
      <c r="GV120" s="3">
        <f t="shared" si="123"/>
        <v>0</v>
      </c>
      <c r="GW120" s="3">
        <f t="shared" si="123"/>
        <v>0</v>
      </c>
      <c r="GX120" s="3">
        <f t="shared" si="123"/>
        <v>0</v>
      </c>
    </row>
    <row r="122" spans="1:245" x14ac:dyDescent="0.2">
      <c r="A122">
        <v>17</v>
      </c>
      <c r="B122">
        <v>1</v>
      </c>
      <c r="C122">
        <f>ROW(SmtRes!A30)</f>
        <v>30</v>
      </c>
      <c r="D122">
        <f>ROW(EtalonRes!A32)</f>
        <v>32</v>
      </c>
      <c r="E122" t="s">
        <v>139</v>
      </c>
      <c r="F122" t="s">
        <v>140</v>
      </c>
      <c r="G122" t="s">
        <v>141</v>
      </c>
      <c r="H122" t="s">
        <v>142</v>
      </c>
      <c r="I122">
        <f>ROUND(7909*0.9/1000,9)</f>
        <v>7.1181000000000001</v>
      </c>
      <c r="J122">
        <v>0</v>
      </c>
      <c r="O122">
        <f>ROUND(CP122,2)</f>
        <v>7065.84</v>
      </c>
      <c r="P122">
        <f>ROUND(CQ122*I122,2)</f>
        <v>0</v>
      </c>
      <c r="Q122">
        <f>ROUND(CR122*I122,2)</f>
        <v>7065.84</v>
      </c>
      <c r="R122">
        <f>ROUND(CS122*I122,2)</f>
        <v>3600.42</v>
      </c>
      <c r="S122">
        <f>ROUND(CT122*I122,2)</f>
        <v>0</v>
      </c>
      <c r="T122">
        <f>ROUND(CU122*I122,2)</f>
        <v>0</v>
      </c>
      <c r="U122">
        <f>CV122*I122</f>
        <v>0</v>
      </c>
      <c r="V122">
        <f>CW122*I122</f>
        <v>0</v>
      </c>
      <c r="W122">
        <f>ROUND(CX122*I122,2)</f>
        <v>0</v>
      </c>
      <c r="X122">
        <f>ROUND(CY122,2)</f>
        <v>0</v>
      </c>
      <c r="Y122">
        <f>ROUND(CZ122,2)</f>
        <v>0</v>
      </c>
      <c r="AA122">
        <v>42446460</v>
      </c>
      <c r="AB122">
        <f>ROUND((AC122+AD122+AF122),6)</f>
        <v>125.02</v>
      </c>
      <c r="AC122">
        <f>ROUND((ES122),6)</f>
        <v>0</v>
      </c>
      <c r="AD122">
        <f>ROUND((((ET122)-(EU122))+AE122),6)</f>
        <v>125.02</v>
      </c>
      <c r="AE122">
        <f>ROUND((EU122),6)</f>
        <v>27.93</v>
      </c>
      <c r="AF122">
        <f>ROUND((EV122),6)</f>
        <v>0</v>
      </c>
      <c r="AG122">
        <f>ROUND((AP122),6)</f>
        <v>0</v>
      </c>
      <c r="AH122">
        <f>(EW122)</f>
        <v>0</v>
      </c>
      <c r="AI122">
        <f>(EX122)</f>
        <v>0</v>
      </c>
      <c r="AJ122">
        <f>ROUND((AS122),6)</f>
        <v>0</v>
      </c>
      <c r="AK122">
        <v>125.02</v>
      </c>
      <c r="AL122">
        <v>0</v>
      </c>
      <c r="AM122">
        <v>125.02</v>
      </c>
      <c r="AN122">
        <v>27.93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97</v>
      </c>
      <c r="AU122">
        <v>54</v>
      </c>
      <c r="AV122">
        <v>1</v>
      </c>
      <c r="AW122">
        <v>1</v>
      </c>
      <c r="AZ122">
        <v>1</v>
      </c>
      <c r="BA122">
        <v>18.11</v>
      </c>
      <c r="BB122">
        <v>7.94</v>
      </c>
      <c r="BC122">
        <v>1</v>
      </c>
      <c r="BD122" t="s">
        <v>3</v>
      </c>
      <c r="BE122" t="s">
        <v>3</v>
      </c>
      <c r="BF122" t="s">
        <v>3</v>
      </c>
      <c r="BG122" t="s">
        <v>3</v>
      </c>
      <c r="BH122">
        <v>0</v>
      </c>
      <c r="BI122">
        <v>1</v>
      </c>
      <c r="BJ122" t="s">
        <v>143</v>
      </c>
      <c r="BM122">
        <v>11</v>
      </c>
      <c r="BN122">
        <v>0</v>
      </c>
      <c r="BO122" t="s">
        <v>140</v>
      </c>
      <c r="BP122">
        <v>1</v>
      </c>
      <c r="BQ122">
        <v>30</v>
      </c>
      <c r="BR122">
        <v>0</v>
      </c>
      <c r="BS122">
        <v>18.11</v>
      </c>
      <c r="BT122">
        <v>1</v>
      </c>
      <c r="BU122">
        <v>1</v>
      </c>
      <c r="BV122">
        <v>1</v>
      </c>
      <c r="BW122">
        <v>1</v>
      </c>
      <c r="BX122">
        <v>1</v>
      </c>
      <c r="BY122" t="s">
        <v>3</v>
      </c>
      <c r="BZ122">
        <v>97</v>
      </c>
      <c r="CA122">
        <v>54</v>
      </c>
      <c r="CF122">
        <v>0</v>
      </c>
      <c r="CG122">
        <v>0</v>
      </c>
      <c r="CM122">
        <v>0</v>
      </c>
      <c r="CN122" t="s">
        <v>3</v>
      </c>
      <c r="CO122">
        <v>0</v>
      </c>
      <c r="CP122">
        <f>(P122+Q122+S122)</f>
        <v>7065.84</v>
      </c>
      <c r="CQ122">
        <f>(AC122*BC122*AW122)</f>
        <v>0</v>
      </c>
      <c r="CR122">
        <f>((((ET122)*BB122-(EU122)*BS122)+AE122*BS122)*AV122)</f>
        <v>992.65880000000004</v>
      </c>
      <c r="CS122">
        <f>(AE122*BS122*AV122)</f>
        <v>505.81229999999999</v>
      </c>
      <c r="CT122">
        <f>(AF122*BA122*AV122)</f>
        <v>0</v>
      </c>
      <c r="CU122">
        <f>AG122</f>
        <v>0</v>
      </c>
      <c r="CV122">
        <f>(AH122*AV122)</f>
        <v>0</v>
      </c>
      <c r="CW122">
        <f>AI122</f>
        <v>0</v>
      </c>
      <c r="CX122">
        <f>AJ122</f>
        <v>0</v>
      </c>
      <c r="CY122">
        <f>S122*(BZ122/100)</f>
        <v>0</v>
      </c>
      <c r="CZ122">
        <f>S122*(CA122/100)</f>
        <v>0</v>
      </c>
      <c r="DC122" t="s">
        <v>3</v>
      </c>
      <c r="DD122" t="s">
        <v>3</v>
      </c>
      <c r="DE122" t="s">
        <v>3</v>
      </c>
      <c r="DF122" t="s">
        <v>3</v>
      </c>
      <c r="DG122" t="s">
        <v>3</v>
      </c>
      <c r="DH122" t="s">
        <v>3</v>
      </c>
      <c r="DI122" t="s">
        <v>3</v>
      </c>
      <c r="DJ122" t="s">
        <v>3</v>
      </c>
      <c r="DK122" t="s">
        <v>3</v>
      </c>
      <c r="DL122" t="s">
        <v>3</v>
      </c>
      <c r="DM122" t="s">
        <v>3</v>
      </c>
      <c r="DN122">
        <v>98</v>
      </c>
      <c r="DO122">
        <v>77</v>
      </c>
      <c r="DP122">
        <v>1.014</v>
      </c>
      <c r="DQ122">
        <v>1</v>
      </c>
      <c r="DU122">
        <v>1013</v>
      </c>
      <c r="DV122" t="s">
        <v>142</v>
      </c>
      <c r="DW122" t="s">
        <v>142</v>
      </c>
      <c r="DX122">
        <v>1</v>
      </c>
      <c r="EE122">
        <v>42186058</v>
      </c>
      <c r="EF122">
        <v>30</v>
      </c>
      <c r="EG122" t="s">
        <v>14</v>
      </c>
      <c r="EH122">
        <v>0</v>
      </c>
      <c r="EI122" t="s">
        <v>3</v>
      </c>
      <c r="EJ122">
        <v>1</v>
      </c>
      <c r="EK122">
        <v>11</v>
      </c>
      <c r="EL122" t="s">
        <v>144</v>
      </c>
      <c r="EM122" t="s">
        <v>145</v>
      </c>
      <c r="EO122" t="s">
        <v>3</v>
      </c>
      <c r="EQ122">
        <v>131072</v>
      </c>
      <c r="ER122">
        <v>125.02</v>
      </c>
      <c r="ES122">
        <v>0</v>
      </c>
      <c r="ET122">
        <v>125.02</v>
      </c>
      <c r="EU122">
        <v>27.93</v>
      </c>
      <c r="EV122">
        <v>0</v>
      </c>
      <c r="EW122">
        <v>0</v>
      </c>
      <c r="EX122">
        <v>0</v>
      </c>
      <c r="EY122">
        <v>0</v>
      </c>
      <c r="FQ122">
        <v>0</v>
      </c>
      <c r="FR122">
        <f>ROUND(IF(AND(BH122=3,BI122=3),P122,0),2)</f>
        <v>0</v>
      </c>
      <c r="FS122">
        <v>0</v>
      </c>
      <c r="FX122">
        <v>98</v>
      </c>
      <c r="FY122">
        <v>77</v>
      </c>
      <c r="GA122" t="s">
        <v>3</v>
      </c>
      <c r="GD122">
        <v>0</v>
      </c>
      <c r="GF122">
        <v>-399396181</v>
      </c>
      <c r="GG122">
        <v>2</v>
      </c>
      <c r="GH122">
        <v>0</v>
      </c>
      <c r="GI122">
        <v>0</v>
      </c>
      <c r="GJ122">
        <v>0</v>
      </c>
      <c r="GK122">
        <f>ROUND(R122*(R12)/100,2)</f>
        <v>6012.7</v>
      </c>
      <c r="GL122">
        <f>ROUND(IF(AND(BH122=3,BI122=3,FS122&lt;&gt;0),P122,0),2)</f>
        <v>0</v>
      </c>
      <c r="GM122">
        <f>ROUND(O122+X122+Y122+GK122,2)+GX122</f>
        <v>13078.54</v>
      </c>
      <c r="GN122">
        <f>IF(OR(BI122=0,BI122=1),ROUND(O122+X122+Y122+GK122,2),0)</f>
        <v>13078.54</v>
      </c>
      <c r="GO122">
        <f>IF(BI122=2,ROUND(O122+X122+Y122+GK122,2),0)</f>
        <v>0</v>
      </c>
      <c r="GP122">
        <f>IF(BI122=4,ROUND(O122+X122+Y122+GK122,2)+GX122,0)</f>
        <v>0</v>
      </c>
      <c r="GR122">
        <v>0</v>
      </c>
      <c r="GS122">
        <v>0</v>
      </c>
      <c r="GT122">
        <v>0</v>
      </c>
      <c r="GU122" t="s">
        <v>3</v>
      </c>
      <c r="GV122">
        <f>ROUND(GT122,6)</f>
        <v>0</v>
      </c>
      <c r="GW122">
        <v>1</v>
      </c>
      <c r="GX122">
        <f>ROUND(GV122*GW122*I122,2)</f>
        <v>0</v>
      </c>
      <c r="HA122">
        <v>0</v>
      </c>
      <c r="HB122">
        <v>0</v>
      </c>
      <c r="IK122">
        <v>0</v>
      </c>
    </row>
    <row r="123" spans="1:245" x14ac:dyDescent="0.2">
      <c r="A123">
        <v>17</v>
      </c>
      <c r="B123">
        <v>1</v>
      </c>
      <c r="C123">
        <f>ROW(SmtRes!A31)</f>
        <v>31</v>
      </c>
      <c r="D123">
        <f>ROW(EtalonRes!A33)</f>
        <v>33</v>
      </c>
      <c r="E123" t="s">
        <v>146</v>
      </c>
      <c r="F123" t="s">
        <v>147</v>
      </c>
      <c r="G123" t="s">
        <v>148</v>
      </c>
      <c r="H123" t="s">
        <v>142</v>
      </c>
      <c r="I123">
        <f>ROUND(7909*0.1/1000,9)</f>
        <v>0.79090000000000005</v>
      </c>
      <c r="J123">
        <v>0</v>
      </c>
      <c r="O123">
        <f>ROUND(CP123,2)</f>
        <v>21249.75</v>
      </c>
      <c r="P123">
        <f>ROUND(CQ123*I123,2)</f>
        <v>0</v>
      </c>
      <c r="Q123">
        <f>ROUND(CR123*I123,2)</f>
        <v>0</v>
      </c>
      <c r="R123">
        <f>ROUND(CS123*I123,2)</f>
        <v>0</v>
      </c>
      <c r="S123">
        <f>ROUND(CT123*I123,2)</f>
        <v>21249.75</v>
      </c>
      <c r="T123">
        <f>ROUND(CU123*I123,2)</f>
        <v>0</v>
      </c>
      <c r="U123">
        <f>CV123*I123</f>
        <v>104.95242999999999</v>
      </c>
      <c r="V123">
        <f>CW123*I123</f>
        <v>0</v>
      </c>
      <c r="W123">
        <f>ROUND(CX123*I123,2)</f>
        <v>0</v>
      </c>
      <c r="X123">
        <f>ROUND(CY123,2)</f>
        <v>18912.28</v>
      </c>
      <c r="Y123">
        <f>ROUND(CZ123,2)</f>
        <v>9349.89</v>
      </c>
      <c r="AA123">
        <v>42446460</v>
      </c>
      <c r="AB123">
        <f>ROUND((AC123+AD123+AF123),6)</f>
        <v>1483.59</v>
      </c>
      <c r="AC123">
        <f>ROUND((ES123),6)</f>
        <v>0</v>
      </c>
      <c r="AD123">
        <f>ROUND((((ET123)-(EU123))+AE123),6)</f>
        <v>0</v>
      </c>
      <c r="AE123">
        <f>ROUND((EU123),6)</f>
        <v>0</v>
      </c>
      <c r="AF123">
        <f>ROUND((EV123),6)</f>
        <v>1483.59</v>
      </c>
      <c r="AG123">
        <f>ROUND((AP123),6)</f>
        <v>0</v>
      </c>
      <c r="AH123">
        <f>(EW123)</f>
        <v>132.69999999999999</v>
      </c>
      <c r="AI123">
        <f>(EX123)</f>
        <v>0</v>
      </c>
      <c r="AJ123">
        <f>ROUND((AS123),6)</f>
        <v>0</v>
      </c>
      <c r="AK123">
        <v>1483.59</v>
      </c>
      <c r="AL123">
        <v>0</v>
      </c>
      <c r="AM123">
        <v>0</v>
      </c>
      <c r="AN123">
        <v>0</v>
      </c>
      <c r="AO123">
        <v>1483.59</v>
      </c>
      <c r="AP123">
        <v>0</v>
      </c>
      <c r="AQ123">
        <v>132.69999999999999</v>
      </c>
      <c r="AR123">
        <v>0</v>
      </c>
      <c r="AS123">
        <v>0</v>
      </c>
      <c r="AT123">
        <v>89</v>
      </c>
      <c r="AU123">
        <v>44</v>
      </c>
      <c r="AV123">
        <v>1</v>
      </c>
      <c r="AW123">
        <v>1</v>
      </c>
      <c r="AZ123">
        <v>1</v>
      </c>
      <c r="BA123">
        <v>18.11</v>
      </c>
      <c r="BB123">
        <v>1</v>
      </c>
      <c r="BC123">
        <v>1</v>
      </c>
      <c r="BD123" t="s">
        <v>3</v>
      </c>
      <c r="BE123" t="s">
        <v>3</v>
      </c>
      <c r="BF123" t="s">
        <v>3</v>
      </c>
      <c r="BG123" t="s">
        <v>3</v>
      </c>
      <c r="BH123">
        <v>0</v>
      </c>
      <c r="BI123">
        <v>1</v>
      </c>
      <c r="BJ123" t="s">
        <v>149</v>
      </c>
      <c r="BM123">
        <v>12</v>
      </c>
      <c r="BN123">
        <v>0</v>
      </c>
      <c r="BO123" t="s">
        <v>147</v>
      </c>
      <c r="BP123">
        <v>1</v>
      </c>
      <c r="BQ123">
        <v>30</v>
      </c>
      <c r="BR123">
        <v>0</v>
      </c>
      <c r="BS123">
        <v>18.11</v>
      </c>
      <c r="BT123">
        <v>1</v>
      </c>
      <c r="BU123">
        <v>1</v>
      </c>
      <c r="BV123">
        <v>1</v>
      </c>
      <c r="BW123">
        <v>1</v>
      </c>
      <c r="BX123">
        <v>1</v>
      </c>
      <c r="BY123" t="s">
        <v>3</v>
      </c>
      <c r="BZ123">
        <v>89</v>
      </c>
      <c r="CA123">
        <v>44</v>
      </c>
      <c r="CF123">
        <v>0</v>
      </c>
      <c r="CG123">
        <v>0</v>
      </c>
      <c r="CM123">
        <v>0</v>
      </c>
      <c r="CN123" t="s">
        <v>3</v>
      </c>
      <c r="CO123">
        <v>0</v>
      </c>
      <c r="CP123">
        <f>(P123+Q123+S123)</f>
        <v>21249.75</v>
      </c>
      <c r="CQ123">
        <f>(AC123*BC123*AW123)</f>
        <v>0</v>
      </c>
      <c r="CR123">
        <f>((((ET123)*BB123-(EU123)*BS123)+AE123*BS123)*AV123)</f>
        <v>0</v>
      </c>
      <c r="CS123">
        <f>(AE123*BS123*AV123)</f>
        <v>0</v>
      </c>
      <c r="CT123">
        <f>(AF123*BA123*AV123)</f>
        <v>26867.814899999998</v>
      </c>
      <c r="CU123">
        <f>AG123</f>
        <v>0</v>
      </c>
      <c r="CV123">
        <f>(AH123*AV123)</f>
        <v>132.69999999999999</v>
      </c>
      <c r="CW123">
        <f>AI123</f>
        <v>0</v>
      </c>
      <c r="CX123">
        <f>AJ123</f>
        <v>0</v>
      </c>
      <c r="CY123">
        <f>S123*(BZ123/100)</f>
        <v>18912.2775</v>
      </c>
      <c r="CZ123">
        <f>S123*(CA123/100)</f>
        <v>9349.89</v>
      </c>
      <c r="DC123" t="s">
        <v>3</v>
      </c>
      <c r="DD123" t="s">
        <v>3</v>
      </c>
      <c r="DE123" t="s">
        <v>3</v>
      </c>
      <c r="DF123" t="s">
        <v>3</v>
      </c>
      <c r="DG123" t="s">
        <v>3</v>
      </c>
      <c r="DH123" t="s">
        <v>3</v>
      </c>
      <c r="DI123" t="s">
        <v>3</v>
      </c>
      <c r="DJ123" t="s">
        <v>3</v>
      </c>
      <c r="DK123" t="s">
        <v>3</v>
      </c>
      <c r="DL123" t="s">
        <v>3</v>
      </c>
      <c r="DM123" t="s">
        <v>3</v>
      </c>
      <c r="DN123">
        <v>105</v>
      </c>
      <c r="DO123">
        <v>77</v>
      </c>
      <c r="DP123">
        <v>1.248</v>
      </c>
      <c r="DQ123">
        <v>1</v>
      </c>
      <c r="DU123">
        <v>1013</v>
      </c>
      <c r="DV123" t="s">
        <v>142</v>
      </c>
      <c r="DW123" t="s">
        <v>142</v>
      </c>
      <c r="DX123">
        <v>1</v>
      </c>
      <c r="EE123">
        <v>42186059</v>
      </c>
      <c r="EF123">
        <v>30</v>
      </c>
      <c r="EG123" t="s">
        <v>14</v>
      </c>
      <c r="EH123">
        <v>0</v>
      </c>
      <c r="EI123" t="s">
        <v>3</v>
      </c>
      <c r="EJ123">
        <v>1</v>
      </c>
      <c r="EK123">
        <v>12</v>
      </c>
      <c r="EL123" t="s">
        <v>150</v>
      </c>
      <c r="EM123" t="s">
        <v>151</v>
      </c>
      <c r="EO123" t="s">
        <v>3</v>
      </c>
      <c r="EQ123">
        <v>131072</v>
      </c>
      <c r="ER123">
        <v>1483.59</v>
      </c>
      <c r="ES123">
        <v>0</v>
      </c>
      <c r="ET123">
        <v>0</v>
      </c>
      <c r="EU123">
        <v>0</v>
      </c>
      <c r="EV123">
        <v>1483.59</v>
      </c>
      <c r="EW123">
        <v>132.69999999999999</v>
      </c>
      <c r="EX123">
        <v>0</v>
      </c>
      <c r="EY123">
        <v>0</v>
      </c>
      <c r="FQ123">
        <v>0</v>
      </c>
      <c r="FR123">
        <f>ROUND(IF(AND(BH123=3,BI123=3),P123,0),2)</f>
        <v>0</v>
      </c>
      <c r="FS123">
        <v>0</v>
      </c>
      <c r="FX123">
        <v>105</v>
      </c>
      <c r="FY123">
        <v>77</v>
      </c>
      <c r="GA123" t="s">
        <v>3</v>
      </c>
      <c r="GD123">
        <v>0</v>
      </c>
      <c r="GF123">
        <v>-1765176645</v>
      </c>
      <c r="GG123">
        <v>2</v>
      </c>
      <c r="GH123">
        <v>0</v>
      </c>
      <c r="GI123">
        <v>0</v>
      </c>
      <c r="GJ123">
        <v>0</v>
      </c>
      <c r="GK123">
        <f>ROUND(R123*(R12)/100,2)</f>
        <v>0</v>
      </c>
      <c r="GL123">
        <f>ROUND(IF(AND(BH123=3,BI123=3,FS123&lt;&gt;0),P123,0),2)</f>
        <v>0</v>
      </c>
      <c r="GM123">
        <f>ROUND(O123+X123+Y123+GK123,2)+GX123</f>
        <v>49511.92</v>
      </c>
      <c r="GN123">
        <f>IF(OR(BI123=0,BI123=1),ROUND(O123+X123+Y123+GK123,2),0)</f>
        <v>49511.92</v>
      </c>
      <c r="GO123">
        <f>IF(BI123=2,ROUND(O123+X123+Y123+GK123,2),0)</f>
        <v>0</v>
      </c>
      <c r="GP123">
        <f>IF(BI123=4,ROUND(O123+X123+Y123+GK123,2)+GX123,0)</f>
        <v>0</v>
      </c>
      <c r="GR123">
        <v>0</v>
      </c>
      <c r="GS123">
        <v>0</v>
      </c>
      <c r="GT123">
        <v>0</v>
      </c>
      <c r="GU123" t="s">
        <v>3</v>
      </c>
      <c r="GV123">
        <f>ROUND(GT123,6)</f>
        <v>0</v>
      </c>
      <c r="GW123">
        <v>1</v>
      </c>
      <c r="GX123">
        <f>ROUND(GV123*GW123*I123,2)</f>
        <v>0</v>
      </c>
      <c r="HA123">
        <v>0</v>
      </c>
      <c r="HB123">
        <v>0</v>
      </c>
      <c r="IK123">
        <v>0</v>
      </c>
    </row>
    <row r="125" spans="1:245" x14ac:dyDescent="0.2">
      <c r="A125" s="2">
        <v>51</v>
      </c>
      <c r="B125" s="2">
        <f>B118</f>
        <v>1</v>
      </c>
      <c r="C125" s="2">
        <f>A118</f>
        <v>5</v>
      </c>
      <c r="D125" s="2">
        <f>ROW(A118)</f>
        <v>118</v>
      </c>
      <c r="E125" s="2"/>
      <c r="F125" s="2" t="str">
        <f>IF(F118&lt;&gt;"",F118,"")</f>
        <v>Новый подраздел</v>
      </c>
      <c r="G125" s="2" t="str">
        <f>IF(G118&lt;&gt;"",G118,"")</f>
        <v>1.3</v>
      </c>
      <c r="H125" s="2">
        <v>0</v>
      </c>
      <c r="I125" s="2"/>
      <c r="J125" s="2"/>
      <c r="K125" s="2"/>
      <c r="L125" s="2"/>
      <c r="M125" s="2"/>
      <c r="N125" s="2"/>
      <c r="O125" s="2">
        <f t="shared" ref="O125:T125" si="124">ROUND(AB125,2)</f>
        <v>28315.59</v>
      </c>
      <c r="P125" s="2">
        <f t="shared" si="124"/>
        <v>0</v>
      </c>
      <c r="Q125" s="2">
        <f t="shared" si="124"/>
        <v>7065.84</v>
      </c>
      <c r="R125" s="2">
        <f t="shared" si="124"/>
        <v>3600.42</v>
      </c>
      <c r="S125" s="2">
        <f t="shared" si="124"/>
        <v>21249.75</v>
      </c>
      <c r="T125" s="2">
        <f t="shared" si="124"/>
        <v>0</v>
      </c>
      <c r="U125" s="2">
        <f>AH125</f>
        <v>104.95242999999999</v>
      </c>
      <c r="V125" s="2">
        <f>AI125</f>
        <v>0</v>
      </c>
      <c r="W125" s="2">
        <f>ROUND(AJ125,2)</f>
        <v>0</v>
      </c>
      <c r="X125" s="2">
        <f>ROUND(AK125,2)</f>
        <v>18912.28</v>
      </c>
      <c r="Y125" s="2">
        <f>ROUND(AL125,2)</f>
        <v>9349.89</v>
      </c>
      <c r="Z125" s="2"/>
      <c r="AA125" s="2"/>
      <c r="AB125" s="2">
        <f>ROUND(SUMIF(AA122:AA123,"=42446460",O122:O123),2)</f>
        <v>28315.59</v>
      </c>
      <c r="AC125" s="2">
        <f>ROUND(SUMIF(AA122:AA123,"=42446460",P122:P123),2)</f>
        <v>0</v>
      </c>
      <c r="AD125" s="2">
        <f>ROUND(SUMIF(AA122:AA123,"=42446460",Q122:Q123),2)</f>
        <v>7065.84</v>
      </c>
      <c r="AE125" s="2">
        <f>ROUND(SUMIF(AA122:AA123,"=42446460",R122:R123),2)</f>
        <v>3600.42</v>
      </c>
      <c r="AF125" s="2">
        <f>ROUND(SUMIF(AA122:AA123,"=42446460",S122:S123),2)</f>
        <v>21249.75</v>
      </c>
      <c r="AG125" s="2">
        <f>ROUND(SUMIF(AA122:AA123,"=42446460",T122:T123),2)</f>
        <v>0</v>
      </c>
      <c r="AH125" s="2">
        <f>SUMIF(AA122:AA123,"=42446460",U122:U123)</f>
        <v>104.95242999999999</v>
      </c>
      <c r="AI125" s="2">
        <f>SUMIF(AA122:AA123,"=42446460",V122:V123)</f>
        <v>0</v>
      </c>
      <c r="AJ125" s="2">
        <f>ROUND(SUMIF(AA122:AA123,"=42446460",W122:W123),2)</f>
        <v>0</v>
      </c>
      <c r="AK125" s="2">
        <f>ROUND(SUMIF(AA122:AA123,"=42446460",X122:X123),2)</f>
        <v>18912.28</v>
      </c>
      <c r="AL125" s="2">
        <f>ROUND(SUMIF(AA122:AA123,"=42446460",Y122:Y123),2)</f>
        <v>9349.89</v>
      </c>
      <c r="AM125" s="2"/>
      <c r="AN125" s="2"/>
      <c r="AO125" s="2">
        <f t="shared" ref="AO125:BC125" si="125">ROUND(BX125,2)</f>
        <v>0</v>
      </c>
      <c r="AP125" s="2">
        <f t="shared" si="125"/>
        <v>0</v>
      </c>
      <c r="AQ125" s="2">
        <f t="shared" si="125"/>
        <v>0</v>
      </c>
      <c r="AR125" s="2">
        <f t="shared" si="125"/>
        <v>62590.46</v>
      </c>
      <c r="AS125" s="2">
        <f t="shared" si="125"/>
        <v>62590.46</v>
      </c>
      <c r="AT125" s="2">
        <f t="shared" si="125"/>
        <v>0</v>
      </c>
      <c r="AU125" s="2">
        <f t="shared" si="125"/>
        <v>0</v>
      </c>
      <c r="AV125" s="2">
        <f t="shared" si="125"/>
        <v>0</v>
      </c>
      <c r="AW125" s="2">
        <f t="shared" si="125"/>
        <v>0</v>
      </c>
      <c r="AX125" s="2">
        <f t="shared" si="125"/>
        <v>0</v>
      </c>
      <c r="AY125" s="2">
        <f t="shared" si="125"/>
        <v>0</v>
      </c>
      <c r="AZ125" s="2">
        <f t="shared" si="125"/>
        <v>0</v>
      </c>
      <c r="BA125" s="2">
        <f t="shared" si="125"/>
        <v>0</v>
      </c>
      <c r="BB125" s="2">
        <f t="shared" si="125"/>
        <v>0</v>
      </c>
      <c r="BC125" s="2">
        <f t="shared" si="125"/>
        <v>0</v>
      </c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>
        <f>ROUND(SUMIF(AA122:AA123,"=42446460",FQ122:FQ123),2)</f>
        <v>0</v>
      </c>
      <c r="BY125" s="2">
        <f>ROUND(SUMIF(AA122:AA123,"=42446460",FR122:FR123),2)</f>
        <v>0</v>
      </c>
      <c r="BZ125" s="2">
        <f>ROUND(SUMIF(AA122:AA123,"=42446460",GL122:GL123),2)</f>
        <v>0</v>
      </c>
      <c r="CA125" s="2">
        <f>ROUND(SUMIF(AA122:AA123,"=42446460",GM122:GM123),2)</f>
        <v>62590.46</v>
      </c>
      <c r="CB125" s="2">
        <f>ROUND(SUMIF(AA122:AA123,"=42446460",GN122:GN123),2)</f>
        <v>62590.46</v>
      </c>
      <c r="CC125" s="2">
        <f>ROUND(SUMIF(AA122:AA123,"=42446460",GO122:GO123),2)</f>
        <v>0</v>
      </c>
      <c r="CD125" s="2">
        <f>ROUND(SUMIF(AA122:AA123,"=42446460",GP122:GP123),2)</f>
        <v>0</v>
      </c>
      <c r="CE125" s="2">
        <f>AC125-BX125</f>
        <v>0</v>
      </c>
      <c r="CF125" s="2">
        <f>AC125-BY125</f>
        <v>0</v>
      </c>
      <c r="CG125" s="2">
        <f>BX125-BZ125</f>
        <v>0</v>
      </c>
      <c r="CH125" s="2">
        <f>AC125-BX125-BY125+BZ125</f>
        <v>0</v>
      </c>
      <c r="CI125" s="2">
        <f>BY125-BZ125</f>
        <v>0</v>
      </c>
      <c r="CJ125" s="2">
        <f>ROUND(SUMIF(AA122:AA123,"=42446460",GX122:GX123),2)</f>
        <v>0</v>
      </c>
      <c r="CK125" s="2">
        <f>ROUND(SUMIF(AA122:AA123,"=42446460",GY122:GY123),2)</f>
        <v>0</v>
      </c>
      <c r="CL125" s="2">
        <f>ROUND(SUMIF(AA122:AA123,"=42446460",GZ122:GZ123),2)</f>
        <v>0</v>
      </c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>
        <v>0</v>
      </c>
    </row>
    <row r="127" spans="1:245" x14ac:dyDescent="0.2">
      <c r="A127" s="4">
        <v>50</v>
      </c>
      <c r="B127" s="4">
        <v>0</v>
      </c>
      <c r="C127" s="4">
        <v>0</v>
      </c>
      <c r="D127" s="4">
        <v>1</v>
      </c>
      <c r="E127" s="4">
        <v>201</v>
      </c>
      <c r="F127" s="4">
        <f>ROUND(Source!O125,O127)</f>
        <v>28315.59</v>
      </c>
      <c r="G127" s="4" t="s">
        <v>74</v>
      </c>
      <c r="H127" s="4" t="s">
        <v>75</v>
      </c>
      <c r="I127" s="4"/>
      <c r="J127" s="4"/>
      <c r="K127" s="4">
        <v>201</v>
      </c>
      <c r="L127" s="4">
        <v>1</v>
      </c>
      <c r="M127" s="4">
        <v>3</v>
      </c>
      <c r="N127" s="4" t="s">
        <v>3</v>
      </c>
      <c r="O127" s="4">
        <v>2</v>
      </c>
      <c r="P127" s="4"/>
      <c r="Q127" s="4"/>
      <c r="R127" s="4"/>
      <c r="S127" s="4"/>
      <c r="T127" s="4"/>
      <c r="U127" s="4"/>
      <c r="V127" s="4"/>
      <c r="W127" s="4"/>
    </row>
    <row r="128" spans="1:245" x14ac:dyDescent="0.2">
      <c r="A128" s="4">
        <v>50</v>
      </c>
      <c r="B128" s="4">
        <v>0</v>
      </c>
      <c r="C128" s="4">
        <v>0</v>
      </c>
      <c r="D128" s="4">
        <v>1</v>
      </c>
      <c r="E128" s="4">
        <v>202</v>
      </c>
      <c r="F128" s="4">
        <f>ROUND(Source!P125,O128)</f>
        <v>0</v>
      </c>
      <c r="G128" s="4" t="s">
        <v>76</v>
      </c>
      <c r="H128" s="4" t="s">
        <v>77</v>
      </c>
      <c r="I128" s="4"/>
      <c r="J128" s="4"/>
      <c r="K128" s="4">
        <v>202</v>
      </c>
      <c r="L128" s="4">
        <v>2</v>
      </c>
      <c r="M128" s="4">
        <v>3</v>
      </c>
      <c r="N128" s="4" t="s">
        <v>3</v>
      </c>
      <c r="O128" s="4">
        <v>2</v>
      </c>
      <c r="P128" s="4"/>
      <c r="Q128" s="4"/>
      <c r="R128" s="4"/>
      <c r="S128" s="4"/>
      <c r="T128" s="4"/>
      <c r="U128" s="4"/>
      <c r="V128" s="4"/>
      <c r="W128" s="4"/>
    </row>
    <row r="129" spans="1:23" x14ac:dyDescent="0.2">
      <c r="A129" s="4">
        <v>50</v>
      </c>
      <c r="B129" s="4">
        <v>0</v>
      </c>
      <c r="C129" s="4">
        <v>0</v>
      </c>
      <c r="D129" s="4">
        <v>1</v>
      </c>
      <c r="E129" s="4">
        <v>222</v>
      </c>
      <c r="F129" s="4">
        <f>ROUND(Source!AO125,O129)</f>
        <v>0</v>
      </c>
      <c r="G129" s="4" t="s">
        <v>78</v>
      </c>
      <c r="H129" s="4" t="s">
        <v>79</v>
      </c>
      <c r="I129" s="4"/>
      <c r="J129" s="4"/>
      <c r="K129" s="4">
        <v>222</v>
      </c>
      <c r="L129" s="4">
        <v>3</v>
      </c>
      <c r="M129" s="4">
        <v>3</v>
      </c>
      <c r="N129" s="4" t="s">
        <v>3</v>
      </c>
      <c r="O129" s="4">
        <v>2</v>
      </c>
      <c r="P129" s="4"/>
      <c r="Q129" s="4"/>
      <c r="R129" s="4"/>
      <c r="S129" s="4"/>
      <c r="T129" s="4"/>
      <c r="U129" s="4"/>
      <c r="V129" s="4"/>
      <c r="W129" s="4"/>
    </row>
    <row r="130" spans="1:23" x14ac:dyDescent="0.2">
      <c r="A130" s="4">
        <v>50</v>
      </c>
      <c r="B130" s="4">
        <v>0</v>
      </c>
      <c r="C130" s="4">
        <v>0</v>
      </c>
      <c r="D130" s="4">
        <v>1</v>
      </c>
      <c r="E130" s="4">
        <v>225</v>
      </c>
      <c r="F130" s="4">
        <f>ROUND(Source!AV125,O130)</f>
        <v>0</v>
      </c>
      <c r="G130" s="4" t="s">
        <v>80</v>
      </c>
      <c r="H130" s="4" t="s">
        <v>81</v>
      </c>
      <c r="I130" s="4"/>
      <c r="J130" s="4"/>
      <c r="K130" s="4">
        <v>225</v>
      </c>
      <c r="L130" s="4">
        <v>4</v>
      </c>
      <c r="M130" s="4">
        <v>3</v>
      </c>
      <c r="N130" s="4" t="s">
        <v>3</v>
      </c>
      <c r="O130" s="4">
        <v>2</v>
      </c>
      <c r="P130" s="4"/>
      <c r="Q130" s="4"/>
      <c r="R130" s="4"/>
      <c r="S130" s="4"/>
      <c r="T130" s="4"/>
      <c r="U130" s="4"/>
      <c r="V130" s="4"/>
      <c r="W130" s="4"/>
    </row>
    <row r="131" spans="1:23" x14ac:dyDescent="0.2">
      <c r="A131" s="4">
        <v>50</v>
      </c>
      <c r="B131" s="4">
        <v>0</v>
      </c>
      <c r="C131" s="4">
        <v>0</v>
      </c>
      <c r="D131" s="4">
        <v>1</v>
      </c>
      <c r="E131" s="4">
        <v>226</v>
      </c>
      <c r="F131" s="4">
        <f>ROUND(Source!AW125,O131)</f>
        <v>0</v>
      </c>
      <c r="G131" s="4" t="s">
        <v>82</v>
      </c>
      <c r="H131" s="4" t="s">
        <v>83</v>
      </c>
      <c r="I131" s="4"/>
      <c r="J131" s="4"/>
      <c r="K131" s="4">
        <v>226</v>
      </c>
      <c r="L131" s="4">
        <v>5</v>
      </c>
      <c r="M131" s="4">
        <v>3</v>
      </c>
      <c r="N131" s="4" t="s">
        <v>3</v>
      </c>
      <c r="O131" s="4">
        <v>2</v>
      </c>
      <c r="P131" s="4"/>
      <c r="Q131" s="4"/>
      <c r="R131" s="4"/>
      <c r="S131" s="4"/>
      <c r="T131" s="4"/>
      <c r="U131" s="4"/>
      <c r="V131" s="4"/>
      <c r="W131" s="4"/>
    </row>
    <row r="132" spans="1:23" x14ac:dyDescent="0.2">
      <c r="A132" s="4">
        <v>50</v>
      </c>
      <c r="B132" s="4">
        <v>0</v>
      </c>
      <c r="C132" s="4">
        <v>0</v>
      </c>
      <c r="D132" s="4">
        <v>1</v>
      </c>
      <c r="E132" s="4">
        <v>227</v>
      </c>
      <c r="F132" s="4">
        <f>ROUND(Source!AX125,O132)</f>
        <v>0</v>
      </c>
      <c r="G132" s="4" t="s">
        <v>84</v>
      </c>
      <c r="H132" s="4" t="s">
        <v>85</v>
      </c>
      <c r="I132" s="4"/>
      <c r="J132" s="4"/>
      <c r="K132" s="4">
        <v>227</v>
      </c>
      <c r="L132" s="4">
        <v>6</v>
      </c>
      <c r="M132" s="4">
        <v>3</v>
      </c>
      <c r="N132" s="4" t="s">
        <v>3</v>
      </c>
      <c r="O132" s="4">
        <v>2</v>
      </c>
      <c r="P132" s="4"/>
      <c r="Q132" s="4"/>
      <c r="R132" s="4"/>
      <c r="S132" s="4"/>
      <c r="T132" s="4"/>
      <c r="U132" s="4"/>
      <c r="V132" s="4"/>
      <c r="W132" s="4"/>
    </row>
    <row r="133" spans="1:23" x14ac:dyDescent="0.2">
      <c r="A133" s="4">
        <v>50</v>
      </c>
      <c r="B133" s="4">
        <v>0</v>
      </c>
      <c r="C133" s="4">
        <v>0</v>
      </c>
      <c r="D133" s="4">
        <v>1</v>
      </c>
      <c r="E133" s="4">
        <v>228</v>
      </c>
      <c r="F133" s="4">
        <f>ROUND(Source!AY125,O133)</f>
        <v>0</v>
      </c>
      <c r="G133" s="4" t="s">
        <v>86</v>
      </c>
      <c r="H133" s="4" t="s">
        <v>87</v>
      </c>
      <c r="I133" s="4"/>
      <c r="J133" s="4"/>
      <c r="K133" s="4">
        <v>228</v>
      </c>
      <c r="L133" s="4">
        <v>7</v>
      </c>
      <c r="M133" s="4">
        <v>3</v>
      </c>
      <c r="N133" s="4" t="s">
        <v>3</v>
      </c>
      <c r="O133" s="4">
        <v>2</v>
      </c>
      <c r="P133" s="4"/>
      <c r="Q133" s="4"/>
      <c r="R133" s="4"/>
      <c r="S133" s="4"/>
      <c r="T133" s="4"/>
      <c r="U133" s="4"/>
      <c r="V133" s="4"/>
      <c r="W133" s="4"/>
    </row>
    <row r="134" spans="1:23" x14ac:dyDescent="0.2">
      <c r="A134" s="4">
        <v>50</v>
      </c>
      <c r="B134" s="4">
        <v>0</v>
      </c>
      <c r="C134" s="4">
        <v>0</v>
      </c>
      <c r="D134" s="4">
        <v>1</v>
      </c>
      <c r="E134" s="4">
        <v>216</v>
      </c>
      <c r="F134" s="4">
        <f>ROUND(Source!AP125,O134)</f>
        <v>0</v>
      </c>
      <c r="G134" s="4" t="s">
        <v>88</v>
      </c>
      <c r="H134" s="4" t="s">
        <v>89</v>
      </c>
      <c r="I134" s="4"/>
      <c r="J134" s="4"/>
      <c r="K134" s="4">
        <v>216</v>
      </c>
      <c r="L134" s="4">
        <v>8</v>
      </c>
      <c r="M134" s="4">
        <v>3</v>
      </c>
      <c r="N134" s="4" t="s">
        <v>3</v>
      </c>
      <c r="O134" s="4">
        <v>2</v>
      </c>
      <c r="P134" s="4"/>
      <c r="Q134" s="4"/>
      <c r="R134" s="4"/>
      <c r="S134" s="4"/>
      <c r="T134" s="4"/>
      <c r="U134" s="4"/>
      <c r="V134" s="4"/>
      <c r="W134" s="4"/>
    </row>
    <row r="135" spans="1:23" x14ac:dyDescent="0.2">
      <c r="A135" s="4">
        <v>50</v>
      </c>
      <c r="B135" s="4">
        <v>0</v>
      </c>
      <c r="C135" s="4">
        <v>0</v>
      </c>
      <c r="D135" s="4">
        <v>1</v>
      </c>
      <c r="E135" s="4">
        <v>223</v>
      </c>
      <c r="F135" s="4">
        <f>ROUND(Source!AQ125,O135)</f>
        <v>0</v>
      </c>
      <c r="G135" s="4" t="s">
        <v>90</v>
      </c>
      <c r="H135" s="4" t="s">
        <v>91</v>
      </c>
      <c r="I135" s="4"/>
      <c r="J135" s="4"/>
      <c r="K135" s="4">
        <v>223</v>
      </c>
      <c r="L135" s="4">
        <v>9</v>
      </c>
      <c r="M135" s="4">
        <v>3</v>
      </c>
      <c r="N135" s="4" t="s">
        <v>3</v>
      </c>
      <c r="O135" s="4">
        <v>2</v>
      </c>
      <c r="P135" s="4"/>
      <c r="Q135" s="4"/>
      <c r="R135" s="4"/>
      <c r="S135" s="4"/>
      <c r="T135" s="4"/>
      <c r="U135" s="4"/>
      <c r="V135" s="4"/>
      <c r="W135" s="4"/>
    </row>
    <row r="136" spans="1:23" x14ac:dyDescent="0.2">
      <c r="A136" s="4">
        <v>50</v>
      </c>
      <c r="B136" s="4">
        <v>0</v>
      </c>
      <c r="C136" s="4">
        <v>0</v>
      </c>
      <c r="D136" s="4">
        <v>1</v>
      </c>
      <c r="E136" s="4">
        <v>229</v>
      </c>
      <c r="F136" s="4">
        <f>ROUND(Source!AZ125,O136)</f>
        <v>0</v>
      </c>
      <c r="G136" s="4" t="s">
        <v>92</v>
      </c>
      <c r="H136" s="4" t="s">
        <v>93</v>
      </c>
      <c r="I136" s="4"/>
      <c r="J136" s="4"/>
      <c r="K136" s="4">
        <v>229</v>
      </c>
      <c r="L136" s="4">
        <v>10</v>
      </c>
      <c r="M136" s="4">
        <v>3</v>
      </c>
      <c r="N136" s="4" t="s">
        <v>3</v>
      </c>
      <c r="O136" s="4">
        <v>2</v>
      </c>
      <c r="P136" s="4"/>
      <c r="Q136" s="4"/>
      <c r="R136" s="4"/>
      <c r="S136" s="4"/>
      <c r="T136" s="4"/>
      <c r="U136" s="4"/>
      <c r="V136" s="4"/>
      <c r="W136" s="4"/>
    </row>
    <row r="137" spans="1:23" x14ac:dyDescent="0.2">
      <c r="A137" s="4">
        <v>50</v>
      </c>
      <c r="B137" s="4">
        <v>0</v>
      </c>
      <c r="C137" s="4">
        <v>0</v>
      </c>
      <c r="D137" s="4">
        <v>1</v>
      </c>
      <c r="E137" s="4">
        <v>203</v>
      </c>
      <c r="F137" s="4">
        <f>ROUND(Source!Q125,O137)</f>
        <v>7065.84</v>
      </c>
      <c r="G137" s="4" t="s">
        <v>94</v>
      </c>
      <c r="H137" s="4" t="s">
        <v>95</v>
      </c>
      <c r="I137" s="4"/>
      <c r="J137" s="4"/>
      <c r="K137" s="4">
        <v>203</v>
      </c>
      <c r="L137" s="4">
        <v>11</v>
      </c>
      <c r="M137" s="4">
        <v>3</v>
      </c>
      <c r="N137" s="4" t="s">
        <v>3</v>
      </c>
      <c r="O137" s="4">
        <v>2</v>
      </c>
      <c r="P137" s="4"/>
      <c r="Q137" s="4"/>
      <c r="R137" s="4"/>
      <c r="S137" s="4"/>
      <c r="T137" s="4"/>
      <c r="U137" s="4"/>
      <c r="V137" s="4"/>
      <c r="W137" s="4"/>
    </row>
    <row r="138" spans="1:23" x14ac:dyDescent="0.2">
      <c r="A138" s="4">
        <v>50</v>
      </c>
      <c r="B138" s="4">
        <v>0</v>
      </c>
      <c r="C138" s="4">
        <v>0</v>
      </c>
      <c r="D138" s="4">
        <v>1</v>
      </c>
      <c r="E138" s="4">
        <v>231</v>
      </c>
      <c r="F138" s="4">
        <f>ROUND(Source!BB125,O138)</f>
        <v>0</v>
      </c>
      <c r="G138" s="4" t="s">
        <v>96</v>
      </c>
      <c r="H138" s="4" t="s">
        <v>97</v>
      </c>
      <c r="I138" s="4"/>
      <c r="J138" s="4"/>
      <c r="K138" s="4">
        <v>231</v>
      </c>
      <c r="L138" s="4">
        <v>12</v>
      </c>
      <c r="M138" s="4">
        <v>3</v>
      </c>
      <c r="N138" s="4" t="s">
        <v>3</v>
      </c>
      <c r="O138" s="4">
        <v>2</v>
      </c>
      <c r="P138" s="4"/>
      <c r="Q138" s="4"/>
      <c r="R138" s="4"/>
      <c r="S138" s="4"/>
      <c r="T138" s="4"/>
      <c r="U138" s="4"/>
      <c r="V138" s="4"/>
      <c r="W138" s="4"/>
    </row>
    <row r="139" spans="1:23" x14ac:dyDescent="0.2">
      <c r="A139" s="4">
        <v>50</v>
      </c>
      <c r="B139" s="4">
        <v>0</v>
      </c>
      <c r="C139" s="4">
        <v>0</v>
      </c>
      <c r="D139" s="4">
        <v>1</v>
      </c>
      <c r="E139" s="4">
        <v>204</v>
      </c>
      <c r="F139" s="4">
        <f>ROUND(Source!R125,O139)</f>
        <v>3600.42</v>
      </c>
      <c r="G139" s="4" t="s">
        <v>98</v>
      </c>
      <c r="H139" s="4" t="s">
        <v>99</v>
      </c>
      <c r="I139" s="4"/>
      <c r="J139" s="4"/>
      <c r="K139" s="4">
        <v>204</v>
      </c>
      <c r="L139" s="4">
        <v>13</v>
      </c>
      <c r="M139" s="4">
        <v>3</v>
      </c>
      <c r="N139" s="4" t="s">
        <v>3</v>
      </c>
      <c r="O139" s="4">
        <v>2</v>
      </c>
      <c r="P139" s="4"/>
      <c r="Q139" s="4"/>
      <c r="R139" s="4"/>
      <c r="S139" s="4"/>
      <c r="T139" s="4"/>
      <c r="U139" s="4"/>
      <c r="V139" s="4"/>
      <c r="W139" s="4"/>
    </row>
    <row r="140" spans="1:23" x14ac:dyDescent="0.2">
      <c r="A140" s="4">
        <v>50</v>
      </c>
      <c r="B140" s="4">
        <v>0</v>
      </c>
      <c r="C140" s="4">
        <v>0</v>
      </c>
      <c r="D140" s="4">
        <v>1</v>
      </c>
      <c r="E140" s="4">
        <v>205</v>
      </c>
      <c r="F140" s="4">
        <f>ROUND(Source!S125,O140)</f>
        <v>21249.75</v>
      </c>
      <c r="G140" s="4" t="s">
        <v>100</v>
      </c>
      <c r="H140" s="4" t="s">
        <v>101</v>
      </c>
      <c r="I140" s="4"/>
      <c r="J140" s="4"/>
      <c r="K140" s="4">
        <v>205</v>
      </c>
      <c r="L140" s="4">
        <v>14</v>
      </c>
      <c r="M140" s="4">
        <v>3</v>
      </c>
      <c r="N140" s="4" t="s">
        <v>3</v>
      </c>
      <c r="O140" s="4">
        <v>2</v>
      </c>
      <c r="P140" s="4"/>
      <c r="Q140" s="4"/>
      <c r="R140" s="4"/>
      <c r="S140" s="4"/>
      <c r="T140" s="4"/>
      <c r="U140" s="4"/>
      <c r="V140" s="4"/>
      <c r="W140" s="4"/>
    </row>
    <row r="141" spans="1:23" x14ac:dyDescent="0.2">
      <c r="A141" s="4">
        <v>50</v>
      </c>
      <c r="B141" s="4">
        <v>0</v>
      </c>
      <c r="C141" s="4">
        <v>0</v>
      </c>
      <c r="D141" s="4">
        <v>1</v>
      </c>
      <c r="E141" s="4">
        <v>232</v>
      </c>
      <c r="F141" s="4">
        <f>ROUND(Source!BC125,O141)</f>
        <v>0</v>
      </c>
      <c r="G141" s="4" t="s">
        <v>102</v>
      </c>
      <c r="H141" s="4" t="s">
        <v>103</v>
      </c>
      <c r="I141" s="4"/>
      <c r="J141" s="4"/>
      <c r="K141" s="4">
        <v>232</v>
      </c>
      <c r="L141" s="4">
        <v>15</v>
      </c>
      <c r="M141" s="4">
        <v>3</v>
      </c>
      <c r="N141" s="4" t="s">
        <v>3</v>
      </c>
      <c r="O141" s="4">
        <v>2</v>
      </c>
      <c r="P141" s="4"/>
      <c r="Q141" s="4"/>
      <c r="R141" s="4"/>
      <c r="S141" s="4"/>
      <c r="T141" s="4"/>
      <c r="U141" s="4"/>
      <c r="V141" s="4"/>
      <c r="W141" s="4"/>
    </row>
    <row r="142" spans="1:23" x14ac:dyDescent="0.2">
      <c r="A142" s="4">
        <v>50</v>
      </c>
      <c r="B142" s="4">
        <v>0</v>
      </c>
      <c r="C142" s="4">
        <v>0</v>
      </c>
      <c r="D142" s="4">
        <v>1</v>
      </c>
      <c r="E142" s="4">
        <v>214</v>
      </c>
      <c r="F142" s="4">
        <f>ROUND(Source!AS125,O142)</f>
        <v>62590.46</v>
      </c>
      <c r="G142" s="4" t="s">
        <v>104</v>
      </c>
      <c r="H142" s="4" t="s">
        <v>105</v>
      </c>
      <c r="I142" s="4"/>
      <c r="J142" s="4"/>
      <c r="K142" s="4">
        <v>214</v>
      </c>
      <c r="L142" s="4">
        <v>16</v>
      </c>
      <c r="M142" s="4">
        <v>3</v>
      </c>
      <c r="N142" s="4" t="s">
        <v>3</v>
      </c>
      <c r="O142" s="4">
        <v>2</v>
      </c>
      <c r="P142" s="4"/>
      <c r="Q142" s="4"/>
      <c r="R142" s="4"/>
      <c r="S142" s="4"/>
      <c r="T142" s="4"/>
      <c r="U142" s="4"/>
      <c r="V142" s="4"/>
      <c r="W142" s="4"/>
    </row>
    <row r="143" spans="1:23" x14ac:dyDescent="0.2">
      <c r="A143" s="4">
        <v>50</v>
      </c>
      <c r="B143" s="4">
        <v>0</v>
      </c>
      <c r="C143" s="4">
        <v>0</v>
      </c>
      <c r="D143" s="4">
        <v>1</v>
      </c>
      <c r="E143" s="4">
        <v>215</v>
      </c>
      <c r="F143" s="4">
        <f>ROUND(Source!AT125,O143)</f>
        <v>0</v>
      </c>
      <c r="G143" s="4" t="s">
        <v>106</v>
      </c>
      <c r="H143" s="4" t="s">
        <v>107</v>
      </c>
      <c r="I143" s="4"/>
      <c r="J143" s="4"/>
      <c r="K143" s="4">
        <v>215</v>
      </c>
      <c r="L143" s="4">
        <v>17</v>
      </c>
      <c r="M143" s="4">
        <v>3</v>
      </c>
      <c r="N143" s="4" t="s">
        <v>3</v>
      </c>
      <c r="O143" s="4">
        <v>2</v>
      </c>
      <c r="P143" s="4"/>
      <c r="Q143" s="4"/>
      <c r="R143" s="4"/>
      <c r="S143" s="4"/>
      <c r="T143" s="4"/>
      <c r="U143" s="4"/>
      <c r="V143" s="4"/>
      <c r="W143" s="4"/>
    </row>
    <row r="144" spans="1:23" x14ac:dyDescent="0.2">
      <c r="A144" s="4">
        <v>50</v>
      </c>
      <c r="B144" s="4">
        <v>0</v>
      </c>
      <c r="C144" s="4">
        <v>0</v>
      </c>
      <c r="D144" s="4">
        <v>1</v>
      </c>
      <c r="E144" s="4">
        <v>217</v>
      </c>
      <c r="F144" s="4">
        <f>ROUND(Source!AU125,O144)</f>
        <v>0</v>
      </c>
      <c r="G144" s="4" t="s">
        <v>108</v>
      </c>
      <c r="H144" s="4" t="s">
        <v>109</v>
      </c>
      <c r="I144" s="4"/>
      <c r="J144" s="4"/>
      <c r="K144" s="4">
        <v>217</v>
      </c>
      <c r="L144" s="4">
        <v>18</v>
      </c>
      <c r="M144" s="4">
        <v>3</v>
      </c>
      <c r="N144" s="4" t="s">
        <v>3</v>
      </c>
      <c r="O144" s="4">
        <v>2</v>
      </c>
      <c r="P144" s="4"/>
      <c r="Q144" s="4"/>
      <c r="R144" s="4"/>
      <c r="S144" s="4"/>
      <c r="T144" s="4"/>
      <c r="U144" s="4"/>
      <c r="V144" s="4"/>
      <c r="W144" s="4"/>
    </row>
    <row r="145" spans="1:245" x14ac:dyDescent="0.2">
      <c r="A145" s="4">
        <v>50</v>
      </c>
      <c r="B145" s="4">
        <v>0</v>
      </c>
      <c r="C145" s="4">
        <v>0</v>
      </c>
      <c r="D145" s="4">
        <v>1</v>
      </c>
      <c r="E145" s="4">
        <v>230</v>
      </c>
      <c r="F145" s="4">
        <f>ROUND(Source!BA125,O145)</f>
        <v>0</v>
      </c>
      <c r="G145" s="4" t="s">
        <v>110</v>
      </c>
      <c r="H145" s="4" t="s">
        <v>111</v>
      </c>
      <c r="I145" s="4"/>
      <c r="J145" s="4"/>
      <c r="K145" s="4">
        <v>230</v>
      </c>
      <c r="L145" s="4">
        <v>19</v>
      </c>
      <c r="M145" s="4">
        <v>3</v>
      </c>
      <c r="N145" s="4" t="s">
        <v>3</v>
      </c>
      <c r="O145" s="4">
        <v>2</v>
      </c>
      <c r="P145" s="4"/>
      <c r="Q145" s="4"/>
      <c r="R145" s="4"/>
      <c r="S145" s="4"/>
      <c r="T145" s="4"/>
      <c r="U145" s="4"/>
      <c r="V145" s="4"/>
      <c r="W145" s="4"/>
    </row>
    <row r="146" spans="1:245" x14ac:dyDescent="0.2">
      <c r="A146" s="4">
        <v>50</v>
      </c>
      <c r="B146" s="4">
        <v>0</v>
      </c>
      <c r="C146" s="4">
        <v>0</v>
      </c>
      <c r="D146" s="4">
        <v>1</v>
      </c>
      <c r="E146" s="4">
        <v>206</v>
      </c>
      <c r="F146" s="4">
        <f>ROUND(Source!T125,O146)</f>
        <v>0</v>
      </c>
      <c r="G146" s="4" t="s">
        <v>112</v>
      </c>
      <c r="H146" s="4" t="s">
        <v>113</v>
      </c>
      <c r="I146" s="4"/>
      <c r="J146" s="4"/>
      <c r="K146" s="4">
        <v>206</v>
      </c>
      <c r="L146" s="4">
        <v>20</v>
      </c>
      <c r="M146" s="4">
        <v>3</v>
      </c>
      <c r="N146" s="4" t="s">
        <v>3</v>
      </c>
      <c r="O146" s="4">
        <v>2</v>
      </c>
      <c r="P146" s="4"/>
      <c r="Q146" s="4"/>
      <c r="R146" s="4"/>
      <c r="S146" s="4"/>
      <c r="T146" s="4"/>
      <c r="U146" s="4"/>
      <c r="V146" s="4"/>
      <c r="W146" s="4"/>
    </row>
    <row r="147" spans="1:245" x14ac:dyDescent="0.2">
      <c r="A147" s="4">
        <v>50</v>
      </c>
      <c r="B147" s="4">
        <v>0</v>
      </c>
      <c r="C147" s="4">
        <v>0</v>
      </c>
      <c r="D147" s="4">
        <v>1</v>
      </c>
      <c r="E147" s="4">
        <v>207</v>
      </c>
      <c r="F147" s="4">
        <f>Source!U125</f>
        <v>104.95242999999999</v>
      </c>
      <c r="G147" s="4" t="s">
        <v>114</v>
      </c>
      <c r="H147" s="4" t="s">
        <v>115</v>
      </c>
      <c r="I147" s="4"/>
      <c r="J147" s="4"/>
      <c r="K147" s="4">
        <v>207</v>
      </c>
      <c r="L147" s="4">
        <v>21</v>
      </c>
      <c r="M147" s="4">
        <v>3</v>
      </c>
      <c r="N147" s="4" t="s">
        <v>3</v>
      </c>
      <c r="O147" s="4">
        <v>-1</v>
      </c>
      <c r="P147" s="4"/>
      <c r="Q147" s="4"/>
      <c r="R147" s="4"/>
      <c r="S147" s="4"/>
      <c r="T147" s="4"/>
      <c r="U147" s="4"/>
      <c r="V147" s="4"/>
      <c r="W147" s="4"/>
    </row>
    <row r="148" spans="1:245" x14ac:dyDescent="0.2">
      <c r="A148" s="4">
        <v>50</v>
      </c>
      <c r="B148" s="4">
        <v>0</v>
      </c>
      <c r="C148" s="4">
        <v>0</v>
      </c>
      <c r="D148" s="4">
        <v>1</v>
      </c>
      <c r="E148" s="4">
        <v>208</v>
      </c>
      <c r="F148" s="4">
        <f>Source!V125</f>
        <v>0</v>
      </c>
      <c r="G148" s="4" t="s">
        <v>116</v>
      </c>
      <c r="H148" s="4" t="s">
        <v>117</v>
      </c>
      <c r="I148" s="4"/>
      <c r="J148" s="4"/>
      <c r="K148" s="4">
        <v>208</v>
      </c>
      <c r="L148" s="4">
        <v>22</v>
      </c>
      <c r="M148" s="4">
        <v>3</v>
      </c>
      <c r="N148" s="4" t="s">
        <v>3</v>
      </c>
      <c r="O148" s="4">
        <v>-1</v>
      </c>
      <c r="P148" s="4"/>
      <c r="Q148" s="4"/>
      <c r="R148" s="4"/>
      <c r="S148" s="4"/>
      <c r="T148" s="4"/>
      <c r="U148" s="4"/>
      <c r="V148" s="4"/>
      <c r="W148" s="4"/>
    </row>
    <row r="149" spans="1:245" x14ac:dyDescent="0.2">
      <c r="A149" s="4">
        <v>50</v>
      </c>
      <c r="B149" s="4">
        <v>0</v>
      </c>
      <c r="C149" s="4">
        <v>0</v>
      </c>
      <c r="D149" s="4">
        <v>1</v>
      </c>
      <c r="E149" s="4">
        <v>209</v>
      </c>
      <c r="F149" s="4">
        <f>ROUND(Source!W125,O149)</f>
        <v>0</v>
      </c>
      <c r="G149" s="4" t="s">
        <v>118</v>
      </c>
      <c r="H149" s="4" t="s">
        <v>119</v>
      </c>
      <c r="I149" s="4"/>
      <c r="J149" s="4"/>
      <c r="K149" s="4">
        <v>209</v>
      </c>
      <c r="L149" s="4">
        <v>23</v>
      </c>
      <c r="M149" s="4">
        <v>3</v>
      </c>
      <c r="N149" s="4" t="s">
        <v>3</v>
      </c>
      <c r="O149" s="4">
        <v>2</v>
      </c>
      <c r="P149" s="4"/>
      <c r="Q149" s="4"/>
      <c r="R149" s="4"/>
      <c r="S149" s="4"/>
      <c r="T149" s="4"/>
      <c r="U149" s="4"/>
      <c r="V149" s="4"/>
      <c r="W149" s="4"/>
    </row>
    <row r="150" spans="1:245" x14ac:dyDescent="0.2">
      <c r="A150" s="4">
        <v>50</v>
      </c>
      <c r="B150" s="4">
        <v>0</v>
      </c>
      <c r="C150" s="4">
        <v>0</v>
      </c>
      <c r="D150" s="4">
        <v>1</v>
      </c>
      <c r="E150" s="4">
        <v>210</v>
      </c>
      <c r="F150" s="4">
        <f>ROUND(Source!X125,O150)</f>
        <v>18912.28</v>
      </c>
      <c r="G150" s="4" t="s">
        <v>120</v>
      </c>
      <c r="H150" s="4" t="s">
        <v>121</v>
      </c>
      <c r="I150" s="4"/>
      <c r="J150" s="4"/>
      <c r="K150" s="4">
        <v>210</v>
      </c>
      <c r="L150" s="4">
        <v>24</v>
      </c>
      <c r="M150" s="4">
        <v>3</v>
      </c>
      <c r="N150" s="4" t="s">
        <v>3</v>
      </c>
      <c r="O150" s="4">
        <v>2</v>
      </c>
      <c r="P150" s="4"/>
      <c r="Q150" s="4"/>
      <c r="R150" s="4"/>
      <c r="S150" s="4"/>
      <c r="T150" s="4"/>
      <c r="U150" s="4"/>
      <c r="V150" s="4"/>
      <c r="W150" s="4"/>
    </row>
    <row r="151" spans="1:245" x14ac:dyDescent="0.2">
      <c r="A151" s="4">
        <v>50</v>
      </c>
      <c r="B151" s="4">
        <v>0</v>
      </c>
      <c r="C151" s="4">
        <v>0</v>
      </c>
      <c r="D151" s="4">
        <v>1</v>
      </c>
      <c r="E151" s="4">
        <v>211</v>
      </c>
      <c r="F151" s="4">
        <f>ROUND(Source!Y125,O151)</f>
        <v>9349.89</v>
      </c>
      <c r="G151" s="4" t="s">
        <v>122</v>
      </c>
      <c r="H151" s="4" t="s">
        <v>123</v>
      </c>
      <c r="I151" s="4"/>
      <c r="J151" s="4"/>
      <c r="K151" s="4">
        <v>211</v>
      </c>
      <c r="L151" s="4">
        <v>25</v>
      </c>
      <c r="M151" s="4">
        <v>3</v>
      </c>
      <c r="N151" s="4" t="s">
        <v>3</v>
      </c>
      <c r="O151" s="4">
        <v>2</v>
      </c>
      <c r="P151" s="4"/>
      <c r="Q151" s="4"/>
      <c r="R151" s="4"/>
      <c r="S151" s="4"/>
      <c r="T151" s="4"/>
      <c r="U151" s="4"/>
      <c r="V151" s="4"/>
      <c r="W151" s="4"/>
    </row>
    <row r="152" spans="1:245" x14ac:dyDescent="0.2">
      <c r="A152" s="4">
        <v>50</v>
      </c>
      <c r="B152" s="4">
        <v>0</v>
      </c>
      <c r="C152" s="4">
        <v>0</v>
      </c>
      <c r="D152" s="4">
        <v>1</v>
      </c>
      <c r="E152" s="4">
        <v>224</v>
      </c>
      <c r="F152" s="4">
        <f>ROUND(Source!AR125,O152)</f>
        <v>62590.46</v>
      </c>
      <c r="G152" s="4" t="s">
        <v>124</v>
      </c>
      <c r="H152" s="4" t="s">
        <v>125</v>
      </c>
      <c r="I152" s="4"/>
      <c r="J152" s="4"/>
      <c r="K152" s="4">
        <v>224</v>
      </c>
      <c r="L152" s="4">
        <v>26</v>
      </c>
      <c r="M152" s="4">
        <v>3</v>
      </c>
      <c r="N152" s="4" t="s">
        <v>3</v>
      </c>
      <c r="O152" s="4">
        <v>2</v>
      </c>
      <c r="P152" s="4"/>
      <c r="Q152" s="4"/>
      <c r="R152" s="4"/>
      <c r="S152" s="4"/>
      <c r="T152" s="4"/>
      <c r="U152" s="4"/>
      <c r="V152" s="4"/>
      <c r="W152" s="4"/>
    </row>
    <row r="154" spans="1:245" x14ac:dyDescent="0.2">
      <c r="A154" s="1">
        <v>5</v>
      </c>
      <c r="B154" s="1">
        <v>1</v>
      </c>
      <c r="C154" s="1"/>
      <c r="D154" s="1">
        <f>ROW(A163)</f>
        <v>163</v>
      </c>
      <c r="E154" s="1"/>
      <c r="F154" s="1" t="s">
        <v>15</v>
      </c>
      <c r="G154" s="1" t="s">
        <v>152</v>
      </c>
      <c r="H154" s="1" t="s">
        <v>3</v>
      </c>
      <c r="I154" s="1">
        <v>0</v>
      </c>
      <c r="J154" s="1"/>
      <c r="K154" s="1">
        <v>0</v>
      </c>
      <c r="L154" s="1"/>
      <c r="M154" s="1"/>
      <c r="N154" s="1"/>
      <c r="O154" s="1"/>
      <c r="P154" s="1"/>
      <c r="Q154" s="1"/>
      <c r="R154" s="1"/>
      <c r="S154" s="1"/>
      <c r="T154" s="1"/>
      <c r="U154" s="1" t="s">
        <v>3</v>
      </c>
      <c r="V154" s="1">
        <v>0</v>
      </c>
      <c r="W154" s="1"/>
      <c r="X154" s="1"/>
      <c r="Y154" s="1"/>
      <c r="Z154" s="1"/>
      <c r="AA154" s="1"/>
      <c r="AB154" s="1" t="s">
        <v>3</v>
      </c>
      <c r="AC154" s="1" t="s">
        <v>3</v>
      </c>
      <c r="AD154" s="1" t="s">
        <v>3</v>
      </c>
      <c r="AE154" s="1" t="s">
        <v>3</v>
      </c>
      <c r="AF154" s="1" t="s">
        <v>3</v>
      </c>
      <c r="AG154" s="1" t="s">
        <v>3</v>
      </c>
      <c r="AH154" s="1"/>
      <c r="AI154" s="1"/>
      <c r="AJ154" s="1"/>
      <c r="AK154" s="1"/>
      <c r="AL154" s="1"/>
      <c r="AM154" s="1"/>
      <c r="AN154" s="1"/>
      <c r="AO154" s="1"/>
      <c r="AP154" s="1" t="s">
        <v>3</v>
      </c>
      <c r="AQ154" s="1" t="s">
        <v>3</v>
      </c>
      <c r="AR154" s="1" t="s">
        <v>3</v>
      </c>
      <c r="AS154" s="1"/>
      <c r="AT154" s="1"/>
      <c r="AU154" s="1"/>
      <c r="AV154" s="1"/>
      <c r="AW154" s="1"/>
      <c r="AX154" s="1"/>
      <c r="AY154" s="1"/>
      <c r="AZ154" s="1" t="s">
        <v>3</v>
      </c>
      <c r="BA154" s="1"/>
      <c r="BB154" s="1" t="s">
        <v>3</v>
      </c>
      <c r="BC154" s="1" t="s">
        <v>3</v>
      </c>
      <c r="BD154" s="1" t="s">
        <v>3</v>
      </c>
      <c r="BE154" s="1" t="s">
        <v>3</v>
      </c>
      <c r="BF154" s="1" t="s">
        <v>3</v>
      </c>
      <c r="BG154" s="1" t="s">
        <v>3</v>
      </c>
      <c r="BH154" s="1" t="s">
        <v>3</v>
      </c>
      <c r="BI154" s="1" t="s">
        <v>3</v>
      </c>
      <c r="BJ154" s="1" t="s">
        <v>3</v>
      </c>
      <c r="BK154" s="1" t="s">
        <v>3</v>
      </c>
      <c r="BL154" s="1" t="s">
        <v>3</v>
      </c>
      <c r="BM154" s="1" t="s">
        <v>3</v>
      </c>
      <c r="BN154" s="1" t="s">
        <v>3</v>
      </c>
      <c r="BO154" s="1" t="s">
        <v>3</v>
      </c>
      <c r="BP154" s="1" t="s">
        <v>3</v>
      </c>
      <c r="BQ154" s="1"/>
      <c r="BR154" s="1"/>
      <c r="BS154" s="1"/>
      <c r="BT154" s="1"/>
      <c r="BU154" s="1"/>
      <c r="BV154" s="1"/>
      <c r="BW154" s="1"/>
      <c r="BX154" s="1">
        <v>0</v>
      </c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>
        <v>0</v>
      </c>
    </row>
    <row r="156" spans="1:245" x14ac:dyDescent="0.2">
      <c r="A156" s="2">
        <v>52</v>
      </c>
      <c r="B156" s="2">
        <f t="shared" ref="B156:G156" si="126">B163</f>
        <v>1</v>
      </c>
      <c r="C156" s="2">
        <f t="shared" si="126"/>
        <v>5</v>
      </c>
      <c r="D156" s="2">
        <f t="shared" si="126"/>
        <v>154</v>
      </c>
      <c r="E156" s="2">
        <f t="shared" si="126"/>
        <v>0</v>
      </c>
      <c r="F156" s="2" t="str">
        <f t="shared" si="126"/>
        <v>Новый подраздел</v>
      </c>
      <c r="G156" s="2" t="str">
        <f t="shared" si="126"/>
        <v>3.2</v>
      </c>
      <c r="H156" s="2"/>
      <c r="I156" s="2"/>
      <c r="J156" s="2"/>
      <c r="K156" s="2"/>
      <c r="L156" s="2"/>
      <c r="M156" s="2"/>
      <c r="N156" s="2"/>
      <c r="O156" s="2">
        <f t="shared" ref="O156:AT156" si="127">O163</f>
        <v>7456.89</v>
      </c>
      <c r="P156" s="2">
        <f t="shared" si="127"/>
        <v>0</v>
      </c>
      <c r="Q156" s="2">
        <f t="shared" si="127"/>
        <v>578.65</v>
      </c>
      <c r="R156" s="2">
        <f t="shared" si="127"/>
        <v>338.98</v>
      </c>
      <c r="S156" s="2">
        <f t="shared" si="127"/>
        <v>6878.24</v>
      </c>
      <c r="T156" s="2">
        <f t="shared" si="127"/>
        <v>0</v>
      </c>
      <c r="U156" s="2">
        <f t="shared" si="127"/>
        <v>36.181439999999995</v>
      </c>
      <c r="V156" s="2">
        <f t="shared" si="127"/>
        <v>0</v>
      </c>
      <c r="W156" s="2">
        <f t="shared" si="127"/>
        <v>0</v>
      </c>
      <c r="X156" s="2">
        <f t="shared" si="127"/>
        <v>6138.43</v>
      </c>
      <c r="Y156" s="2">
        <f t="shared" si="127"/>
        <v>3047.42</v>
      </c>
      <c r="Z156" s="2">
        <f t="shared" si="127"/>
        <v>0</v>
      </c>
      <c r="AA156" s="2">
        <f t="shared" si="127"/>
        <v>0</v>
      </c>
      <c r="AB156" s="2">
        <f t="shared" si="127"/>
        <v>7456.89</v>
      </c>
      <c r="AC156" s="2">
        <f t="shared" si="127"/>
        <v>0</v>
      </c>
      <c r="AD156" s="2">
        <f t="shared" si="127"/>
        <v>578.65</v>
      </c>
      <c r="AE156" s="2">
        <f t="shared" si="127"/>
        <v>338.98</v>
      </c>
      <c r="AF156" s="2">
        <f t="shared" si="127"/>
        <v>6878.24</v>
      </c>
      <c r="AG156" s="2">
        <f t="shared" si="127"/>
        <v>0</v>
      </c>
      <c r="AH156" s="2">
        <f t="shared" si="127"/>
        <v>36.181439999999995</v>
      </c>
      <c r="AI156" s="2">
        <f t="shared" si="127"/>
        <v>0</v>
      </c>
      <c r="AJ156" s="2">
        <f t="shared" si="127"/>
        <v>0</v>
      </c>
      <c r="AK156" s="2">
        <f t="shared" si="127"/>
        <v>6138.43</v>
      </c>
      <c r="AL156" s="2">
        <f t="shared" si="127"/>
        <v>3047.42</v>
      </c>
      <c r="AM156" s="2">
        <f t="shared" si="127"/>
        <v>0</v>
      </c>
      <c r="AN156" s="2">
        <f t="shared" si="127"/>
        <v>0</v>
      </c>
      <c r="AO156" s="2">
        <f t="shared" si="127"/>
        <v>0</v>
      </c>
      <c r="AP156" s="2">
        <f t="shared" si="127"/>
        <v>0</v>
      </c>
      <c r="AQ156" s="2">
        <f t="shared" si="127"/>
        <v>0</v>
      </c>
      <c r="AR156" s="2">
        <f t="shared" si="127"/>
        <v>17208.84</v>
      </c>
      <c r="AS156" s="2">
        <f t="shared" si="127"/>
        <v>17208.84</v>
      </c>
      <c r="AT156" s="2">
        <f t="shared" si="127"/>
        <v>0</v>
      </c>
      <c r="AU156" s="2">
        <f t="shared" ref="AU156:BZ156" si="128">AU163</f>
        <v>0</v>
      </c>
      <c r="AV156" s="2">
        <f t="shared" si="128"/>
        <v>0</v>
      </c>
      <c r="AW156" s="2">
        <f t="shared" si="128"/>
        <v>0</v>
      </c>
      <c r="AX156" s="2">
        <f t="shared" si="128"/>
        <v>0</v>
      </c>
      <c r="AY156" s="2">
        <f t="shared" si="128"/>
        <v>0</v>
      </c>
      <c r="AZ156" s="2">
        <f t="shared" si="128"/>
        <v>0</v>
      </c>
      <c r="BA156" s="2">
        <f t="shared" si="128"/>
        <v>0</v>
      </c>
      <c r="BB156" s="2">
        <f t="shared" si="128"/>
        <v>0</v>
      </c>
      <c r="BC156" s="2">
        <f t="shared" si="128"/>
        <v>0</v>
      </c>
      <c r="BD156" s="2">
        <f t="shared" si="128"/>
        <v>0</v>
      </c>
      <c r="BE156" s="2">
        <f t="shared" si="128"/>
        <v>0</v>
      </c>
      <c r="BF156" s="2">
        <f t="shared" si="128"/>
        <v>0</v>
      </c>
      <c r="BG156" s="2">
        <f t="shared" si="128"/>
        <v>0</v>
      </c>
      <c r="BH156" s="2">
        <f t="shared" si="128"/>
        <v>0</v>
      </c>
      <c r="BI156" s="2">
        <f t="shared" si="128"/>
        <v>0</v>
      </c>
      <c r="BJ156" s="2">
        <f t="shared" si="128"/>
        <v>0</v>
      </c>
      <c r="BK156" s="2">
        <f t="shared" si="128"/>
        <v>0</v>
      </c>
      <c r="BL156" s="2">
        <f t="shared" si="128"/>
        <v>0</v>
      </c>
      <c r="BM156" s="2">
        <f t="shared" si="128"/>
        <v>0</v>
      </c>
      <c r="BN156" s="2">
        <f t="shared" si="128"/>
        <v>0</v>
      </c>
      <c r="BO156" s="2">
        <f t="shared" si="128"/>
        <v>0</v>
      </c>
      <c r="BP156" s="2">
        <f t="shared" si="128"/>
        <v>0</v>
      </c>
      <c r="BQ156" s="2">
        <f t="shared" si="128"/>
        <v>0</v>
      </c>
      <c r="BR156" s="2">
        <f t="shared" si="128"/>
        <v>0</v>
      </c>
      <c r="BS156" s="2">
        <f t="shared" si="128"/>
        <v>0</v>
      </c>
      <c r="BT156" s="2">
        <f t="shared" si="128"/>
        <v>0</v>
      </c>
      <c r="BU156" s="2">
        <f t="shared" si="128"/>
        <v>0</v>
      </c>
      <c r="BV156" s="2">
        <f t="shared" si="128"/>
        <v>0</v>
      </c>
      <c r="BW156" s="2">
        <f t="shared" si="128"/>
        <v>0</v>
      </c>
      <c r="BX156" s="2">
        <f t="shared" si="128"/>
        <v>0</v>
      </c>
      <c r="BY156" s="2">
        <f t="shared" si="128"/>
        <v>0</v>
      </c>
      <c r="BZ156" s="2">
        <f t="shared" si="128"/>
        <v>0</v>
      </c>
      <c r="CA156" s="2">
        <f t="shared" ref="CA156:DF156" si="129">CA163</f>
        <v>17208.84</v>
      </c>
      <c r="CB156" s="2">
        <f t="shared" si="129"/>
        <v>17208.84</v>
      </c>
      <c r="CC156" s="2">
        <f t="shared" si="129"/>
        <v>0</v>
      </c>
      <c r="CD156" s="2">
        <f t="shared" si="129"/>
        <v>0</v>
      </c>
      <c r="CE156" s="2">
        <f t="shared" si="129"/>
        <v>0</v>
      </c>
      <c r="CF156" s="2">
        <f t="shared" si="129"/>
        <v>0</v>
      </c>
      <c r="CG156" s="2">
        <f t="shared" si="129"/>
        <v>0</v>
      </c>
      <c r="CH156" s="2">
        <f t="shared" si="129"/>
        <v>0</v>
      </c>
      <c r="CI156" s="2">
        <f t="shared" si="129"/>
        <v>0</v>
      </c>
      <c r="CJ156" s="2">
        <f t="shared" si="129"/>
        <v>0</v>
      </c>
      <c r="CK156" s="2">
        <f t="shared" si="129"/>
        <v>0</v>
      </c>
      <c r="CL156" s="2">
        <f t="shared" si="129"/>
        <v>0</v>
      </c>
      <c r="CM156" s="2">
        <f t="shared" si="129"/>
        <v>0</v>
      </c>
      <c r="CN156" s="2">
        <f t="shared" si="129"/>
        <v>0</v>
      </c>
      <c r="CO156" s="2">
        <f t="shared" si="129"/>
        <v>0</v>
      </c>
      <c r="CP156" s="2">
        <f t="shared" si="129"/>
        <v>0</v>
      </c>
      <c r="CQ156" s="2">
        <f t="shared" si="129"/>
        <v>0</v>
      </c>
      <c r="CR156" s="2">
        <f t="shared" si="129"/>
        <v>0</v>
      </c>
      <c r="CS156" s="2">
        <f t="shared" si="129"/>
        <v>0</v>
      </c>
      <c r="CT156" s="2">
        <f t="shared" si="129"/>
        <v>0</v>
      </c>
      <c r="CU156" s="2">
        <f t="shared" si="129"/>
        <v>0</v>
      </c>
      <c r="CV156" s="2">
        <f t="shared" si="129"/>
        <v>0</v>
      </c>
      <c r="CW156" s="2">
        <f t="shared" si="129"/>
        <v>0</v>
      </c>
      <c r="CX156" s="2">
        <f t="shared" si="129"/>
        <v>0</v>
      </c>
      <c r="CY156" s="2">
        <f t="shared" si="129"/>
        <v>0</v>
      </c>
      <c r="CZ156" s="2">
        <f t="shared" si="129"/>
        <v>0</v>
      </c>
      <c r="DA156" s="2">
        <f t="shared" si="129"/>
        <v>0</v>
      </c>
      <c r="DB156" s="2">
        <f t="shared" si="129"/>
        <v>0</v>
      </c>
      <c r="DC156" s="2">
        <f t="shared" si="129"/>
        <v>0</v>
      </c>
      <c r="DD156" s="2">
        <f t="shared" si="129"/>
        <v>0</v>
      </c>
      <c r="DE156" s="2">
        <f t="shared" si="129"/>
        <v>0</v>
      </c>
      <c r="DF156" s="2">
        <f t="shared" si="129"/>
        <v>0</v>
      </c>
      <c r="DG156" s="3">
        <f t="shared" ref="DG156:EL156" si="130">DG163</f>
        <v>0</v>
      </c>
      <c r="DH156" s="3">
        <f t="shared" si="130"/>
        <v>0</v>
      </c>
      <c r="DI156" s="3">
        <f t="shared" si="130"/>
        <v>0</v>
      </c>
      <c r="DJ156" s="3">
        <f t="shared" si="130"/>
        <v>0</v>
      </c>
      <c r="DK156" s="3">
        <f t="shared" si="130"/>
        <v>0</v>
      </c>
      <c r="DL156" s="3">
        <f t="shared" si="130"/>
        <v>0</v>
      </c>
      <c r="DM156" s="3">
        <f t="shared" si="130"/>
        <v>0</v>
      </c>
      <c r="DN156" s="3">
        <f t="shared" si="130"/>
        <v>0</v>
      </c>
      <c r="DO156" s="3">
        <f t="shared" si="130"/>
        <v>0</v>
      </c>
      <c r="DP156" s="3">
        <f t="shared" si="130"/>
        <v>0</v>
      </c>
      <c r="DQ156" s="3">
        <f t="shared" si="130"/>
        <v>0</v>
      </c>
      <c r="DR156" s="3">
        <f t="shared" si="130"/>
        <v>0</v>
      </c>
      <c r="DS156" s="3">
        <f t="shared" si="130"/>
        <v>0</v>
      </c>
      <c r="DT156" s="3">
        <f t="shared" si="130"/>
        <v>0</v>
      </c>
      <c r="DU156" s="3">
        <f t="shared" si="130"/>
        <v>0</v>
      </c>
      <c r="DV156" s="3">
        <f t="shared" si="130"/>
        <v>0</v>
      </c>
      <c r="DW156" s="3">
        <f t="shared" si="130"/>
        <v>0</v>
      </c>
      <c r="DX156" s="3">
        <f t="shared" si="130"/>
        <v>0</v>
      </c>
      <c r="DY156" s="3">
        <f t="shared" si="130"/>
        <v>0</v>
      </c>
      <c r="DZ156" s="3">
        <f t="shared" si="130"/>
        <v>0</v>
      </c>
      <c r="EA156" s="3">
        <f t="shared" si="130"/>
        <v>0</v>
      </c>
      <c r="EB156" s="3">
        <f t="shared" si="130"/>
        <v>0</v>
      </c>
      <c r="EC156" s="3">
        <f t="shared" si="130"/>
        <v>0</v>
      </c>
      <c r="ED156" s="3">
        <f t="shared" si="130"/>
        <v>0</v>
      </c>
      <c r="EE156" s="3">
        <f t="shared" si="130"/>
        <v>0</v>
      </c>
      <c r="EF156" s="3">
        <f t="shared" si="130"/>
        <v>0</v>
      </c>
      <c r="EG156" s="3">
        <f t="shared" si="130"/>
        <v>0</v>
      </c>
      <c r="EH156" s="3">
        <f t="shared" si="130"/>
        <v>0</v>
      </c>
      <c r="EI156" s="3">
        <f t="shared" si="130"/>
        <v>0</v>
      </c>
      <c r="EJ156" s="3">
        <f t="shared" si="130"/>
        <v>0</v>
      </c>
      <c r="EK156" s="3">
        <f t="shared" si="130"/>
        <v>0</v>
      </c>
      <c r="EL156" s="3">
        <f t="shared" si="130"/>
        <v>0</v>
      </c>
      <c r="EM156" s="3">
        <f t="shared" ref="EM156:FR156" si="131">EM163</f>
        <v>0</v>
      </c>
      <c r="EN156" s="3">
        <f t="shared" si="131"/>
        <v>0</v>
      </c>
      <c r="EO156" s="3">
        <f t="shared" si="131"/>
        <v>0</v>
      </c>
      <c r="EP156" s="3">
        <f t="shared" si="131"/>
        <v>0</v>
      </c>
      <c r="EQ156" s="3">
        <f t="shared" si="131"/>
        <v>0</v>
      </c>
      <c r="ER156" s="3">
        <f t="shared" si="131"/>
        <v>0</v>
      </c>
      <c r="ES156" s="3">
        <f t="shared" si="131"/>
        <v>0</v>
      </c>
      <c r="ET156" s="3">
        <f t="shared" si="131"/>
        <v>0</v>
      </c>
      <c r="EU156" s="3">
        <f t="shared" si="131"/>
        <v>0</v>
      </c>
      <c r="EV156" s="3">
        <f t="shared" si="131"/>
        <v>0</v>
      </c>
      <c r="EW156" s="3">
        <f t="shared" si="131"/>
        <v>0</v>
      </c>
      <c r="EX156" s="3">
        <f t="shared" si="131"/>
        <v>0</v>
      </c>
      <c r="EY156" s="3">
        <f t="shared" si="131"/>
        <v>0</v>
      </c>
      <c r="EZ156" s="3">
        <f t="shared" si="131"/>
        <v>0</v>
      </c>
      <c r="FA156" s="3">
        <f t="shared" si="131"/>
        <v>0</v>
      </c>
      <c r="FB156" s="3">
        <f t="shared" si="131"/>
        <v>0</v>
      </c>
      <c r="FC156" s="3">
        <f t="shared" si="131"/>
        <v>0</v>
      </c>
      <c r="FD156" s="3">
        <f t="shared" si="131"/>
        <v>0</v>
      </c>
      <c r="FE156" s="3">
        <f t="shared" si="131"/>
        <v>0</v>
      </c>
      <c r="FF156" s="3">
        <f t="shared" si="131"/>
        <v>0</v>
      </c>
      <c r="FG156" s="3">
        <f t="shared" si="131"/>
        <v>0</v>
      </c>
      <c r="FH156" s="3">
        <f t="shared" si="131"/>
        <v>0</v>
      </c>
      <c r="FI156" s="3">
        <f t="shared" si="131"/>
        <v>0</v>
      </c>
      <c r="FJ156" s="3">
        <f t="shared" si="131"/>
        <v>0</v>
      </c>
      <c r="FK156" s="3">
        <f t="shared" si="131"/>
        <v>0</v>
      </c>
      <c r="FL156" s="3">
        <f t="shared" si="131"/>
        <v>0</v>
      </c>
      <c r="FM156" s="3">
        <f t="shared" si="131"/>
        <v>0</v>
      </c>
      <c r="FN156" s="3">
        <f t="shared" si="131"/>
        <v>0</v>
      </c>
      <c r="FO156" s="3">
        <f t="shared" si="131"/>
        <v>0</v>
      </c>
      <c r="FP156" s="3">
        <f t="shared" si="131"/>
        <v>0</v>
      </c>
      <c r="FQ156" s="3">
        <f t="shared" si="131"/>
        <v>0</v>
      </c>
      <c r="FR156" s="3">
        <f t="shared" si="131"/>
        <v>0</v>
      </c>
      <c r="FS156" s="3">
        <f t="shared" ref="FS156:GX156" si="132">FS163</f>
        <v>0</v>
      </c>
      <c r="FT156" s="3">
        <f t="shared" si="132"/>
        <v>0</v>
      </c>
      <c r="FU156" s="3">
        <f t="shared" si="132"/>
        <v>0</v>
      </c>
      <c r="FV156" s="3">
        <f t="shared" si="132"/>
        <v>0</v>
      </c>
      <c r="FW156" s="3">
        <f t="shared" si="132"/>
        <v>0</v>
      </c>
      <c r="FX156" s="3">
        <f t="shared" si="132"/>
        <v>0</v>
      </c>
      <c r="FY156" s="3">
        <f t="shared" si="132"/>
        <v>0</v>
      </c>
      <c r="FZ156" s="3">
        <f t="shared" si="132"/>
        <v>0</v>
      </c>
      <c r="GA156" s="3">
        <f t="shared" si="132"/>
        <v>0</v>
      </c>
      <c r="GB156" s="3">
        <f t="shared" si="132"/>
        <v>0</v>
      </c>
      <c r="GC156" s="3">
        <f t="shared" si="132"/>
        <v>0</v>
      </c>
      <c r="GD156" s="3">
        <f t="shared" si="132"/>
        <v>0</v>
      </c>
      <c r="GE156" s="3">
        <f t="shared" si="132"/>
        <v>0</v>
      </c>
      <c r="GF156" s="3">
        <f t="shared" si="132"/>
        <v>0</v>
      </c>
      <c r="GG156" s="3">
        <f t="shared" si="132"/>
        <v>0</v>
      </c>
      <c r="GH156" s="3">
        <f t="shared" si="132"/>
        <v>0</v>
      </c>
      <c r="GI156" s="3">
        <f t="shared" si="132"/>
        <v>0</v>
      </c>
      <c r="GJ156" s="3">
        <f t="shared" si="132"/>
        <v>0</v>
      </c>
      <c r="GK156" s="3">
        <f t="shared" si="132"/>
        <v>0</v>
      </c>
      <c r="GL156" s="3">
        <f t="shared" si="132"/>
        <v>0</v>
      </c>
      <c r="GM156" s="3">
        <f t="shared" si="132"/>
        <v>0</v>
      </c>
      <c r="GN156" s="3">
        <f t="shared" si="132"/>
        <v>0</v>
      </c>
      <c r="GO156" s="3">
        <f t="shared" si="132"/>
        <v>0</v>
      </c>
      <c r="GP156" s="3">
        <f t="shared" si="132"/>
        <v>0</v>
      </c>
      <c r="GQ156" s="3">
        <f t="shared" si="132"/>
        <v>0</v>
      </c>
      <c r="GR156" s="3">
        <f t="shared" si="132"/>
        <v>0</v>
      </c>
      <c r="GS156" s="3">
        <f t="shared" si="132"/>
        <v>0</v>
      </c>
      <c r="GT156" s="3">
        <f t="shared" si="132"/>
        <v>0</v>
      </c>
      <c r="GU156" s="3">
        <f t="shared" si="132"/>
        <v>0</v>
      </c>
      <c r="GV156" s="3">
        <f t="shared" si="132"/>
        <v>0</v>
      </c>
      <c r="GW156" s="3">
        <f t="shared" si="132"/>
        <v>0</v>
      </c>
      <c r="GX156" s="3">
        <f t="shared" si="132"/>
        <v>0</v>
      </c>
    </row>
    <row r="158" spans="1:245" x14ac:dyDescent="0.2">
      <c r="A158">
        <v>17</v>
      </c>
      <c r="B158">
        <v>1</v>
      </c>
      <c r="E158" t="s">
        <v>153</v>
      </c>
      <c r="F158" t="s">
        <v>29</v>
      </c>
      <c r="G158" t="s">
        <v>154</v>
      </c>
      <c r="H158" t="s">
        <v>20</v>
      </c>
      <c r="I158">
        <f>ROUND(9.6/100,9)</f>
        <v>9.6000000000000002E-2</v>
      </c>
      <c r="J158">
        <v>0</v>
      </c>
      <c r="O158">
        <f>ROUND(CP158,2)</f>
        <v>3551.22</v>
      </c>
      <c r="P158">
        <f>ROUND(CQ158*I158,2)</f>
        <v>0</v>
      </c>
      <c r="Q158">
        <f>ROUND(CR158*I158,2)</f>
        <v>0</v>
      </c>
      <c r="R158">
        <f>ROUND(CS158*I158,2)</f>
        <v>0</v>
      </c>
      <c r="S158">
        <f>ROUND(CT158*I158,2)</f>
        <v>3551.22</v>
      </c>
      <c r="T158">
        <f>ROUND(CU158*I158,2)</f>
        <v>0</v>
      </c>
      <c r="U158">
        <f>CV158*I158</f>
        <v>18.499199999999998</v>
      </c>
      <c r="V158">
        <f>CW158*I158</f>
        <v>0</v>
      </c>
      <c r="W158">
        <f>ROUND(CX158*I158,2)</f>
        <v>0</v>
      </c>
      <c r="X158">
        <f t="shared" ref="X158:Y161" si="133">ROUND(CY158,2)</f>
        <v>3160.59</v>
      </c>
      <c r="Y158">
        <f t="shared" si="133"/>
        <v>1562.54</v>
      </c>
      <c r="AA158">
        <v>42446460</v>
      </c>
      <c r="AB158">
        <f>ROUND((AC158+AD158+AF158),6)</f>
        <v>2042.62</v>
      </c>
      <c r="AC158">
        <f>ROUND((ES158),6)</f>
        <v>0</v>
      </c>
      <c r="AD158">
        <f>ROUND((((ET158)-(EU158))+AE158),6)</f>
        <v>0</v>
      </c>
      <c r="AE158">
        <f t="shared" ref="AE158:AF161" si="134">ROUND((EU158),6)</f>
        <v>0</v>
      </c>
      <c r="AF158">
        <f t="shared" si="134"/>
        <v>2042.62</v>
      </c>
      <c r="AG158">
        <f>ROUND((AP158),6)</f>
        <v>0</v>
      </c>
      <c r="AH158">
        <f t="shared" ref="AH158:AI161" si="135">(EW158)</f>
        <v>192.7</v>
      </c>
      <c r="AI158">
        <f t="shared" si="135"/>
        <v>0</v>
      </c>
      <c r="AJ158">
        <f>ROUND((AS158),6)</f>
        <v>0</v>
      </c>
      <c r="AK158">
        <v>2042.62</v>
      </c>
      <c r="AL158">
        <v>0</v>
      </c>
      <c r="AM158">
        <v>0</v>
      </c>
      <c r="AN158">
        <v>0</v>
      </c>
      <c r="AO158">
        <v>2042.62</v>
      </c>
      <c r="AP158">
        <v>0</v>
      </c>
      <c r="AQ158">
        <v>192.7</v>
      </c>
      <c r="AR158">
        <v>0</v>
      </c>
      <c r="AS158">
        <v>0</v>
      </c>
      <c r="AT158">
        <v>89</v>
      </c>
      <c r="AU158">
        <v>44</v>
      </c>
      <c r="AV158">
        <v>1</v>
      </c>
      <c r="AW158">
        <v>1</v>
      </c>
      <c r="AZ158">
        <v>1</v>
      </c>
      <c r="BA158">
        <v>18.11</v>
      </c>
      <c r="BB158">
        <v>1</v>
      </c>
      <c r="BC158">
        <v>1</v>
      </c>
      <c r="BD158" t="s">
        <v>3</v>
      </c>
      <c r="BE158" t="s">
        <v>3</v>
      </c>
      <c r="BF158" t="s">
        <v>3</v>
      </c>
      <c r="BG158" t="s">
        <v>3</v>
      </c>
      <c r="BH158">
        <v>0</v>
      </c>
      <c r="BI158">
        <v>1</v>
      </c>
      <c r="BJ158" t="s">
        <v>31</v>
      </c>
      <c r="BM158">
        <v>16</v>
      </c>
      <c r="BN158">
        <v>0</v>
      </c>
      <c r="BO158" t="s">
        <v>29</v>
      </c>
      <c r="BP158">
        <v>1</v>
      </c>
      <c r="BQ158">
        <v>30</v>
      </c>
      <c r="BR158">
        <v>0</v>
      </c>
      <c r="BS158">
        <v>18.11</v>
      </c>
      <c r="BT158">
        <v>1</v>
      </c>
      <c r="BU158">
        <v>1</v>
      </c>
      <c r="BV158">
        <v>1</v>
      </c>
      <c r="BW158">
        <v>1</v>
      </c>
      <c r="BX158">
        <v>1</v>
      </c>
      <c r="BY158" t="s">
        <v>3</v>
      </c>
      <c r="BZ158">
        <v>89</v>
      </c>
      <c r="CA158">
        <v>44</v>
      </c>
      <c r="CF158">
        <v>0</v>
      </c>
      <c r="CG158">
        <v>0</v>
      </c>
      <c r="CM158">
        <v>0</v>
      </c>
      <c r="CN158" t="s">
        <v>3</v>
      </c>
      <c r="CO158">
        <v>0</v>
      </c>
      <c r="CP158">
        <f>(P158+Q158+S158)</f>
        <v>3551.22</v>
      </c>
      <c r="CQ158">
        <f>(AC158*BC158*AW158)</f>
        <v>0</v>
      </c>
      <c r="CR158">
        <f>((((ET158)*BB158-(EU158)*BS158)+AE158*BS158)*AV158)</f>
        <v>0</v>
      </c>
      <c r="CS158">
        <f>(AE158*BS158*AV158)</f>
        <v>0</v>
      </c>
      <c r="CT158">
        <f>(AF158*BA158*AV158)</f>
        <v>36991.8482</v>
      </c>
      <c r="CU158">
        <f>AG158</f>
        <v>0</v>
      </c>
      <c r="CV158">
        <f>(AH158*AV158)</f>
        <v>192.7</v>
      </c>
      <c r="CW158">
        <f t="shared" ref="CW158:CX161" si="136">AI158</f>
        <v>0</v>
      </c>
      <c r="CX158">
        <f t="shared" si="136"/>
        <v>0</v>
      </c>
      <c r="CY158">
        <f>S158*(BZ158/100)</f>
        <v>3160.5857999999998</v>
      </c>
      <c r="CZ158">
        <f>S158*(CA158/100)</f>
        <v>1562.5367999999999</v>
      </c>
      <c r="DC158" t="s">
        <v>3</v>
      </c>
      <c r="DD158" t="s">
        <v>3</v>
      </c>
      <c r="DE158" t="s">
        <v>3</v>
      </c>
      <c r="DF158" t="s">
        <v>3</v>
      </c>
      <c r="DG158" t="s">
        <v>3</v>
      </c>
      <c r="DH158" t="s">
        <v>3</v>
      </c>
      <c r="DI158" t="s">
        <v>3</v>
      </c>
      <c r="DJ158" t="s">
        <v>3</v>
      </c>
      <c r="DK158" t="s">
        <v>3</v>
      </c>
      <c r="DL158" t="s">
        <v>3</v>
      </c>
      <c r="DM158" t="s">
        <v>3</v>
      </c>
      <c r="DN158">
        <v>105</v>
      </c>
      <c r="DO158">
        <v>77</v>
      </c>
      <c r="DP158">
        <v>1.248</v>
      </c>
      <c r="DQ158">
        <v>1</v>
      </c>
      <c r="DU158">
        <v>1013</v>
      </c>
      <c r="DV158" t="s">
        <v>20</v>
      </c>
      <c r="DW158" t="s">
        <v>20</v>
      </c>
      <c r="DX158">
        <v>1</v>
      </c>
      <c r="EE158">
        <v>42186063</v>
      </c>
      <c r="EF158">
        <v>30</v>
      </c>
      <c r="EG158" t="s">
        <v>14</v>
      </c>
      <c r="EH158">
        <v>0</v>
      </c>
      <c r="EI158" t="s">
        <v>3</v>
      </c>
      <c r="EJ158">
        <v>1</v>
      </c>
      <c r="EK158">
        <v>16</v>
      </c>
      <c r="EL158" t="s">
        <v>32</v>
      </c>
      <c r="EM158" t="s">
        <v>33</v>
      </c>
      <c r="EO158" t="s">
        <v>3</v>
      </c>
      <c r="EQ158">
        <v>131072</v>
      </c>
      <c r="ER158">
        <v>2042.62</v>
      </c>
      <c r="ES158">
        <v>0</v>
      </c>
      <c r="ET158">
        <v>0</v>
      </c>
      <c r="EU158">
        <v>0</v>
      </c>
      <c r="EV158">
        <v>2042.62</v>
      </c>
      <c r="EW158">
        <v>192.7</v>
      </c>
      <c r="EX158">
        <v>0</v>
      </c>
      <c r="EY158">
        <v>0</v>
      </c>
      <c r="FQ158">
        <v>0</v>
      </c>
      <c r="FR158">
        <f>ROUND(IF(AND(BH158=3,BI158=3),P158,0),2)</f>
        <v>0</v>
      </c>
      <c r="FS158">
        <v>0</v>
      </c>
      <c r="FX158">
        <v>105</v>
      </c>
      <c r="FY158">
        <v>77</v>
      </c>
      <c r="GA158" t="s">
        <v>3</v>
      </c>
      <c r="GD158">
        <v>0</v>
      </c>
      <c r="GF158">
        <v>-1632341149</v>
      </c>
      <c r="GG158">
        <v>2</v>
      </c>
      <c r="GH158">
        <v>0</v>
      </c>
      <c r="GI158">
        <v>0</v>
      </c>
      <c r="GJ158">
        <v>0</v>
      </c>
      <c r="GK158">
        <f>ROUND(R158*(R12)/100,2)</f>
        <v>0</v>
      </c>
      <c r="GL158">
        <f>ROUND(IF(AND(BH158=3,BI158=3,FS158&lt;&gt;0),P158,0),2)</f>
        <v>0</v>
      </c>
      <c r="GM158">
        <f>ROUND(O158+X158+Y158+GK158,2)+GX158</f>
        <v>8274.35</v>
      </c>
      <c r="GN158">
        <f>IF(OR(BI158=0,BI158=1),ROUND(O158+X158+Y158+GK158,2),0)</f>
        <v>8274.35</v>
      </c>
      <c r="GO158">
        <f>IF(BI158=2,ROUND(O158+X158+Y158+GK158,2),0)</f>
        <v>0</v>
      </c>
      <c r="GP158">
        <f>IF(BI158=4,ROUND(O158+X158+Y158+GK158,2)+GX158,0)</f>
        <v>0</v>
      </c>
      <c r="GR158">
        <v>0</v>
      </c>
      <c r="GS158">
        <v>0</v>
      </c>
      <c r="GT158">
        <v>0</v>
      </c>
      <c r="GU158" t="s">
        <v>3</v>
      </c>
      <c r="GV158">
        <f>ROUND(GT158,6)</f>
        <v>0</v>
      </c>
      <c r="GW158">
        <v>1</v>
      </c>
      <c r="GX158">
        <f>ROUND(GV158*GW158*I158,2)</f>
        <v>0</v>
      </c>
      <c r="HA158">
        <v>0</v>
      </c>
      <c r="HB158">
        <v>0</v>
      </c>
      <c r="IK158">
        <v>0</v>
      </c>
    </row>
    <row r="159" spans="1:245" x14ac:dyDescent="0.2">
      <c r="A159">
        <v>17</v>
      </c>
      <c r="B159">
        <v>1</v>
      </c>
      <c r="D159">
        <f>ROW(EtalonRes!A34)</f>
        <v>34</v>
      </c>
      <c r="E159" t="s">
        <v>155</v>
      </c>
      <c r="F159" t="s">
        <v>71</v>
      </c>
      <c r="G159" t="s">
        <v>156</v>
      </c>
      <c r="H159" t="s">
        <v>20</v>
      </c>
      <c r="I159">
        <f>ROUND(9.6/100,9)</f>
        <v>9.6000000000000002E-2</v>
      </c>
      <c r="J159">
        <v>0</v>
      </c>
      <c r="O159">
        <f>ROUND(CP159,2)</f>
        <v>1827.45</v>
      </c>
      <c r="P159">
        <f>ROUND(CQ159*I159,2)</f>
        <v>0</v>
      </c>
      <c r="Q159">
        <f>ROUND(CR159*I159,2)</f>
        <v>0</v>
      </c>
      <c r="R159">
        <f>ROUND(CS159*I159,2)</f>
        <v>0</v>
      </c>
      <c r="S159">
        <f>ROUND(CT159*I159,2)</f>
        <v>1827.45</v>
      </c>
      <c r="T159">
        <f>ROUND(CU159*I159,2)</f>
        <v>0</v>
      </c>
      <c r="U159">
        <f>CV159*I159</f>
        <v>10.275840000000001</v>
      </c>
      <c r="V159">
        <f>CW159*I159</f>
        <v>0</v>
      </c>
      <c r="W159">
        <f>ROUND(CX159*I159,2)</f>
        <v>0</v>
      </c>
      <c r="X159">
        <f t="shared" si="133"/>
        <v>1626.43</v>
      </c>
      <c r="Y159">
        <f t="shared" si="133"/>
        <v>804.08</v>
      </c>
      <c r="AA159">
        <v>42446460</v>
      </c>
      <c r="AB159">
        <f>ROUND((AC159+AD159+AF159),6)</f>
        <v>1051.1300000000001</v>
      </c>
      <c r="AC159">
        <f>ROUND((ES159),6)</f>
        <v>0</v>
      </c>
      <c r="AD159">
        <f>ROUND((((ET159)-(EU159))+AE159),6)</f>
        <v>0</v>
      </c>
      <c r="AE159">
        <f t="shared" si="134"/>
        <v>0</v>
      </c>
      <c r="AF159">
        <f t="shared" si="134"/>
        <v>1051.1300000000001</v>
      </c>
      <c r="AG159">
        <f>ROUND((AP159),6)</f>
        <v>0</v>
      </c>
      <c r="AH159">
        <f t="shared" si="135"/>
        <v>107.04</v>
      </c>
      <c r="AI159">
        <f t="shared" si="135"/>
        <v>0</v>
      </c>
      <c r="AJ159">
        <f>ROUND((AS159),6)</f>
        <v>0</v>
      </c>
      <c r="AK159">
        <v>1051.1300000000001</v>
      </c>
      <c r="AL159">
        <v>0</v>
      </c>
      <c r="AM159">
        <v>0</v>
      </c>
      <c r="AN159">
        <v>0</v>
      </c>
      <c r="AO159">
        <v>1051.1300000000001</v>
      </c>
      <c r="AP159">
        <v>0</v>
      </c>
      <c r="AQ159">
        <v>107.04</v>
      </c>
      <c r="AR159">
        <v>0</v>
      </c>
      <c r="AS159">
        <v>0</v>
      </c>
      <c r="AT159">
        <v>89</v>
      </c>
      <c r="AU159">
        <v>44</v>
      </c>
      <c r="AV159">
        <v>1</v>
      </c>
      <c r="AW159">
        <v>1</v>
      </c>
      <c r="AZ159">
        <v>1</v>
      </c>
      <c r="BA159">
        <v>18.11</v>
      </c>
      <c r="BB159">
        <v>1</v>
      </c>
      <c r="BC159">
        <v>1</v>
      </c>
      <c r="BD159" t="s">
        <v>3</v>
      </c>
      <c r="BE159" t="s">
        <v>3</v>
      </c>
      <c r="BF159" t="s">
        <v>3</v>
      </c>
      <c r="BG159" t="s">
        <v>3</v>
      </c>
      <c r="BH159">
        <v>0</v>
      </c>
      <c r="BI159">
        <v>1</v>
      </c>
      <c r="BJ159" t="s">
        <v>73</v>
      </c>
      <c r="BM159">
        <v>16</v>
      </c>
      <c r="BN159">
        <v>0</v>
      </c>
      <c r="BO159" t="s">
        <v>71</v>
      </c>
      <c r="BP159">
        <v>1</v>
      </c>
      <c r="BQ159">
        <v>30</v>
      </c>
      <c r="BR159">
        <v>0</v>
      </c>
      <c r="BS159">
        <v>18.11</v>
      </c>
      <c r="BT159">
        <v>1</v>
      </c>
      <c r="BU159">
        <v>1</v>
      </c>
      <c r="BV159">
        <v>1</v>
      </c>
      <c r="BW159">
        <v>1</v>
      </c>
      <c r="BX159">
        <v>1</v>
      </c>
      <c r="BY159" t="s">
        <v>3</v>
      </c>
      <c r="BZ159">
        <v>89</v>
      </c>
      <c r="CA159">
        <v>44</v>
      </c>
      <c r="CF159">
        <v>0</v>
      </c>
      <c r="CG159">
        <v>0</v>
      </c>
      <c r="CM159">
        <v>0</v>
      </c>
      <c r="CN159" t="s">
        <v>3</v>
      </c>
      <c r="CO159">
        <v>0</v>
      </c>
      <c r="CP159">
        <f>(P159+Q159+S159)</f>
        <v>1827.45</v>
      </c>
      <c r="CQ159">
        <f>(AC159*BC159*AW159)</f>
        <v>0</v>
      </c>
      <c r="CR159">
        <f>((((ET159)*BB159-(EU159)*BS159)+AE159*BS159)*AV159)</f>
        <v>0</v>
      </c>
      <c r="CS159">
        <f>(AE159*BS159*AV159)</f>
        <v>0</v>
      </c>
      <c r="CT159">
        <f>(AF159*BA159*AV159)</f>
        <v>19035.9643</v>
      </c>
      <c r="CU159">
        <f>AG159</f>
        <v>0</v>
      </c>
      <c r="CV159">
        <f>(AH159*AV159)</f>
        <v>107.04</v>
      </c>
      <c r="CW159">
        <f t="shared" si="136"/>
        <v>0</v>
      </c>
      <c r="CX159">
        <f t="shared" si="136"/>
        <v>0</v>
      </c>
      <c r="CY159">
        <f>S159*(BZ159/100)</f>
        <v>1626.4305000000002</v>
      </c>
      <c r="CZ159">
        <f>S159*(CA159/100)</f>
        <v>804.07799999999997</v>
      </c>
      <c r="DC159" t="s">
        <v>3</v>
      </c>
      <c r="DD159" t="s">
        <v>3</v>
      </c>
      <c r="DE159" t="s">
        <v>3</v>
      </c>
      <c r="DF159" t="s">
        <v>3</v>
      </c>
      <c r="DG159" t="s">
        <v>3</v>
      </c>
      <c r="DH159" t="s">
        <v>3</v>
      </c>
      <c r="DI159" t="s">
        <v>3</v>
      </c>
      <c r="DJ159" t="s">
        <v>3</v>
      </c>
      <c r="DK159" t="s">
        <v>3</v>
      </c>
      <c r="DL159" t="s">
        <v>3</v>
      </c>
      <c r="DM159" t="s">
        <v>3</v>
      </c>
      <c r="DN159">
        <v>105</v>
      </c>
      <c r="DO159">
        <v>77</v>
      </c>
      <c r="DP159">
        <v>1.248</v>
      </c>
      <c r="DQ159">
        <v>1</v>
      </c>
      <c r="DU159">
        <v>1013</v>
      </c>
      <c r="DV159" t="s">
        <v>20</v>
      </c>
      <c r="DW159" t="s">
        <v>20</v>
      </c>
      <c r="DX159">
        <v>1</v>
      </c>
      <c r="EE159">
        <v>42186063</v>
      </c>
      <c r="EF159">
        <v>30</v>
      </c>
      <c r="EG159" t="s">
        <v>14</v>
      </c>
      <c r="EH159">
        <v>0</v>
      </c>
      <c r="EI159" t="s">
        <v>3</v>
      </c>
      <c r="EJ159">
        <v>1</v>
      </c>
      <c r="EK159">
        <v>16</v>
      </c>
      <c r="EL159" t="s">
        <v>32</v>
      </c>
      <c r="EM159" t="s">
        <v>33</v>
      </c>
      <c r="EO159" t="s">
        <v>3</v>
      </c>
      <c r="EQ159">
        <v>0</v>
      </c>
      <c r="ER159">
        <v>1051.1300000000001</v>
      </c>
      <c r="ES159">
        <v>0</v>
      </c>
      <c r="ET159">
        <v>0</v>
      </c>
      <c r="EU159">
        <v>0</v>
      </c>
      <c r="EV159">
        <v>1051.1300000000001</v>
      </c>
      <c r="EW159">
        <v>107.04</v>
      </c>
      <c r="EX159">
        <v>0</v>
      </c>
      <c r="EY159">
        <v>0</v>
      </c>
      <c r="FQ159">
        <v>0</v>
      </c>
      <c r="FR159">
        <f>ROUND(IF(AND(BH159=3,BI159=3),P159,0),2)</f>
        <v>0</v>
      </c>
      <c r="FS159">
        <v>0</v>
      </c>
      <c r="FX159">
        <v>105</v>
      </c>
      <c r="FY159">
        <v>77</v>
      </c>
      <c r="GA159" t="s">
        <v>3</v>
      </c>
      <c r="GD159">
        <v>0</v>
      </c>
      <c r="GF159">
        <v>-367495180</v>
      </c>
      <c r="GG159">
        <v>2</v>
      </c>
      <c r="GH159">
        <v>0</v>
      </c>
      <c r="GI159">
        <v>0</v>
      </c>
      <c r="GJ159">
        <v>0</v>
      </c>
      <c r="GK159">
        <f>ROUND(R159*(R12)/100,2)</f>
        <v>0</v>
      </c>
      <c r="GL159">
        <f>ROUND(IF(AND(BH159=3,BI159=3,FS159&lt;&gt;0),P159,0),2)</f>
        <v>0</v>
      </c>
      <c r="GM159">
        <f>ROUND(O159+X159+Y159+GK159,2)+GX159</f>
        <v>4257.96</v>
      </c>
      <c r="GN159">
        <f>IF(OR(BI159=0,BI159=1),ROUND(O159+X159+Y159+GK159,2),0)</f>
        <v>4257.96</v>
      </c>
      <c r="GO159">
        <f>IF(BI159=2,ROUND(O159+X159+Y159+GK159,2),0)</f>
        <v>0</v>
      </c>
      <c r="GP159">
        <f>IF(BI159=4,ROUND(O159+X159+Y159+GK159,2)+GX159,0)</f>
        <v>0</v>
      </c>
      <c r="GR159">
        <v>0</v>
      </c>
      <c r="GS159">
        <v>0</v>
      </c>
      <c r="GT159">
        <v>0</v>
      </c>
      <c r="GU159" t="s">
        <v>3</v>
      </c>
      <c r="GV159">
        <f>ROUND(GT159,6)</f>
        <v>0</v>
      </c>
      <c r="GW159">
        <v>1</v>
      </c>
      <c r="GX159">
        <f>ROUND(GV159*GW159*I159,2)</f>
        <v>0</v>
      </c>
      <c r="HA159">
        <v>0</v>
      </c>
      <c r="HB159">
        <v>0</v>
      </c>
      <c r="IK159">
        <v>0</v>
      </c>
    </row>
    <row r="160" spans="1:245" x14ac:dyDescent="0.2">
      <c r="A160">
        <v>17</v>
      </c>
      <c r="B160">
        <v>1</v>
      </c>
      <c r="C160">
        <f>ROW(SmtRes!A34)</f>
        <v>34</v>
      </c>
      <c r="D160">
        <f>ROW(EtalonRes!A37)</f>
        <v>37</v>
      </c>
      <c r="E160" t="s">
        <v>157</v>
      </c>
      <c r="F160" t="s">
        <v>59</v>
      </c>
      <c r="G160" t="s">
        <v>60</v>
      </c>
      <c r="H160" t="s">
        <v>61</v>
      </c>
      <c r="I160">
        <f>ROUND(9.6/100,9)</f>
        <v>9.6000000000000002E-2</v>
      </c>
      <c r="J160">
        <v>0</v>
      </c>
      <c r="O160">
        <f>ROUND(CP160,2)</f>
        <v>788.56</v>
      </c>
      <c r="P160">
        <f>ROUND(CQ160*I160,2)</f>
        <v>0</v>
      </c>
      <c r="Q160">
        <f>ROUND(CR160*I160,2)</f>
        <v>578.65</v>
      </c>
      <c r="R160">
        <f>ROUND(CS160*I160,2)</f>
        <v>338.98</v>
      </c>
      <c r="S160">
        <f>ROUND(CT160*I160,2)</f>
        <v>209.91</v>
      </c>
      <c r="T160">
        <f>ROUND(CU160*I160,2)</f>
        <v>0</v>
      </c>
      <c r="U160">
        <f>CV160*I160</f>
        <v>1.0368000000000002</v>
      </c>
      <c r="V160">
        <f>CW160*I160</f>
        <v>0</v>
      </c>
      <c r="W160">
        <f>ROUND(CX160*I160,2)</f>
        <v>0</v>
      </c>
      <c r="X160">
        <f t="shared" si="133"/>
        <v>203.61</v>
      </c>
      <c r="Y160">
        <f t="shared" si="133"/>
        <v>113.35</v>
      </c>
      <c r="AA160">
        <v>42446460</v>
      </c>
      <c r="AB160">
        <f>ROUND((AC160+AD160+AF160),6)</f>
        <v>764.71</v>
      </c>
      <c r="AC160">
        <f>ROUND((ES160),6)</f>
        <v>0</v>
      </c>
      <c r="AD160">
        <f>ROUND((((ET160)-(EU160))+AE160),6)</f>
        <v>643.97</v>
      </c>
      <c r="AE160">
        <f t="shared" si="134"/>
        <v>194.98</v>
      </c>
      <c r="AF160">
        <f t="shared" si="134"/>
        <v>120.74</v>
      </c>
      <c r="AG160">
        <f>ROUND((AP160),6)</f>
        <v>0</v>
      </c>
      <c r="AH160">
        <f t="shared" si="135"/>
        <v>10.8</v>
      </c>
      <c r="AI160">
        <f t="shared" si="135"/>
        <v>0</v>
      </c>
      <c r="AJ160">
        <f>ROUND((AS160),6)</f>
        <v>0</v>
      </c>
      <c r="AK160">
        <v>764.71</v>
      </c>
      <c r="AL160">
        <v>0</v>
      </c>
      <c r="AM160">
        <v>643.97</v>
      </c>
      <c r="AN160">
        <v>194.98</v>
      </c>
      <c r="AO160">
        <v>120.74</v>
      </c>
      <c r="AP160">
        <v>0</v>
      </c>
      <c r="AQ160">
        <v>10.8</v>
      </c>
      <c r="AR160">
        <v>0</v>
      </c>
      <c r="AS160">
        <v>0</v>
      </c>
      <c r="AT160">
        <v>97</v>
      </c>
      <c r="AU160">
        <v>54</v>
      </c>
      <c r="AV160">
        <v>1</v>
      </c>
      <c r="AW160">
        <v>1</v>
      </c>
      <c r="AZ160">
        <v>1</v>
      </c>
      <c r="BA160">
        <v>18.11</v>
      </c>
      <c r="BB160">
        <v>9.36</v>
      </c>
      <c r="BC160">
        <v>1</v>
      </c>
      <c r="BD160" t="s">
        <v>3</v>
      </c>
      <c r="BE160" t="s">
        <v>3</v>
      </c>
      <c r="BF160" t="s">
        <v>3</v>
      </c>
      <c r="BG160" t="s">
        <v>3</v>
      </c>
      <c r="BH160">
        <v>0</v>
      </c>
      <c r="BI160">
        <v>1</v>
      </c>
      <c r="BJ160" t="s">
        <v>62</v>
      </c>
      <c r="BM160">
        <v>10</v>
      </c>
      <c r="BN160">
        <v>0</v>
      </c>
      <c r="BO160" t="s">
        <v>59</v>
      </c>
      <c r="BP160">
        <v>1</v>
      </c>
      <c r="BQ160">
        <v>30</v>
      </c>
      <c r="BR160">
        <v>0</v>
      </c>
      <c r="BS160">
        <v>18.11</v>
      </c>
      <c r="BT160">
        <v>1</v>
      </c>
      <c r="BU160">
        <v>1</v>
      </c>
      <c r="BV160">
        <v>1</v>
      </c>
      <c r="BW160">
        <v>1</v>
      </c>
      <c r="BX160">
        <v>1</v>
      </c>
      <c r="BY160" t="s">
        <v>3</v>
      </c>
      <c r="BZ160">
        <v>97</v>
      </c>
      <c r="CA160">
        <v>54</v>
      </c>
      <c r="CF160">
        <v>0</v>
      </c>
      <c r="CG160">
        <v>0</v>
      </c>
      <c r="CM160">
        <v>0</v>
      </c>
      <c r="CN160" t="s">
        <v>3</v>
      </c>
      <c r="CO160">
        <v>0</v>
      </c>
      <c r="CP160">
        <f>(P160+Q160+S160)</f>
        <v>788.56</v>
      </c>
      <c r="CQ160">
        <f>(AC160*BC160*AW160)</f>
        <v>0</v>
      </c>
      <c r="CR160">
        <f>((((ET160)*BB160-(EU160)*BS160)+AE160*BS160)*AV160)</f>
        <v>6027.5591999999997</v>
      </c>
      <c r="CS160">
        <f>(AE160*BS160*AV160)</f>
        <v>3531.0877999999998</v>
      </c>
      <c r="CT160">
        <f>(AF160*BA160*AV160)</f>
        <v>2186.6014</v>
      </c>
      <c r="CU160">
        <f>AG160</f>
        <v>0</v>
      </c>
      <c r="CV160">
        <f>(AH160*AV160)</f>
        <v>10.8</v>
      </c>
      <c r="CW160">
        <f t="shared" si="136"/>
        <v>0</v>
      </c>
      <c r="CX160">
        <f t="shared" si="136"/>
        <v>0</v>
      </c>
      <c r="CY160">
        <f>S160*(BZ160/100)</f>
        <v>203.61269999999999</v>
      </c>
      <c r="CZ160">
        <f>S160*(CA160/100)</f>
        <v>113.35140000000001</v>
      </c>
      <c r="DC160" t="s">
        <v>3</v>
      </c>
      <c r="DD160" t="s">
        <v>3</v>
      </c>
      <c r="DE160" t="s">
        <v>3</v>
      </c>
      <c r="DF160" t="s">
        <v>3</v>
      </c>
      <c r="DG160" t="s">
        <v>3</v>
      </c>
      <c r="DH160" t="s">
        <v>3</v>
      </c>
      <c r="DI160" t="s">
        <v>3</v>
      </c>
      <c r="DJ160" t="s">
        <v>3</v>
      </c>
      <c r="DK160" t="s">
        <v>3</v>
      </c>
      <c r="DL160" t="s">
        <v>3</v>
      </c>
      <c r="DM160" t="s">
        <v>3</v>
      </c>
      <c r="DN160">
        <v>98</v>
      </c>
      <c r="DO160">
        <v>77</v>
      </c>
      <c r="DP160">
        <v>1.0469999999999999</v>
      </c>
      <c r="DQ160">
        <v>1</v>
      </c>
      <c r="DU160">
        <v>1013</v>
      </c>
      <c r="DV160" t="s">
        <v>61</v>
      </c>
      <c r="DW160" t="s">
        <v>61</v>
      </c>
      <c r="DX160">
        <v>1</v>
      </c>
      <c r="EE160">
        <v>42186057</v>
      </c>
      <c r="EF160">
        <v>30</v>
      </c>
      <c r="EG160" t="s">
        <v>14</v>
      </c>
      <c r="EH160">
        <v>0</v>
      </c>
      <c r="EI160" t="s">
        <v>3</v>
      </c>
      <c r="EJ160">
        <v>1</v>
      </c>
      <c r="EK160">
        <v>10</v>
      </c>
      <c r="EL160" t="s">
        <v>63</v>
      </c>
      <c r="EM160" t="s">
        <v>64</v>
      </c>
      <c r="EO160" t="s">
        <v>3</v>
      </c>
      <c r="EQ160">
        <v>131072</v>
      </c>
      <c r="ER160">
        <v>764.71</v>
      </c>
      <c r="ES160">
        <v>0</v>
      </c>
      <c r="ET160">
        <v>643.97</v>
      </c>
      <c r="EU160">
        <v>194.98</v>
      </c>
      <c r="EV160">
        <v>120.74</v>
      </c>
      <c r="EW160">
        <v>10.8</v>
      </c>
      <c r="EX160">
        <v>0</v>
      </c>
      <c r="EY160">
        <v>0</v>
      </c>
      <c r="FQ160">
        <v>0</v>
      </c>
      <c r="FR160">
        <f>ROUND(IF(AND(BH160=3,BI160=3),P160,0),2)</f>
        <v>0</v>
      </c>
      <c r="FS160">
        <v>0</v>
      </c>
      <c r="FX160">
        <v>98</v>
      </c>
      <c r="FY160">
        <v>77</v>
      </c>
      <c r="GA160" t="s">
        <v>3</v>
      </c>
      <c r="GD160">
        <v>0</v>
      </c>
      <c r="GF160">
        <v>-1696570498</v>
      </c>
      <c r="GG160">
        <v>2</v>
      </c>
      <c r="GH160">
        <v>0</v>
      </c>
      <c r="GI160">
        <v>0</v>
      </c>
      <c r="GJ160">
        <v>0</v>
      </c>
      <c r="GK160">
        <f>ROUND(R160*(R12)/100,2)</f>
        <v>566.1</v>
      </c>
      <c r="GL160">
        <f>ROUND(IF(AND(BH160=3,BI160=3,FS160&lt;&gt;0),P160,0),2)</f>
        <v>0</v>
      </c>
      <c r="GM160">
        <f>ROUND(O160+X160+Y160+GK160,2)+GX160</f>
        <v>1671.62</v>
      </c>
      <c r="GN160">
        <f>IF(OR(BI160=0,BI160=1),ROUND(O160+X160+Y160+GK160,2),0)</f>
        <v>1671.62</v>
      </c>
      <c r="GO160">
        <f>IF(BI160=2,ROUND(O160+X160+Y160+GK160,2),0)</f>
        <v>0</v>
      </c>
      <c r="GP160">
        <f>IF(BI160=4,ROUND(O160+X160+Y160+GK160,2)+GX160,0)</f>
        <v>0</v>
      </c>
      <c r="GR160">
        <v>0</v>
      </c>
      <c r="GS160">
        <v>0</v>
      </c>
      <c r="GT160">
        <v>0</v>
      </c>
      <c r="GU160" t="s">
        <v>3</v>
      </c>
      <c r="GV160">
        <f>ROUND(GT160,6)</f>
        <v>0</v>
      </c>
      <c r="GW160">
        <v>1</v>
      </c>
      <c r="GX160">
        <f>ROUND(GV160*GW160*I160,2)</f>
        <v>0</v>
      </c>
      <c r="HA160">
        <v>0</v>
      </c>
      <c r="HB160">
        <v>0</v>
      </c>
      <c r="IK160">
        <v>0</v>
      </c>
    </row>
    <row r="161" spans="1:245" x14ac:dyDescent="0.2">
      <c r="A161">
        <v>17</v>
      </c>
      <c r="B161">
        <v>1</v>
      </c>
      <c r="C161">
        <f>ROW(SmtRes!A35)</f>
        <v>35</v>
      </c>
      <c r="D161">
        <f>ROW(EtalonRes!A38)</f>
        <v>38</v>
      </c>
      <c r="E161" t="s">
        <v>158</v>
      </c>
      <c r="F161" t="s">
        <v>147</v>
      </c>
      <c r="G161" t="s">
        <v>159</v>
      </c>
      <c r="H161" t="s">
        <v>142</v>
      </c>
      <c r="I161">
        <f>ROUND(48/1000,9)</f>
        <v>4.8000000000000001E-2</v>
      </c>
      <c r="J161">
        <v>0</v>
      </c>
      <c r="O161">
        <f>ROUND(CP161,2)</f>
        <v>1289.6600000000001</v>
      </c>
      <c r="P161">
        <f>ROUND(CQ161*I161,2)</f>
        <v>0</v>
      </c>
      <c r="Q161">
        <f>ROUND(CR161*I161,2)</f>
        <v>0</v>
      </c>
      <c r="R161">
        <f>ROUND(CS161*I161,2)</f>
        <v>0</v>
      </c>
      <c r="S161">
        <f>ROUND(CT161*I161,2)</f>
        <v>1289.6600000000001</v>
      </c>
      <c r="T161">
        <f>ROUND(CU161*I161,2)</f>
        <v>0</v>
      </c>
      <c r="U161">
        <f>CV161*I161</f>
        <v>6.3695999999999993</v>
      </c>
      <c r="V161">
        <f>CW161*I161</f>
        <v>0</v>
      </c>
      <c r="W161">
        <f>ROUND(CX161*I161,2)</f>
        <v>0</v>
      </c>
      <c r="X161">
        <f t="shared" si="133"/>
        <v>1147.8</v>
      </c>
      <c r="Y161">
        <f t="shared" si="133"/>
        <v>567.45000000000005</v>
      </c>
      <c r="AA161">
        <v>42446460</v>
      </c>
      <c r="AB161">
        <f>ROUND((AC161+AD161+AF161),6)</f>
        <v>1483.59</v>
      </c>
      <c r="AC161">
        <f>ROUND((ES161),6)</f>
        <v>0</v>
      </c>
      <c r="AD161">
        <f>ROUND((((ET161)-(EU161))+AE161),6)</f>
        <v>0</v>
      </c>
      <c r="AE161">
        <f t="shared" si="134"/>
        <v>0</v>
      </c>
      <c r="AF161">
        <f t="shared" si="134"/>
        <v>1483.59</v>
      </c>
      <c r="AG161">
        <f>ROUND((AP161),6)</f>
        <v>0</v>
      </c>
      <c r="AH161">
        <f t="shared" si="135"/>
        <v>132.69999999999999</v>
      </c>
      <c r="AI161">
        <f t="shared" si="135"/>
        <v>0</v>
      </c>
      <c r="AJ161">
        <f>ROUND((AS161),6)</f>
        <v>0</v>
      </c>
      <c r="AK161">
        <v>1483.59</v>
      </c>
      <c r="AL161">
        <v>0</v>
      </c>
      <c r="AM161">
        <v>0</v>
      </c>
      <c r="AN161">
        <v>0</v>
      </c>
      <c r="AO161">
        <v>1483.59</v>
      </c>
      <c r="AP161">
        <v>0</v>
      </c>
      <c r="AQ161">
        <v>132.69999999999999</v>
      </c>
      <c r="AR161">
        <v>0</v>
      </c>
      <c r="AS161">
        <v>0</v>
      </c>
      <c r="AT161">
        <v>89</v>
      </c>
      <c r="AU161">
        <v>44</v>
      </c>
      <c r="AV161">
        <v>1</v>
      </c>
      <c r="AW161">
        <v>1</v>
      </c>
      <c r="AZ161">
        <v>1</v>
      </c>
      <c r="BA161">
        <v>18.11</v>
      </c>
      <c r="BB161">
        <v>1</v>
      </c>
      <c r="BC161">
        <v>1</v>
      </c>
      <c r="BD161" t="s">
        <v>3</v>
      </c>
      <c r="BE161" t="s">
        <v>3</v>
      </c>
      <c r="BF161" t="s">
        <v>3</v>
      </c>
      <c r="BG161" t="s">
        <v>3</v>
      </c>
      <c r="BH161">
        <v>0</v>
      </c>
      <c r="BI161">
        <v>1</v>
      </c>
      <c r="BJ161" t="s">
        <v>149</v>
      </c>
      <c r="BM161">
        <v>12</v>
      </c>
      <c r="BN161">
        <v>0</v>
      </c>
      <c r="BO161" t="s">
        <v>147</v>
      </c>
      <c r="BP161">
        <v>1</v>
      </c>
      <c r="BQ161">
        <v>30</v>
      </c>
      <c r="BR161">
        <v>0</v>
      </c>
      <c r="BS161">
        <v>18.11</v>
      </c>
      <c r="BT161">
        <v>1</v>
      </c>
      <c r="BU161">
        <v>1</v>
      </c>
      <c r="BV161">
        <v>1</v>
      </c>
      <c r="BW161">
        <v>1</v>
      </c>
      <c r="BX161">
        <v>1</v>
      </c>
      <c r="BY161" t="s">
        <v>3</v>
      </c>
      <c r="BZ161">
        <v>89</v>
      </c>
      <c r="CA161">
        <v>44</v>
      </c>
      <c r="CF161">
        <v>0</v>
      </c>
      <c r="CG161">
        <v>0</v>
      </c>
      <c r="CM161">
        <v>0</v>
      </c>
      <c r="CN161" t="s">
        <v>3</v>
      </c>
      <c r="CO161">
        <v>0</v>
      </c>
      <c r="CP161">
        <f>(P161+Q161+S161)</f>
        <v>1289.6600000000001</v>
      </c>
      <c r="CQ161">
        <f>(AC161*BC161*AW161)</f>
        <v>0</v>
      </c>
      <c r="CR161">
        <f>((((ET161)*BB161-(EU161)*BS161)+AE161*BS161)*AV161)</f>
        <v>0</v>
      </c>
      <c r="CS161">
        <f>(AE161*BS161*AV161)</f>
        <v>0</v>
      </c>
      <c r="CT161">
        <f>(AF161*BA161*AV161)</f>
        <v>26867.814899999998</v>
      </c>
      <c r="CU161">
        <f>AG161</f>
        <v>0</v>
      </c>
      <c r="CV161">
        <f>(AH161*AV161)</f>
        <v>132.69999999999999</v>
      </c>
      <c r="CW161">
        <f t="shared" si="136"/>
        <v>0</v>
      </c>
      <c r="CX161">
        <f t="shared" si="136"/>
        <v>0</v>
      </c>
      <c r="CY161">
        <f>S161*(BZ161/100)</f>
        <v>1147.7974000000002</v>
      </c>
      <c r="CZ161">
        <f>S161*(CA161/100)</f>
        <v>567.45040000000006</v>
      </c>
      <c r="DC161" t="s">
        <v>3</v>
      </c>
      <c r="DD161" t="s">
        <v>3</v>
      </c>
      <c r="DE161" t="s">
        <v>3</v>
      </c>
      <c r="DF161" t="s">
        <v>3</v>
      </c>
      <c r="DG161" t="s">
        <v>3</v>
      </c>
      <c r="DH161" t="s">
        <v>3</v>
      </c>
      <c r="DI161" t="s">
        <v>3</v>
      </c>
      <c r="DJ161" t="s">
        <v>3</v>
      </c>
      <c r="DK161" t="s">
        <v>3</v>
      </c>
      <c r="DL161" t="s">
        <v>3</v>
      </c>
      <c r="DM161" t="s">
        <v>3</v>
      </c>
      <c r="DN161">
        <v>105</v>
      </c>
      <c r="DO161">
        <v>77</v>
      </c>
      <c r="DP161">
        <v>1.248</v>
      </c>
      <c r="DQ161">
        <v>1</v>
      </c>
      <c r="DU161">
        <v>1013</v>
      </c>
      <c r="DV161" t="s">
        <v>142</v>
      </c>
      <c r="DW161" t="s">
        <v>142</v>
      </c>
      <c r="DX161">
        <v>1</v>
      </c>
      <c r="EE161">
        <v>42186059</v>
      </c>
      <c r="EF161">
        <v>30</v>
      </c>
      <c r="EG161" t="s">
        <v>14</v>
      </c>
      <c r="EH161">
        <v>0</v>
      </c>
      <c r="EI161" t="s">
        <v>3</v>
      </c>
      <c r="EJ161">
        <v>1</v>
      </c>
      <c r="EK161">
        <v>12</v>
      </c>
      <c r="EL161" t="s">
        <v>150</v>
      </c>
      <c r="EM161" t="s">
        <v>151</v>
      </c>
      <c r="EO161" t="s">
        <v>3</v>
      </c>
      <c r="EQ161">
        <v>131072</v>
      </c>
      <c r="ER161">
        <v>1483.59</v>
      </c>
      <c r="ES161">
        <v>0</v>
      </c>
      <c r="ET161">
        <v>0</v>
      </c>
      <c r="EU161">
        <v>0</v>
      </c>
      <c r="EV161">
        <v>1483.59</v>
      </c>
      <c r="EW161">
        <v>132.69999999999999</v>
      </c>
      <c r="EX161">
        <v>0</v>
      </c>
      <c r="EY161">
        <v>0</v>
      </c>
      <c r="FQ161">
        <v>0</v>
      </c>
      <c r="FR161">
        <f>ROUND(IF(AND(BH161=3,BI161=3),P161,0),2)</f>
        <v>0</v>
      </c>
      <c r="FS161">
        <v>0</v>
      </c>
      <c r="FX161">
        <v>105</v>
      </c>
      <c r="FY161">
        <v>77</v>
      </c>
      <c r="GA161" t="s">
        <v>3</v>
      </c>
      <c r="GD161">
        <v>0</v>
      </c>
      <c r="GF161">
        <v>104159978</v>
      </c>
      <c r="GG161">
        <v>2</v>
      </c>
      <c r="GH161">
        <v>0</v>
      </c>
      <c r="GI161">
        <v>0</v>
      </c>
      <c r="GJ161">
        <v>0</v>
      </c>
      <c r="GK161">
        <f>ROUND(R161*(R12)/100,2)</f>
        <v>0</v>
      </c>
      <c r="GL161">
        <f>ROUND(IF(AND(BH161=3,BI161=3,FS161&lt;&gt;0),P161,0),2)</f>
        <v>0</v>
      </c>
      <c r="GM161">
        <f>ROUND(O161+X161+Y161+GK161,2)+GX161</f>
        <v>3004.91</v>
      </c>
      <c r="GN161">
        <f>IF(OR(BI161=0,BI161=1),ROUND(O161+X161+Y161+GK161,2),0)</f>
        <v>3004.91</v>
      </c>
      <c r="GO161">
        <f>IF(BI161=2,ROUND(O161+X161+Y161+GK161,2),0)</f>
        <v>0</v>
      </c>
      <c r="GP161">
        <f>IF(BI161=4,ROUND(O161+X161+Y161+GK161,2)+GX161,0)</f>
        <v>0</v>
      </c>
      <c r="GR161">
        <v>0</v>
      </c>
      <c r="GS161">
        <v>0</v>
      </c>
      <c r="GT161">
        <v>0</v>
      </c>
      <c r="GU161" t="s">
        <v>3</v>
      </c>
      <c r="GV161">
        <f>ROUND(GT161,6)</f>
        <v>0</v>
      </c>
      <c r="GW161">
        <v>1</v>
      </c>
      <c r="GX161">
        <f>ROUND(GV161*GW161*I161,2)</f>
        <v>0</v>
      </c>
      <c r="HA161">
        <v>0</v>
      </c>
      <c r="HB161">
        <v>0</v>
      </c>
      <c r="IK161">
        <v>0</v>
      </c>
    </row>
    <row r="163" spans="1:245" x14ac:dyDescent="0.2">
      <c r="A163" s="2">
        <v>51</v>
      </c>
      <c r="B163" s="2">
        <f>B154</f>
        <v>1</v>
      </c>
      <c r="C163" s="2">
        <f>A154</f>
        <v>5</v>
      </c>
      <c r="D163" s="2">
        <f>ROW(A154)</f>
        <v>154</v>
      </c>
      <c r="E163" s="2"/>
      <c r="F163" s="2" t="str">
        <f>IF(F154&lt;&gt;"",F154,"")</f>
        <v>Новый подраздел</v>
      </c>
      <c r="G163" s="2" t="str">
        <f>IF(G154&lt;&gt;"",G154,"")</f>
        <v>3.2</v>
      </c>
      <c r="H163" s="2">
        <v>0</v>
      </c>
      <c r="I163" s="2"/>
      <c r="J163" s="2"/>
      <c r="K163" s="2"/>
      <c r="L163" s="2"/>
      <c r="M163" s="2"/>
      <c r="N163" s="2"/>
      <c r="O163" s="2">
        <f t="shared" ref="O163:T163" si="137">ROUND(AB163,2)</f>
        <v>7456.89</v>
      </c>
      <c r="P163" s="2">
        <f t="shared" si="137"/>
        <v>0</v>
      </c>
      <c r="Q163" s="2">
        <f t="shared" si="137"/>
        <v>578.65</v>
      </c>
      <c r="R163" s="2">
        <f t="shared" si="137"/>
        <v>338.98</v>
      </c>
      <c r="S163" s="2">
        <f t="shared" si="137"/>
        <v>6878.24</v>
      </c>
      <c r="T163" s="2">
        <f t="shared" si="137"/>
        <v>0</v>
      </c>
      <c r="U163" s="2">
        <f>AH163</f>
        <v>36.181439999999995</v>
      </c>
      <c r="V163" s="2">
        <f>AI163</f>
        <v>0</v>
      </c>
      <c r="W163" s="2">
        <f>ROUND(AJ163,2)</f>
        <v>0</v>
      </c>
      <c r="X163" s="2">
        <f>ROUND(AK163,2)</f>
        <v>6138.43</v>
      </c>
      <c r="Y163" s="2">
        <f>ROUND(AL163,2)</f>
        <v>3047.42</v>
      </c>
      <c r="Z163" s="2"/>
      <c r="AA163" s="2"/>
      <c r="AB163" s="2">
        <f>ROUND(SUMIF(AA158:AA161,"=42446460",O158:O161),2)</f>
        <v>7456.89</v>
      </c>
      <c r="AC163" s="2">
        <f>ROUND(SUMIF(AA158:AA161,"=42446460",P158:P161),2)</f>
        <v>0</v>
      </c>
      <c r="AD163" s="2">
        <f>ROUND(SUMIF(AA158:AA161,"=42446460",Q158:Q161),2)</f>
        <v>578.65</v>
      </c>
      <c r="AE163" s="2">
        <f>ROUND(SUMIF(AA158:AA161,"=42446460",R158:R161),2)</f>
        <v>338.98</v>
      </c>
      <c r="AF163" s="2">
        <f>ROUND(SUMIF(AA158:AA161,"=42446460",S158:S161),2)</f>
        <v>6878.24</v>
      </c>
      <c r="AG163" s="2">
        <f>ROUND(SUMIF(AA158:AA161,"=42446460",T158:T161),2)</f>
        <v>0</v>
      </c>
      <c r="AH163" s="2">
        <f>SUMIF(AA158:AA161,"=42446460",U158:U161)</f>
        <v>36.181439999999995</v>
      </c>
      <c r="AI163" s="2">
        <f>SUMIF(AA158:AA161,"=42446460",V158:V161)</f>
        <v>0</v>
      </c>
      <c r="AJ163" s="2">
        <f>ROUND(SUMIF(AA158:AA161,"=42446460",W158:W161),2)</f>
        <v>0</v>
      </c>
      <c r="AK163" s="2">
        <f>ROUND(SUMIF(AA158:AA161,"=42446460",X158:X161),2)</f>
        <v>6138.43</v>
      </c>
      <c r="AL163" s="2">
        <f>ROUND(SUMIF(AA158:AA161,"=42446460",Y158:Y161),2)</f>
        <v>3047.42</v>
      </c>
      <c r="AM163" s="2"/>
      <c r="AN163" s="2"/>
      <c r="AO163" s="2">
        <f t="shared" ref="AO163:BC163" si="138">ROUND(BX163,2)</f>
        <v>0</v>
      </c>
      <c r="AP163" s="2">
        <f t="shared" si="138"/>
        <v>0</v>
      </c>
      <c r="AQ163" s="2">
        <f t="shared" si="138"/>
        <v>0</v>
      </c>
      <c r="AR163" s="2">
        <f t="shared" si="138"/>
        <v>17208.84</v>
      </c>
      <c r="AS163" s="2">
        <f t="shared" si="138"/>
        <v>17208.84</v>
      </c>
      <c r="AT163" s="2">
        <f t="shared" si="138"/>
        <v>0</v>
      </c>
      <c r="AU163" s="2">
        <f t="shared" si="138"/>
        <v>0</v>
      </c>
      <c r="AV163" s="2">
        <f t="shared" si="138"/>
        <v>0</v>
      </c>
      <c r="AW163" s="2">
        <f t="shared" si="138"/>
        <v>0</v>
      </c>
      <c r="AX163" s="2">
        <f t="shared" si="138"/>
        <v>0</v>
      </c>
      <c r="AY163" s="2">
        <f t="shared" si="138"/>
        <v>0</v>
      </c>
      <c r="AZ163" s="2">
        <f t="shared" si="138"/>
        <v>0</v>
      </c>
      <c r="BA163" s="2">
        <f t="shared" si="138"/>
        <v>0</v>
      </c>
      <c r="BB163" s="2">
        <f t="shared" si="138"/>
        <v>0</v>
      </c>
      <c r="BC163" s="2">
        <f t="shared" si="138"/>
        <v>0</v>
      </c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>
        <f>ROUND(SUMIF(AA158:AA161,"=42446460",FQ158:FQ161),2)</f>
        <v>0</v>
      </c>
      <c r="BY163" s="2">
        <f>ROUND(SUMIF(AA158:AA161,"=42446460",FR158:FR161),2)</f>
        <v>0</v>
      </c>
      <c r="BZ163" s="2">
        <f>ROUND(SUMIF(AA158:AA161,"=42446460",GL158:GL161),2)</f>
        <v>0</v>
      </c>
      <c r="CA163" s="2">
        <f>ROUND(SUMIF(AA158:AA161,"=42446460",GM158:GM161),2)</f>
        <v>17208.84</v>
      </c>
      <c r="CB163" s="2">
        <f>ROUND(SUMIF(AA158:AA161,"=42446460",GN158:GN161),2)</f>
        <v>17208.84</v>
      </c>
      <c r="CC163" s="2">
        <f>ROUND(SUMIF(AA158:AA161,"=42446460",GO158:GO161),2)</f>
        <v>0</v>
      </c>
      <c r="CD163" s="2">
        <f>ROUND(SUMIF(AA158:AA161,"=42446460",GP158:GP161),2)</f>
        <v>0</v>
      </c>
      <c r="CE163" s="2">
        <f>AC163-BX163</f>
        <v>0</v>
      </c>
      <c r="CF163" s="2">
        <f>AC163-BY163</f>
        <v>0</v>
      </c>
      <c r="CG163" s="2">
        <f>BX163-BZ163</f>
        <v>0</v>
      </c>
      <c r="CH163" s="2">
        <f>AC163-BX163-BY163+BZ163</f>
        <v>0</v>
      </c>
      <c r="CI163" s="2">
        <f>BY163-BZ163</f>
        <v>0</v>
      </c>
      <c r="CJ163" s="2">
        <f>ROUND(SUMIF(AA158:AA161,"=42446460",GX158:GX161),2)</f>
        <v>0</v>
      </c>
      <c r="CK163" s="2">
        <f>ROUND(SUMIF(AA158:AA161,"=42446460",GY158:GY161),2)</f>
        <v>0</v>
      </c>
      <c r="CL163" s="2">
        <f>ROUND(SUMIF(AA158:AA161,"=42446460",GZ158:GZ161),2)</f>
        <v>0</v>
      </c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>
        <v>0</v>
      </c>
    </row>
    <row r="165" spans="1:245" x14ac:dyDescent="0.2">
      <c r="A165" s="4">
        <v>50</v>
      </c>
      <c r="B165" s="4">
        <v>0</v>
      </c>
      <c r="C165" s="4">
        <v>0</v>
      </c>
      <c r="D165" s="4">
        <v>1</v>
      </c>
      <c r="E165" s="4">
        <v>201</v>
      </c>
      <c r="F165" s="4">
        <f>ROUND(Source!O163,O165)</f>
        <v>7456.89</v>
      </c>
      <c r="G165" s="4" t="s">
        <v>74</v>
      </c>
      <c r="H165" s="4" t="s">
        <v>75</v>
      </c>
      <c r="I165" s="4"/>
      <c r="J165" s="4"/>
      <c r="K165" s="4">
        <v>201</v>
      </c>
      <c r="L165" s="4">
        <v>1</v>
      </c>
      <c r="M165" s="4">
        <v>3</v>
      </c>
      <c r="N165" s="4" t="s">
        <v>3</v>
      </c>
      <c r="O165" s="4">
        <v>2</v>
      </c>
      <c r="P165" s="4"/>
      <c r="Q165" s="4"/>
      <c r="R165" s="4"/>
      <c r="S165" s="4"/>
      <c r="T165" s="4"/>
      <c r="U165" s="4"/>
      <c r="V165" s="4"/>
      <c r="W165" s="4"/>
    </row>
    <row r="166" spans="1:245" x14ac:dyDescent="0.2">
      <c r="A166" s="4">
        <v>50</v>
      </c>
      <c r="B166" s="4">
        <v>0</v>
      </c>
      <c r="C166" s="4">
        <v>0</v>
      </c>
      <c r="D166" s="4">
        <v>1</v>
      </c>
      <c r="E166" s="4">
        <v>202</v>
      </c>
      <c r="F166" s="4">
        <f>ROUND(Source!P163,O166)</f>
        <v>0</v>
      </c>
      <c r="G166" s="4" t="s">
        <v>76</v>
      </c>
      <c r="H166" s="4" t="s">
        <v>77</v>
      </c>
      <c r="I166" s="4"/>
      <c r="J166" s="4"/>
      <c r="K166" s="4">
        <v>202</v>
      </c>
      <c r="L166" s="4">
        <v>2</v>
      </c>
      <c r="M166" s="4">
        <v>3</v>
      </c>
      <c r="N166" s="4" t="s">
        <v>3</v>
      </c>
      <c r="O166" s="4">
        <v>2</v>
      </c>
      <c r="P166" s="4"/>
      <c r="Q166" s="4"/>
      <c r="R166" s="4"/>
      <c r="S166" s="4"/>
      <c r="T166" s="4"/>
      <c r="U166" s="4"/>
      <c r="V166" s="4"/>
      <c r="W166" s="4"/>
    </row>
    <row r="167" spans="1:245" x14ac:dyDescent="0.2">
      <c r="A167" s="4">
        <v>50</v>
      </c>
      <c r="B167" s="4">
        <v>0</v>
      </c>
      <c r="C167" s="4">
        <v>0</v>
      </c>
      <c r="D167" s="4">
        <v>1</v>
      </c>
      <c r="E167" s="4">
        <v>222</v>
      </c>
      <c r="F167" s="4">
        <f>ROUND(Source!AO163,O167)</f>
        <v>0</v>
      </c>
      <c r="G167" s="4" t="s">
        <v>78</v>
      </c>
      <c r="H167" s="4" t="s">
        <v>79</v>
      </c>
      <c r="I167" s="4"/>
      <c r="J167" s="4"/>
      <c r="K167" s="4">
        <v>222</v>
      </c>
      <c r="L167" s="4">
        <v>3</v>
      </c>
      <c r="M167" s="4">
        <v>3</v>
      </c>
      <c r="N167" s="4" t="s">
        <v>3</v>
      </c>
      <c r="O167" s="4">
        <v>2</v>
      </c>
      <c r="P167" s="4"/>
      <c r="Q167" s="4"/>
      <c r="R167" s="4"/>
      <c r="S167" s="4"/>
      <c r="T167" s="4"/>
      <c r="U167" s="4"/>
      <c r="V167" s="4"/>
      <c r="W167" s="4"/>
    </row>
    <row r="168" spans="1:245" x14ac:dyDescent="0.2">
      <c r="A168" s="4">
        <v>50</v>
      </c>
      <c r="B168" s="4">
        <v>0</v>
      </c>
      <c r="C168" s="4">
        <v>0</v>
      </c>
      <c r="D168" s="4">
        <v>1</v>
      </c>
      <c r="E168" s="4">
        <v>225</v>
      </c>
      <c r="F168" s="4">
        <f>ROUND(Source!AV163,O168)</f>
        <v>0</v>
      </c>
      <c r="G168" s="4" t="s">
        <v>80</v>
      </c>
      <c r="H168" s="4" t="s">
        <v>81</v>
      </c>
      <c r="I168" s="4"/>
      <c r="J168" s="4"/>
      <c r="K168" s="4">
        <v>225</v>
      </c>
      <c r="L168" s="4">
        <v>4</v>
      </c>
      <c r="M168" s="4">
        <v>3</v>
      </c>
      <c r="N168" s="4" t="s">
        <v>3</v>
      </c>
      <c r="O168" s="4">
        <v>2</v>
      </c>
      <c r="P168" s="4"/>
      <c r="Q168" s="4"/>
      <c r="R168" s="4"/>
      <c r="S168" s="4"/>
      <c r="T168" s="4"/>
      <c r="U168" s="4"/>
      <c r="V168" s="4"/>
      <c r="W168" s="4"/>
    </row>
    <row r="169" spans="1:245" x14ac:dyDescent="0.2">
      <c r="A169" s="4">
        <v>50</v>
      </c>
      <c r="B169" s="4">
        <v>0</v>
      </c>
      <c r="C169" s="4">
        <v>0</v>
      </c>
      <c r="D169" s="4">
        <v>1</v>
      </c>
      <c r="E169" s="4">
        <v>226</v>
      </c>
      <c r="F169" s="4">
        <f>ROUND(Source!AW163,O169)</f>
        <v>0</v>
      </c>
      <c r="G169" s="4" t="s">
        <v>82</v>
      </c>
      <c r="H169" s="4" t="s">
        <v>83</v>
      </c>
      <c r="I169" s="4"/>
      <c r="J169" s="4"/>
      <c r="K169" s="4">
        <v>226</v>
      </c>
      <c r="L169" s="4">
        <v>5</v>
      </c>
      <c r="M169" s="4">
        <v>3</v>
      </c>
      <c r="N169" s="4" t="s">
        <v>3</v>
      </c>
      <c r="O169" s="4">
        <v>2</v>
      </c>
      <c r="P169" s="4"/>
      <c r="Q169" s="4"/>
      <c r="R169" s="4"/>
      <c r="S169" s="4"/>
      <c r="T169" s="4"/>
      <c r="U169" s="4"/>
      <c r="V169" s="4"/>
      <c r="W169" s="4"/>
    </row>
    <row r="170" spans="1:245" x14ac:dyDescent="0.2">
      <c r="A170" s="4">
        <v>50</v>
      </c>
      <c r="B170" s="4">
        <v>0</v>
      </c>
      <c r="C170" s="4">
        <v>0</v>
      </c>
      <c r="D170" s="4">
        <v>1</v>
      </c>
      <c r="E170" s="4">
        <v>227</v>
      </c>
      <c r="F170" s="4">
        <f>ROUND(Source!AX163,O170)</f>
        <v>0</v>
      </c>
      <c r="G170" s="4" t="s">
        <v>84</v>
      </c>
      <c r="H170" s="4" t="s">
        <v>85</v>
      </c>
      <c r="I170" s="4"/>
      <c r="J170" s="4"/>
      <c r="K170" s="4">
        <v>227</v>
      </c>
      <c r="L170" s="4">
        <v>6</v>
      </c>
      <c r="M170" s="4">
        <v>3</v>
      </c>
      <c r="N170" s="4" t="s">
        <v>3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</row>
    <row r="171" spans="1:245" x14ac:dyDescent="0.2">
      <c r="A171" s="4">
        <v>50</v>
      </c>
      <c r="B171" s="4">
        <v>0</v>
      </c>
      <c r="C171" s="4">
        <v>0</v>
      </c>
      <c r="D171" s="4">
        <v>1</v>
      </c>
      <c r="E171" s="4">
        <v>228</v>
      </c>
      <c r="F171" s="4">
        <f>ROUND(Source!AY163,O171)</f>
        <v>0</v>
      </c>
      <c r="G171" s="4" t="s">
        <v>86</v>
      </c>
      <c r="H171" s="4" t="s">
        <v>87</v>
      </c>
      <c r="I171" s="4"/>
      <c r="J171" s="4"/>
      <c r="K171" s="4">
        <v>228</v>
      </c>
      <c r="L171" s="4">
        <v>7</v>
      </c>
      <c r="M171" s="4">
        <v>3</v>
      </c>
      <c r="N171" s="4" t="s">
        <v>3</v>
      </c>
      <c r="O171" s="4">
        <v>2</v>
      </c>
      <c r="P171" s="4"/>
      <c r="Q171" s="4"/>
      <c r="R171" s="4"/>
      <c r="S171" s="4"/>
      <c r="T171" s="4"/>
      <c r="U171" s="4"/>
      <c r="V171" s="4"/>
      <c r="W171" s="4"/>
    </row>
    <row r="172" spans="1:245" x14ac:dyDescent="0.2">
      <c r="A172" s="4">
        <v>50</v>
      </c>
      <c r="B172" s="4">
        <v>0</v>
      </c>
      <c r="C172" s="4">
        <v>0</v>
      </c>
      <c r="D172" s="4">
        <v>1</v>
      </c>
      <c r="E172" s="4">
        <v>216</v>
      </c>
      <c r="F172" s="4">
        <f>ROUND(Source!AP163,O172)</f>
        <v>0</v>
      </c>
      <c r="G172" s="4" t="s">
        <v>88</v>
      </c>
      <c r="H172" s="4" t="s">
        <v>89</v>
      </c>
      <c r="I172" s="4"/>
      <c r="J172" s="4"/>
      <c r="K172" s="4">
        <v>216</v>
      </c>
      <c r="L172" s="4">
        <v>8</v>
      </c>
      <c r="M172" s="4">
        <v>3</v>
      </c>
      <c r="N172" s="4" t="s">
        <v>3</v>
      </c>
      <c r="O172" s="4">
        <v>2</v>
      </c>
      <c r="P172" s="4"/>
      <c r="Q172" s="4"/>
      <c r="R172" s="4"/>
      <c r="S172" s="4"/>
      <c r="T172" s="4"/>
      <c r="U172" s="4"/>
      <c r="V172" s="4"/>
      <c r="W172" s="4"/>
    </row>
    <row r="173" spans="1:245" x14ac:dyDescent="0.2">
      <c r="A173" s="4">
        <v>50</v>
      </c>
      <c r="B173" s="4">
        <v>0</v>
      </c>
      <c r="C173" s="4">
        <v>0</v>
      </c>
      <c r="D173" s="4">
        <v>1</v>
      </c>
      <c r="E173" s="4">
        <v>223</v>
      </c>
      <c r="F173" s="4">
        <f>ROUND(Source!AQ163,O173)</f>
        <v>0</v>
      </c>
      <c r="G173" s="4" t="s">
        <v>90</v>
      </c>
      <c r="H173" s="4" t="s">
        <v>91</v>
      </c>
      <c r="I173" s="4"/>
      <c r="J173" s="4"/>
      <c r="K173" s="4">
        <v>223</v>
      </c>
      <c r="L173" s="4">
        <v>9</v>
      </c>
      <c r="M173" s="4">
        <v>3</v>
      </c>
      <c r="N173" s="4" t="s">
        <v>3</v>
      </c>
      <c r="O173" s="4">
        <v>2</v>
      </c>
      <c r="P173" s="4"/>
      <c r="Q173" s="4"/>
      <c r="R173" s="4"/>
      <c r="S173" s="4"/>
      <c r="T173" s="4"/>
      <c r="U173" s="4"/>
      <c r="V173" s="4"/>
      <c r="W173" s="4"/>
    </row>
    <row r="174" spans="1:245" x14ac:dyDescent="0.2">
      <c r="A174" s="4">
        <v>50</v>
      </c>
      <c r="B174" s="4">
        <v>0</v>
      </c>
      <c r="C174" s="4">
        <v>0</v>
      </c>
      <c r="D174" s="4">
        <v>1</v>
      </c>
      <c r="E174" s="4">
        <v>229</v>
      </c>
      <c r="F174" s="4">
        <f>ROUND(Source!AZ163,O174)</f>
        <v>0</v>
      </c>
      <c r="G174" s="4" t="s">
        <v>92</v>
      </c>
      <c r="H174" s="4" t="s">
        <v>93</v>
      </c>
      <c r="I174" s="4"/>
      <c r="J174" s="4"/>
      <c r="K174" s="4">
        <v>229</v>
      </c>
      <c r="L174" s="4">
        <v>10</v>
      </c>
      <c r="M174" s="4">
        <v>3</v>
      </c>
      <c r="N174" s="4" t="s">
        <v>3</v>
      </c>
      <c r="O174" s="4">
        <v>2</v>
      </c>
      <c r="P174" s="4"/>
      <c r="Q174" s="4"/>
      <c r="R174" s="4"/>
      <c r="S174" s="4"/>
      <c r="T174" s="4"/>
      <c r="U174" s="4"/>
      <c r="V174" s="4"/>
      <c r="W174" s="4"/>
    </row>
    <row r="175" spans="1:245" x14ac:dyDescent="0.2">
      <c r="A175" s="4">
        <v>50</v>
      </c>
      <c r="B175" s="4">
        <v>0</v>
      </c>
      <c r="C175" s="4">
        <v>0</v>
      </c>
      <c r="D175" s="4">
        <v>1</v>
      </c>
      <c r="E175" s="4">
        <v>203</v>
      </c>
      <c r="F175" s="4">
        <f>ROUND(Source!Q163,O175)</f>
        <v>578.65</v>
      </c>
      <c r="G175" s="4" t="s">
        <v>94</v>
      </c>
      <c r="H175" s="4" t="s">
        <v>95</v>
      </c>
      <c r="I175" s="4"/>
      <c r="J175" s="4"/>
      <c r="K175" s="4">
        <v>203</v>
      </c>
      <c r="L175" s="4">
        <v>11</v>
      </c>
      <c r="M175" s="4">
        <v>3</v>
      </c>
      <c r="N175" s="4" t="s">
        <v>3</v>
      </c>
      <c r="O175" s="4">
        <v>2</v>
      </c>
      <c r="P175" s="4"/>
      <c r="Q175" s="4"/>
      <c r="R175" s="4"/>
      <c r="S175" s="4"/>
      <c r="T175" s="4"/>
      <c r="U175" s="4"/>
      <c r="V175" s="4"/>
      <c r="W175" s="4"/>
    </row>
    <row r="176" spans="1:245" x14ac:dyDescent="0.2">
      <c r="A176" s="4">
        <v>50</v>
      </c>
      <c r="B176" s="4">
        <v>0</v>
      </c>
      <c r="C176" s="4">
        <v>0</v>
      </c>
      <c r="D176" s="4">
        <v>1</v>
      </c>
      <c r="E176" s="4">
        <v>231</v>
      </c>
      <c r="F176" s="4">
        <f>ROUND(Source!BB163,O176)</f>
        <v>0</v>
      </c>
      <c r="G176" s="4" t="s">
        <v>96</v>
      </c>
      <c r="H176" s="4" t="s">
        <v>97</v>
      </c>
      <c r="I176" s="4"/>
      <c r="J176" s="4"/>
      <c r="K176" s="4">
        <v>231</v>
      </c>
      <c r="L176" s="4">
        <v>12</v>
      </c>
      <c r="M176" s="4">
        <v>3</v>
      </c>
      <c r="N176" s="4" t="s">
        <v>3</v>
      </c>
      <c r="O176" s="4">
        <v>2</v>
      </c>
      <c r="P176" s="4"/>
      <c r="Q176" s="4"/>
      <c r="R176" s="4"/>
      <c r="S176" s="4"/>
      <c r="T176" s="4"/>
      <c r="U176" s="4"/>
      <c r="V176" s="4"/>
      <c r="W176" s="4"/>
    </row>
    <row r="177" spans="1:88" x14ac:dyDescent="0.2">
      <c r="A177" s="4">
        <v>50</v>
      </c>
      <c r="B177" s="4">
        <v>0</v>
      </c>
      <c r="C177" s="4">
        <v>0</v>
      </c>
      <c r="D177" s="4">
        <v>1</v>
      </c>
      <c r="E177" s="4">
        <v>204</v>
      </c>
      <c r="F177" s="4">
        <f>ROUND(Source!R163,O177)</f>
        <v>338.98</v>
      </c>
      <c r="G177" s="4" t="s">
        <v>98</v>
      </c>
      <c r="H177" s="4" t="s">
        <v>99</v>
      </c>
      <c r="I177" s="4"/>
      <c r="J177" s="4"/>
      <c r="K177" s="4">
        <v>204</v>
      </c>
      <c r="L177" s="4">
        <v>13</v>
      </c>
      <c r="M177" s="4">
        <v>3</v>
      </c>
      <c r="N177" s="4" t="s">
        <v>3</v>
      </c>
      <c r="O177" s="4">
        <v>2</v>
      </c>
      <c r="P177" s="4"/>
      <c r="Q177" s="4"/>
      <c r="R177" s="4"/>
      <c r="S177" s="4"/>
      <c r="T177" s="4"/>
      <c r="U177" s="4"/>
      <c r="V177" s="4"/>
      <c r="W177" s="4"/>
    </row>
    <row r="178" spans="1:88" x14ac:dyDescent="0.2">
      <c r="A178" s="4">
        <v>50</v>
      </c>
      <c r="B178" s="4">
        <v>0</v>
      </c>
      <c r="C178" s="4">
        <v>0</v>
      </c>
      <c r="D178" s="4">
        <v>1</v>
      </c>
      <c r="E178" s="4">
        <v>205</v>
      </c>
      <c r="F178" s="4">
        <f>ROUND(Source!S163,O178)</f>
        <v>6878.24</v>
      </c>
      <c r="G178" s="4" t="s">
        <v>100</v>
      </c>
      <c r="H178" s="4" t="s">
        <v>101</v>
      </c>
      <c r="I178" s="4"/>
      <c r="J178" s="4"/>
      <c r="K178" s="4">
        <v>205</v>
      </c>
      <c r="L178" s="4">
        <v>14</v>
      </c>
      <c r="M178" s="4">
        <v>3</v>
      </c>
      <c r="N178" s="4" t="s">
        <v>3</v>
      </c>
      <c r="O178" s="4">
        <v>2</v>
      </c>
      <c r="P178" s="4"/>
      <c r="Q178" s="4"/>
      <c r="R178" s="4"/>
      <c r="S178" s="4"/>
      <c r="T178" s="4"/>
      <c r="U178" s="4"/>
      <c r="V178" s="4"/>
      <c r="W178" s="4"/>
    </row>
    <row r="179" spans="1:88" x14ac:dyDescent="0.2">
      <c r="A179" s="4">
        <v>50</v>
      </c>
      <c r="B179" s="4">
        <v>0</v>
      </c>
      <c r="C179" s="4">
        <v>0</v>
      </c>
      <c r="D179" s="4">
        <v>1</v>
      </c>
      <c r="E179" s="4">
        <v>232</v>
      </c>
      <c r="F179" s="4">
        <f>ROUND(Source!BC163,O179)</f>
        <v>0</v>
      </c>
      <c r="G179" s="4" t="s">
        <v>102</v>
      </c>
      <c r="H179" s="4" t="s">
        <v>103</v>
      </c>
      <c r="I179" s="4"/>
      <c r="J179" s="4"/>
      <c r="K179" s="4">
        <v>232</v>
      </c>
      <c r="L179" s="4">
        <v>15</v>
      </c>
      <c r="M179" s="4">
        <v>3</v>
      </c>
      <c r="N179" s="4" t="s">
        <v>3</v>
      </c>
      <c r="O179" s="4">
        <v>2</v>
      </c>
      <c r="P179" s="4"/>
      <c r="Q179" s="4"/>
      <c r="R179" s="4"/>
      <c r="S179" s="4"/>
      <c r="T179" s="4"/>
      <c r="U179" s="4"/>
      <c r="V179" s="4"/>
      <c r="W179" s="4"/>
    </row>
    <row r="180" spans="1:88" x14ac:dyDescent="0.2">
      <c r="A180" s="4">
        <v>50</v>
      </c>
      <c r="B180" s="4">
        <v>0</v>
      </c>
      <c r="C180" s="4">
        <v>0</v>
      </c>
      <c r="D180" s="4">
        <v>1</v>
      </c>
      <c r="E180" s="4">
        <v>214</v>
      </c>
      <c r="F180" s="4">
        <f>ROUND(Source!AS163,O180)</f>
        <v>17208.84</v>
      </c>
      <c r="G180" s="4" t="s">
        <v>104</v>
      </c>
      <c r="H180" s="4" t="s">
        <v>105</v>
      </c>
      <c r="I180" s="4"/>
      <c r="J180" s="4"/>
      <c r="K180" s="4">
        <v>214</v>
      </c>
      <c r="L180" s="4">
        <v>16</v>
      </c>
      <c r="M180" s="4">
        <v>3</v>
      </c>
      <c r="N180" s="4" t="s">
        <v>3</v>
      </c>
      <c r="O180" s="4">
        <v>2</v>
      </c>
      <c r="P180" s="4"/>
      <c r="Q180" s="4"/>
      <c r="R180" s="4"/>
      <c r="S180" s="4"/>
      <c r="T180" s="4"/>
      <c r="U180" s="4"/>
      <c r="V180" s="4"/>
      <c r="W180" s="4"/>
    </row>
    <row r="181" spans="1:88" x14ac:dyDescent="0.2">
      <c r="A181" s="4">
        <v>50</v>
      </c>
      <c r="B181" s="4">
        <v>0</v>
      </c>
      <c r="C181" s="4">
        <v>0</v>
      </c>
      <c r="D181" s="4">
        <v>1</v>
      </c>
      <c r="E181" s="4">
        <v>215</v>
      </c>
      <c r="F181" s="4">
        <f>ROUND(Source!AT163,O181)</f>
        <v>0</v>
      </c>
      <c r="G181" s="4" t="s">
        <v>106</v>
      </c>
      <c r="H181" s="4" t="s">
        <v>107</v>
      </c>
      <c r="I181" s="4"/>
      <c r="J181" s="4"/>
      <c r="K181" s="4">
        <v>215</v>
      </c>
      <c r="L181" s="4">
        <v>17</v>
      </c>
      <c r="M181" s="4">
        <v>3</v>
      </c>
      <c r="N181" s="4" t="s">
        <v>3</v>
      </c>
      <c r="O181" s="4">
        <v>2</v>
      </c>
      <c r="P181" s="4"/>
      <c r="Q181" s="4"/>
      <c r="R181" s="4"/>
      <c r="S181" s="4"/>
      <c r="T181" s="4"/>
      <c r="U181" s="4"/>
      <c r="V181" s="4"/>
      <c r="W181" s="4"/>
    </row>
    <row r="182" spans="1:88" x14ac:dyDescent="0.2">
      <c r="A182" s="4">
        <v>50</v>
      </c>
      <c r="B182" s="4">
        <v>0</v>
      </c>
      <c r="C182" s="4">
        <v>0</v>
      </c>
      <c r="D182" s="4">
        <v>1</v>
      </c>
      <c r="E182" s="4">
        <v>217</v>
      </c>
      <c r="F182" s="4">
        <f>ROUND(Source!AU163,O182)</f>
        <v>0</v>
      </c>
      <c r="G182" s="4" t="s">
        <v>108</v>
      </c>
      <c r="H182" s="4" t="s">
        <v>109</v>
      </c>
      <c r="I182" s="4"/>
      <c r="J182" s="4"/>
      <c r="K182" s="4">
        <v>217</v>
      </c>
      <c r="L182" s="4">
        <v>18</v>
      </c>
      <c r="M182" s="4">
        <v>3</v>
      </c>
      <c r="N182" s="4" t="s">
        <v>3</v>
      </c>
      <c r="O182" s="4">
        <v>2</v>
      </c>
      <c r="P182" s="4"/>
      <c r="Q182" s="4"/>
      <c r="R182" s="4"/>
      <c r="S182" s="4"/>
      <c r="T182" s="4"/>
      <c r="U182" s="4"/>
      <c r="V182" s="4"/>
      <c r="W182" s="4"/>
    </row>
    <row r="183" spans="1:88" x14ac:dyDescent="0.2">
      <c r="A183" s="4">
        <v>50</v>
      </c>
      <c r="B183" s="4">
        <v>0</v>
      </c>
      <c r="C183" s="4">
        <v>0</v>
      </c>
      <c r="D183" s="4">
        <v>1</v>
      </c>
      <c r="E183" s="4">
        <v>230</v>
      </c>
      <c r="F183" s="4">
        <f>ROUND(Source!BA163,O183)</f>
        <v>0</v>
      </c>
      <c r="G183" s="4" t="s">
        <v>110</v>
      </c>
      <c r="H183" s="4" t="s">
        <v>111</v>
      </c>
      <c r="I183" s="4"/>
      <c r="J183" s="4"/>
      <c r="K183" s="4">
        <v>230</v>
      </c>
      <c r="L183" s="4">
        <v>19</v>
      </c>
      <c r="M183" s="4">
        <v>3</v>
      </c>
      <c r="N183" s="4" t="s">
        <v>3</v>
      </c>
      <c r="O183" s="4">
        <v>2</v>
      </c>
      <c r="P183" s="4"/>
      <c r="Q183" s="4"/>
      <c r="R183" s="4"/>
      <c r="S183" s="4"/>
      <c r="T183" s="4"/>
      <c r="U183" s="4"/>
      <c r="V183" s="4"/>
      <c r="W183" s="4"/>
    </row>
    <row r="184" spans="1:88" x14ac:dyDescent="0.2">
      <c r="A184" s="4">
        <v>50</v>
      </c>
      <c r="B184" s="4">
        <v>0</v>
      </c>
      <c r="C184" s="4">
        <v>0</v>
      </c>
      <c r="D184" s="4">
        <v>1</v>
      </c>
      <c r="E184" s="4">
        <v>206</v>
      </c>
      <c r="F184" s="4">
        <f>ROUND(Source!T163,O184)</f>
        <v>0</v>
      </c>
      <c r="G184" s="4" t="s">
        <v>112</v>
      </c>
      <c r="H184" s="4" t="s">
        <v>113</v>
      </c>
      <c r="I184" s="4"/>
      <c r="J184" s="4"/>
      <c r="K184" s="4">
        <v>206</v>
      </c>
      <c r="L184" s="4">
        <v>20</v>
      </c>
      <c r="M184" s="4">
        <v>3</v>
      </c>
      <c r="N184" s="4" t="s">
        <v>3</v>
      </c>
      <c r="O184" s="4">
        <v>2</v>
      </c>
      <c r="P184" s="4"/>
      <c r="Q184" s="4"/>
      <c r="R184" s="4"/>
      <c r="S184" s="4"/>
      <c r="T184" s="4"/>
      <c r="U184" s="4"/>
      <c r="V184" s="4"/>
      <c r="W184" s="4"/>
    </row>
    <row r="185" spans="1:88" x14ac:dyDescent="0.2">
      <c r="A185" s="4">
        <v>50</v>
      </c>
      <c r="B185" s="4">
        <v>0</v>
      </c>
      <c r="C185" s="4">
        <v>0</v>
      </c>
      <c r="D185" s="4">
        <v>1</v>
      </c>
      <c r="E185" s="4">
        <v>207</v>
      </c>
      <c r="F185" s="4">
        <f>Source!U163</f>
        <v>36.181439999999995</v>
      </c>
      <c r="G185" s="4" t="s">
        <v>114</v>
      </c>
      <c r="H185" s="4" t="s">
        <v>115</v>
      </c>
      <c r="I185" s="4"/>
      <c r="J185" s="4"/>
      <c r="K185" s="4">
        <v>207</v>
      </c>
      <c r="L185" s="4">
        <v>21</v>
      </c>
      <c r="M185" s="4">
        <v>3</v>
      </c>
      <c r="N185" s="4" t="s">
        <v>3</v>
      </c>
      <c r="O185" s="4">
        <v>-1</v>
      </c>
      <c r="P185" s="4"/>
      <c r="Q185" s="4"/>
      <c r="R185" s="4"/>
      <c r="S185" s="4"/>
      <c r="T185" s="4"/>
      <c r="U185" s="4"/>
      <c r="V185" s="4"/>
      <c r="W185" s="4"/>
    </row>
    <row r="186" spans="1:88" x14ac:dyDescent="0.2">
      <c r="A186" s="4">
        <v>50</v>
      </c>
      <c r="B186" s="4">
        <v>0</v>
      </c>
      <c r="C186" s="4">
        <v>0</v>
      </c>
      <c r="D186" s="4">
        <v>1</v>
      </c>
      <c r="E186" s="4">
        <v>208</v>
      </c>
      <c r="F186" s="4">
        <f>Source!V163</f>
        <v>0</v>
      </c>
      <c r="G186" s="4" t="s">
        <v>116</v>
      </c>
      <c r="H186" s="4" t="s">
        <v>117</v>
      </c>
      <c r="I186" s="4"/>
      <c r="J186" s="4"/>
      <c r="K186" s="4">
        <v>208</v>
      </c>
      <c r="L186" s="4">
        <v>22</v>
      </c>
      <c r="M186" s="4">
        <v>3</v>
      </c>
      <c r="N186" s="4" t="s">
        <v>3</v>
      </c>
      <c r="O186" s="4">
        <v>-1</v>
      </c>
      <c r="P186" s="4"/>
      <c r="Q186" s="4"/>
      <c r="R186" s="4"/>
      <c r="S186" s="4"/>
      <c r="T186" s="4"/>
      <c r="U186" s="4"/>
      <c r="V186" s="4"/>
      <c r="W186" s="4"/>
    </row>
    <row r="187" spans="1:88" x14ac:dyDescent="0.2">
      <c r="A187" s="4">
        <v>50</v>
      </c>
      <c r="B187" s="4">
        <v>0</v>
      </c>
      <c r="C187" s="4">
        <v>0</v>
      </c>
      <c r="D187" s="4">
        <v>1</v>
      </c>
      <c r="E187" s="4">
        <v>209</v>
      </c>
      <c r="F187" s="4">
        <f>ROUND(Source!W163,O187)</f>
        <v>0</v>
      </c>
      <c r="G187" s="4" t="s">
        <v>118</v>
      </c>
      <c r="H187" s="4" t="s">
        <v>119</v>
      </c>
      <c r="I187" s="4"/>
      <c r="J187" s="4"/>
      <c r="K187" s="4">
        <v>209</v>
      </c>
      <c r="L187" s="4">
        <v>23</v>
      </c>
      <c r="M187" s="4">
        <v>3</v>
      </c>
      <c r="N187" s="4" t="s">
        <v>3</v>
      </c>
      <c r="O187" s="4">
        <v>2</v>
      </c>
      <c r="P187" s="4"/>
      <c r="Q187" s="4"/>
      <c r="R187" s="4"/>
      <c r="S187" s="4"/>
      <c r="T187" s="4"/>
      <c r="U187" s="4"/>
      <c r="V187" s="4"/>
      <c r="W187" s="4"/>
    </row>
    <row r="188" spans="1:88" x14ac:dyDescent="0.2">
      <c r="A188" s="4">
        <v>50</v>
      </c>
      <c r="B188" s="4">
        <v>0</v>
      </c>
      <c r="C188" s="4">
        <v>0</v>
      </c>
      <c r="D188" s="4">
        <v>1</v>
      </c>
      <c r="E188" s="4">
        <v>210</v>
      </c>
      <c r="F188" s="4">
        <f>ROUND(Source!X163,O188)</f>
        <v>6138.43</v>
      </c>
      <c r="G188" s="4" t="s">
        <v>120</v>
      </c>
      <c r="H188" s="4" t="s">
        <v>121</v>
      </c>
      <c r="I188" s="4"/>
      <c r="J188" s="4"/>
      <c r="K188" s="4">
        <v>210</v>
      </c>
      <c r="L188" s="4">
        <v>24</v>
      </c>
      <c r="M188" s="4">
        <v>3</v>
      </c>
      <c r="N188" s="4" t="s">
        <v>3</v>
      </c>
      <c r="O188" s="4">
        <v>2</v>
      </c>
      <c r="P188" s="4"/>
      <c r="Q188" s="4"/>
      <c r="R188" s="4"/>
      <c r="S188" s="4"/>
      <c r="T188" s="4"/>
      <c r="U188" s="4"/>
      <c r="V188" s="4"/>
      <c r="W188" s="4"/>
    </row>
    <row r="189" spans="1:88" x14ac:dyDescent="0.2">
      <c r="A189" s="4">
        <v>50</v>
      </c>
      <c r="B189" s="4">
        <v>0</v>
      </c>
      <c r="C189" s="4">
        <v>0</v>
      </c>
      <c r="D189" s="4">
        <v>1</v>
      </c>
      <c r="E189" s="4">
        <v>211</v>
      </c>
      <c r="F189" s="4">
        <f>ROUND(Source!Y163,O189)</f>
        <v>3047.42</v>
      </c>
      <c r="G189" s="4" t="s">
        <v>122</v>
      </c>
      <c r="H189" s="4" t="s">
        <v>123</v>
      </c>
      <c r="I189" s="4"/>
      <c r="J189" s="4"/>
      <c r="K189" s="4">
        <v>211</v>
      </c>
      <c r="L189" s="4">
        <v>25</v>
      </c>
      <c r="M189" s="4">
        <v>3</v>
      </c>
      <c r="N189" s="4" t="s">
        <v>3</v>
      </c>
      <c r="O189" s="4">
        <v>2</v>
      </c>
      <c r="P189" s="4"/>
      <c r="Q189" s="4"/>
      <c r="R189" s="4"/>
      <c r="S189" s="4"/>
      <c r="T189" s="4"/>
      <c r="U189" s="4"/>
      <c r="V189" s="4"/>
      <c r="W189" s="4"/>
    </row>
    <row r="190" spans="1:88" x14ac:dyDescent="0.2">
      <c r="A190" s="4">
        <v>50</v>
      </c>
      <c r="B190" s="4">
        <v>0</v>
      </c>
      <c r="C190" s="4">
        <v>0</v>
      </c>
      <c r="D190" s="4">
        <v>1</v>
      </c>
      <c r="E190" s="4">
        <v>224</v>
      </c>
      <c r="F190" s="4">
        <f>ROUND(Source!AR163,O190)</f>
        <v>17208.84</v>
      </c>
      <c r="G190" s="4" t="s">
        <v>124</v>
      </c>
      <c r="H190" s="4" t="s">
        <v>125</v>
      </c>
      <c r="I190" s="4"/>
      <c r="J190" s="4"/>
      <c r="K190" s="4">
        <v>224</v>
      </c>
      <c r="L190" s="4">
        <v>26</v>
      </c>
      <c r="M190" s="4">
        <v>3</v>
      </c>
      <c r="N190" s="4" t="s">
        <v>3</v>
      </c>
      <c r="O190" s="4">
        <v>2</v>
      </c>
      <c r="P190" s="4"/>
      <c r="Q190" s="4"/>
      <c r="R190" s="4"/>
      <c r="S190" s="4"/>
      <c r="T190" s="4"/>
      <c r="U190" s="4"/>
      <c r="V190" s="4"/>
      <c r="W190" s="4"/>
    </row>
    <row r="192" spans="1:88" x14ac:dyDescent="0.2">
      <c r="A192" s="1">
        <v>5</v>
      </c>
      <c r="B192" s="1">
        <v>1</v>
      </c>
      <c r="C192" s="1"/>
      <c r="D192" s="1">
        <f>ROW(A214)</f>
        <v>214</v>
      </c>
      <c r="E192" s="1"/>
      <c r="F192" s="1" t="s">
        <v>160</v>
      </c>
      <c r="G192" s="1" t="s">
        <v>161</v>
      </c>
      <c r="H192" s="1" t="s">
        <v>3</v>
      </c>
      <c r="I192" s="1">
        <v>0</v>
      </c>
      <c r="J192" s="1"/>
      <c r="K192" s="1">
        <v>-1</v>
      </c>
      <c r="L192" s="1"/>
      <c r="M192" s="1"/>
      <c r="N192" s="1"/>
      <c r="O192" s="1"/>
      <c r="P192" s="1"/>
      <c r="Q192" s="1"/>
      <c r="R192" s="1"/>
      <c r="S192" s="1"/>
      <c r="T192" s="1"/>
      <c r="U192" s="1" t="s">
        <v>3</v>
      </c>
      <c r="V192" s="1">
        <v>0</v>
      </c>
      <c r="W192" s="1"/>
      <c r="X192" s="1"/>
      <c r="Y192" s="1"/>
      <c r="Z192" s="1"/>
      <c r="AA192" s="1"/>
      <c r="AB192" s="1" t="s">
        <v>3</v>
      </c>
      <c r="AC192" s="1" t="s">
        <v>3</v>
      </c>
      <c r="AD192" s="1" t="s">
        <v>3</v>
      </c>
      <c r="AE192" s="1" t="s">
        <v>3</v>
      </c>
      <c r="AF192" s="1" t="s">
        <v>3</v>
      </c>
      <c r="AG192" s="1" t="s">
        <v>3</v>
      </c>
      <c r="AH192" s="1"/>
      <c r="AI192" s="1"/>
      <c r="AJ192" s="1"/>
      <c r="AK192" s="1"/>
      <c r="AL192" s="1"/>
      <c r="AM192" s="1"/>
      <c r="AN192" s="1"/>
      <c r="AO192" s="1"/>
      <c r="AP192" s="1" t="s">
        <v>3</v>
      </c>
      <c r="AQ192" s="1" t="s">
        <v>3</v>
      </c>
      <c r="AR192" s="1" t="s">
        <v>3</v>
      </c>
      <c r="AS192" s="1"/>
      <c r="AT192" s="1"/>
      <c r="AU192" s="1"/>
      <c r="AV192" s="1"/>
      <c r="AW192" s="1"/>
      <c r="AX192" s="1"/>
      <c r="AY192" s="1"/>
      <c r="AZ192" s="1" t="s">
        <v>3</v>
      </c>
      <c r="BA192" s="1"/>
      <c r="BB192" s="1" t="s">
        <v>3</v>
      </c>
      <c r="BC192" s="1" t="s">
        <v>3</v>
      </c>
      <c r="BD192" s="1" t="s">
        <v>3</v>
      </c>
      <c r="BE192" s="1" t="s">
        <v>3</v>
      </c>
      <c r="BF192" s="1" t="s">
        <v>3</v>
      </c>
      <c r="BG192" s="1" t="s">
        <v>3</v>
      </c>
      <c r="BH192" s="1" t="s">
        <v>3</v>
      </c>
      <c r="BI192" s="1" t="s">
        <v>3</v>
      </c>
      <c r="BJ192" s="1" t="s">
        <v>3</v>
      </c>
      <c r="BK192" s="1" t="s">
        <v>3</v>
      </c>
      <c r="BL192" s="1" t="s">
        <v>3</v>
      </c>
      <c r="BM192" s="1" t="s">
        <v>3</v>
      </c>
      <c r="BN192" s="1" t="s">
        <v>3</v>
      </c>
      <c r="BO192" s="1" t="s">
        <v>3</v>
      </c>
      <c r="BP192" s="1" t="s">
        <v>3</v>
      </c>
      <c r="BQ192" s="1"/>
      <c r="BR192" s="1"/>
      <c r="BS192" s="1"/>
      <c r="BT192" s="1"/>
      <c r="BU192" s="1"/>
      <c r="BV192" s="1"/>
      <c r="BW192" s="1"/>
      <c r="BX192" s="1">
        <v>0</v>
      </c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>
        <v>0</v>
      </c>
    </row>
    <row r="194" spans="1:245" x14ac:dyDescent="0.2">
      <c r="A194" s="2">
        <v>52</v>
      </c>
      <c r="B194" s="2">
        <f t="shared" ref="B194:G194" si="139">B214</f>
        <v>1</v>
      </c>
      <c r="C194" s="2">
        <f t="shared" si="139"/>
        <v>5</v>
      </c>
      <c r="D194" s="2">
        <f t="shared" si="139"/>
        <v>192</v>
      </c>
      <c r="E194" s="2">
        <f t="shared" si="139"/>
        <v>0</v>
      </c>
      <c r="F194" s="2" t="str">
        <f t="shared" si="139"/>
        <v>2.1</v>
      </c>
      <c r="G194" s="2" t="str">
        <f t="shared" si="139"/>
        <v>2.1 Монтаж кабельной линии</v>
      </c>
      <c r="H194" s="2"/>
      <c r="I194" s="2"/>
      <c r="J194" s="2"/>
      <c r="K194" s="2"/>
      <c r="L194" s="2"/>
      <c r="M194" s="2"/>
      <c r="N194" s="2"/>
      <c r="O194" s="2">
        <f t="shared" ref="O194:AT194" si="140">O214</f>
        <v>2987100.43</v>
      </c>
      <c r="P194" s="2">
        <f t="shared" si="140"/>
        <v>2580326.5099999998</v>
      </c>
      <c r="Q194" s="2">
        <f t="shared" si="140"/>
        <v>182724.47</v>
      </c>
      <c r="R194" s="2">
        <f t="shared" si="140"/>
        <v>72962.759999999995</v>
      </c>
      <c r="S194" s="2">
        <f t="shared" si="140"/>
        <v>224049.45</v>
      </c>
      <c r="T194" s="2">
        <f t="shared" si="140"/>
        <v>0</v>
      </c>
      <c r="U194" s="2">
        <f t="shared" si="140"/>
        <v>1003.38932</v>
      </c>
      <c r="V194" s="2">
        <f t="shared" si="140"/>
        <v>0</v>
      </c>
      <c r="W194" s="2">
        <f t="shared" si="140"/>
        <v>0</v>
      </c>
      <c r="X194" s="2">
        <f t="shared" si="140"/>
        <v>212846.98</v>
      </c>
      <c r="Y194" s="2">
        <f t="shared" si="140"/>
        <v>103062.76</v>
      </c>
      <c r="Z194" s="2">
        <f t="shared" si="140"/>
        <v>0</v>
      </c>
      <c r="AA194" s="2">
        <f t="shared" si="140"/>
        <v>0</v>
      </c>
      <c r="AB194" s="2">
        <f t="shared" si="140"/>
        <v>2987100.43</v>
      </c>
      <c r="AC194" s="2">
        <f t="shared" si="140"/>
        <v>2580326.5099999998</v>
      </c>
      <c r="AD194" s="2">
        <f t="shared" si="140"/>
        <v>182724.47</v>
      </c>
      <c r="AE194" s="2">
        <f t="shared" si="140"/>
        <v>72962.759999999995</v>
      </c>
      <c r="AF194" s="2">
        <f t="shared" si="140"/>
        <v>224049.45</v>
      </c>
      <c r="AG194" s="2">
        <f t="shared" si="140"/>
        <v>0</v>
      </c>
      <c r="AH194" s="2">
        <f t="shared" si="140"/>
        <v>1003.38932</v>
      </c>
      <c r="AI194" s="2">
        <f t="shared" si="140"/>
        <v>0</v>
      </c>
      <c r="AJ194" s="2">
        <f t="shared" si="140"/>
        <v>0</v>
      </c>
      <c r="AK194" s="2">
        <f t="shared" si="140"/>
        <v>212846.98</v>
      </c>
      <c r="AL194" s="2">
        <f t="shared" si="140"/>
        <v>103062.76</v>
      </c>
      <c r="AM194" s="2">
        <f t="shared" si="140"/>
        <v>0</v>
      </c>
      <c r="AN194" s="2">
        <f t="shared" si="140"/>
        <v>0</v>
      </c>
      <c r="AO194" s="2">
        <f t="shared" si="140"/>
        <v>0</v>
      </c>
      <c r="AP194" s="2">
        <f t="shared" si="140"/>
        <v>0</v>
      </c>
      <c r="AQ194" s="2">
        <f t="shared" si="140"/>
        <v>0</v>
      </c>
      <c r="AR194" s="2">
        <f t="shared" si="140"/>
        <v>3424857.97</v>
      </c>
      <c r="AS194" s="2">
        <f t="shared" si="140"/>
        <v>0</v>
      </c>
      <c r="AT194" s="2">
        <f t="shared" si="140"/>
        <v>3424857.97</v>
      </c>
      <c r="AU194" s="2">
        <f t="shared" ref="AU194:BZ194" si="141">AU214</f>
        <v>0</v>
      </c>
      <c r="AV194" s="2">
        <f t="shared" si="141"/>
        <v>2580326.5099999998</v>
      </c>
      <c r="AW194" s="2">
        <f t="shared" si="141"/>
        <v>2580326.5099999998</v>
      </c>
      <c r="AX194" s="2">
        <f t="shared" si="141"/>
        <v>0</v>
      </c>
      <c r="AY194" s="2">
        <f t="shared" si="141"/>
        <v>2580326.5099999998</v>
      </c>
      <c r="AZ194" s="2">
        <f t="shared" si="141"/>
        <v>0</v>
      </c>
      <c r="BA194" s="2">
        <f t="shared" si="141"/>
        <v>0</v>
      </c>
      <c r="BB194" s="2">
        <f t="shared" si="141"/>
        <v>0</v>
      </c>
      <c r="BC194" s="2">
        <f t="shared" si="141"/>
        <v>0</v>
      </c>
      <c r="BD194" s="2">
        <f t="shared" si="141"/>
        <v>0</v>
      </c>
      <c r="BE194" s="2">
        <f t="shared" si="141"/>
        <v>0</v>
      </c>
      <c r="BF194" s="2">
        <f t="shared" si="141"/>
        <v>0</v>
      </c>
      <c r="BG194" s="2">
        <f t="shared" si="141"/>
        <v>0</v>
      </c>
      <c r="BH194" s="2">
        <f t="shared" si="141"/>
        <v>0</v>
      </c>
      <c r="BI194" s="2">
        <f t="shared" si="141"/>
        <v>0</v>
      </c>
      <c r="BJ194" s="2">
        <f t="shared" si="141"/>
        <v>0</v>
      </c>
      <c r="BK194" s="2">
        <f t="shared" si="141"/>
        <v>0</v>
      </c>
      <c r="BL194" s="2">
        <f t="shared" si="141"/>
        <v>0</v>
      </c>
      <c r="BM194" s="2">
        <f t="shared" si="141"/>
        <v>0</v>
      </c>
      <c r="BN194" s="2">
        <f t="shared" si="141"/>
        <v>0</v>
      </c>
      <c r="BO194" s="2">
        <f t="shared" si="141"/>
        <v>0</v>
      </c>
      <c r="BP194" s="2">
        <f t="shared" si="141"/>
        <v>0</v>
      </c>
      <c r="BQ194" s="2">
        <f t="shared" si="141"/>
        <v>0</v>
      </c>
      <c r="BR194" s="2">
        <f t="shared" si="141"/>
        <v>0</v>
      </c>
      <c r="BS194" s="2">
        <f t="shared" si="141"/>
        <v>0</v>
      </c>
      <c r="BT194" s="2">
        <f t="shared" si="141"/>
        <v>0</v>
      </c>
      <c r="BU194" s="2">
        <f t="shared" si="141"/>
        <v>0</v>
      </c>
      <c r="BV194" s="2">
        <f t="shared" si="141"/>
        <v>0</v>
      </c>
      <c r="BW194" s="2">
        <f t="shared" si="141"/>
        <v>0</v>
      </c>
      <c r="BX194" s="2">
        <f t="shared" si="141"/>
        <v>0</v>
      </c>
      <c r="BY194" s="2">
        <f t="shared" si="141"/>
        <v>0</v>
      </c>
      <c r="BZ194" s="2">
        <f t="shared" si="141"/>
        <v>0</v>
      </c>
      <c r="CA194" s="2">
        <f t="shared" ref="CA194:DF194" si="142">CA214</f>
        <v>3424857.97</v>
      </c>
      <c r="CB194" s="2">
        <f t="shared" si="142"/>
        <v>0</v>
      </c>
      <c r="CC194" s="2">
        <f t="shared" si="142"/>
        <v>3424857.97</v>
      </c>
      <c r="CD194" s="2">
        <f t="shared" si="142"/>
        <v>0</v>
      </c>
      <c r="CE194" s="2">
        <f t="shared" si="142"/>
        <v>2580326.5099999998</v>
      </c>
      <c r="CF194" s="2">
        <f t="shared" si="142"/>
        <v>2580326.5099999998</v>
      </c>
      <c r="CG194" s="2">
        <f t="shared" si="142"/>
        <v>0</v>
      </c>
      <c r="CH194" s="2">
        <f t="shared" si="142"/>
        <v>2580326.5099999998</v>
      </c>
      <c r="CI194" s="2">
        <f t="shared" si="142"/>
        <v>0</v>
      </c>
      <c r="CJ194" s="2">
        <f t="shared" si="142"/>
        <v>0</v>
      </c>
      <c r="CK194" s="2">
        <f t="shared" si="142"/>
        <v>0</v>
      </c>
      <c r="CL194" s="2">
        <f t="shared" si="142"/>
        <v>0</v>
      </c>
      <c r="CM194" s="2">
        <f t="shared" si="142"/>
        <v>0</v>
      </c>
      <c r="CN194" s="2">
        <f t="shared" si="142"/>
        <v>0</v>
      </c>
      <c r="CO194" s="2">
        <f t="shared" si="142"/>
        <v>0</v>
      </c>
      <c r="CP194" s="2">
        <f t="shared" si="142"/>
        <v>0</v>
      </c>
      <c r="CQ194" s="2">
        <f t="shared" si="142"/>
        <v>0</v>
      </c>
      <c r="CR194" s="2">
        <f t="shared" si="142"/>
        <v>0</v>
      </c>
      <c r="CS194" s="2">
        <f t="shared" si="142"/>
        <v>0</v>
      </c>
      <c r="CT194" s="2">
        <f t="shared" si="142"/>
        <v>0</v>
      </c>
      <c r="CU194" s="2">
        <f t="shared" si="142"/>
        <v>0</v>
      </c>
      <c r="CV194" s="2">
        <f t="shared" si="142"/>
        <v>0</v>
      </c>
      <c r="CW194" s="2">
        <f t="shared" si="142"/>
        <v>0</v>
      </c>
      <c r="CX194" s="2">
        <f t="shared" si="142"/>
        <v>0</v>
      </c>
      <c r="CY194" s="2">
        <f t="shared" si="142"/>
        <v>0</v>
      </c>
      <c r="CZ194" s="2">
        <f t="shared" si="142"/>
        <v>0</v>
      </c>
      <c r="DA194" s="2">
        <f t="shared" si="142"/>
        <v>0</v>
      </c>
      <c r="DB194" s="2">
        <f t="shared" si="142"/>
        <v>0</v>
      </c>
      <c r="DC194" s="2">
        <f t="shared" si="142"/>
        <v>0</v>
      </c>
      <c r="DD194" s="2">
        <f t="shared" si="142"/>
        <v>0</v>
      </c>
      <c r="DE194" s="2">
        <f t="shared" si="142"/>
        <v>0</v>
      </c>
      <c r="DF194" s="2">
        <f t="shared" si="142"/>
        <v>0</v>
      </c>
      <c r="DG194" s="3">
        <f t="shared" ref="DG194:EL194" si="143">DG214</f>
        <v>0</v>
      </c>
      <c r="DH194" s="3">
        <f t="shared" si="143"/>
        <v>0</v>
      </c>
      <c r="DI194" s="3">
        <f t="shared" si="143"/>
        <v>0</v>
      </c>
      <c r="DJ194" s="3">
        <f t="shared" si="143"/>
        <v>0</v>
      </c>
      <c r="DK194" s="3">
        <f t="shared" si="143"/>
        <v>0</v>
      </c>
      <c r="DL194" s="3">
        <f t="shared" si="143"/>
        <v>0</v>
      </c>
      <c r="DM194" s="3">
        <f t="shared" si="143"/>
        <v>0</v>
      </c>
      <c r="DN194" s="3">
        <f t="shared" si="143"/>
        <v>0</v>
      </c>
      <c r="DO194" s="3">
        <f t="shared" si="143"/>
        <v>0</v>
      </c>
      <c r="DP194" s="3">
        <f t="shared" si="143"/>
        <v>0</v>
      </c>
      <c r="DQ194" s="3">
        <f t="shared" si="143"/>
        <v>0</v>
      </c>
      <c r="DR194" s="3">
        <f t="shared" si="143"/>
        <v>0</v>
      </c>
      <c r="DS194" s="3">
        <f t="shared" si="143"/>
        <v>0</v>
      </c>
      <c r="DT194" s="3">
        <f t="shared" si="143"/>
        <v>0</v>
      </c>
      <c r="DU194" s="3">
        <f t="shared" si="143"/>
        <v>0</v>
      </c>
      <c r="DV194" s="3">
        <f t="shared" si="143"/>
        <v>0</v>
      </c>
      <c r="DW194" s="3">
        <f t="shared" si="143"/>
        <v>0</v>
      </c>
      <c r="DX194" s="3">
        <f t="shared" si="143"/>
        <v>0</v>
      </c>
      <c r="DY194" s="3">
        <f t="shared" si="143"/>
        <v>0</v>
      </c>
      <c r="DZ194" s="3">
        <f t="shared" si="143"/>
        <v>0</v>
      </c>
      <c r="EA194" s="3">
        <f t="shared" si="143"/>
        <v>0</v>
      </c>
      <c r="EB194" s="3">
        <f t="shared" si="143"/>
        <v>0</v>
      </c>
      <c r="EC194" s="3">
        <f t="shared" si="143"/>
        <v>0</v>
      </c>
      <c r="ED194" s="3">
        <f t="shared" si="143"/>
        <v>0</v>
      </c>
      <c r="EE194" s="3">
        <f t="shared" si="143"/>
        <v>0</v>
      </c>
      <c r="EF194" s="3">
        <f t="shared" si="143"/>
        <v>0</v>
      </c>
      <c r="EG194" s="3">
        <f t="shared" si="143"/>
        <v>0</v>
      </c>
      <c r="EH194" s="3">
        <f t="shared" si="143"/>
        <v>0</v>
      </c>
      <c r="EI194" s="3">
        <f t="shared" si="143"/>
        <v>0</v>
      </c>
      <c r="EJ194" s="3">
        <f t="shared" si="143"/>
        <v>0</v>
      </c>
      <c r="EK194" s="3">
        <f t="shared" si="143"/>
        <v>0</v>
      </c>
      <c r="EL194" s="3">
        <f t="shared" si="143"/>
        <v>0</v>
      </c>
      <c r="EM194" s="3">
        <f t="shared" ref="EM194:FR194" si="144">EM214</f>
        <v>0</v>
      </c>
      <c r="EN194" s="3">
        <f t="shared" si="144"/>
        <v>0</v>
      </c>
      <c r="EO194" s="3">
        <f t="shared" si="144"/>
        <v>0</v>
      </c>
      <c r="EP194" s="3">
        <f t="shared" si="144"/>
        <v>0</v>
      </c>
      <c r="EQ194" s="3">
        <f t="shared" si="144"/>
        <v>0</v>
      </c>
      <c r="ER194" s="3">
        <f t="shared" si="144"/>
        <v>0</v>
      </c>
      <c r="ES194" s="3">
        <f t="shared" si="144"/>
        <v>0</v>
      </c>
      <c r="ET194" s="3">
        <f t="shared" si="144"/>
        <v>0</v>
      </c>
      <c r="EU194" s="3">
        <f t="shared" si="144"/>
        <v>0</v>
      </c>
      <c r="EV194" s="3">
        <f t="shared" si="144"/>
        <v>0</v>
      </c>
      <c r="EW194" s="3">
        <f t="shared" si="144"/>
        <v>0</v>
      </c>
      <c r="EX194" s="3">
        <f t="shared" si="144"/>
        <v>0</v>
      </c>
      <c r="EY194" s="3">
        <f t="shared" si="144"/>
        <v>0</v>
      </c>
      <c r="EZ194" s="3">
        <f t="shared" si="144"/>
        <v>0</v>
      </c>
      <c r="FA194" s="3">
        <f t="shared" si="144"/>
        <v>0</v>
      </c>
      <c r="FB194" s="3">
        <f t="shared" si="144"/>
        <v>0</v>
      </c>
      <c r="FC194" s="3">
        <f t="shared" si="144"/>
        <v>0</v>
      </c>
      <c r="FD194" s="3">
        <f t="shared" si="144"/>
        <v>0</v>
      </c>
      <c r="FE194" s="3">
        <f t="shared" si="144"/>
        <v>0</v>
      </c>
      <c r="FF194" s="3">
        <f t="shared" si="144"/>
        <v>0</v>
      </c>
      <c r="FG194" s="3">
        <f t="shared" si="144"/>
        <v>0</v>
      </c>
      <c r="FH194" s="3">
        <f t="shared" si="144"/>
        <v>0</v>
      </c>
      <c r="FI194" s="3">
        <f t="shared" si="144"/>
        <v>0</v>
      </c>
      <c r="FJ194" s="3">
        <f t="shared" si="144"/>
        <v>0</v>
      </c>
      <c r="FK194" s="3">
        <f t="shared" si="144"/>
        <v>0</v>
      </c>
      <c r="FL194" s="3">
        <f t="shared" si="144"/>
        <v>0</v>
      </c>
      <c r="FM194" s="3">
        <f t="shared" si="144"/>
        <v>0</v>
      </c>
      <c r="FN194" s="3">
        <f t="shared" si="144"/>
        <v>0</v>
      </c>
      <c r="FO194" s="3">
        <f t="shared" si="144"/>
        <v>0</v>
      </c>
      <c r="FP194" s="3">
        <f t="shared" si="144"/>
        <v>0</v>
      </c>
      <c r="FQ194" s="3">
        <f t="shared" si="144"/>
        <v>0</v>
      </c>
      <c r="FR194" s="3">
        <f t="shared" si="144"/>
        <v>0</v>
      </c>
      <c r="FS194" s="3">
        <f t="shared" ref="FS194:GX194" si="145">FS214</f>
        <v>0</v>
      </c>
      <c r="FT194" s="3">
        <f t="shared" si="145"/>
        <v>0</v>
      </c>
      <c r="FU194" s="3">
        <f t="shared" si="145"/>
        <v>0</v>
      </c>
      <c r="FV194" s="3">
        <f t="shared" si="145"/>
        <v>0</v>
      </c>
      <c r="FW194" s="3">
        <f t="shared" si="145"/>
        <v>0</v>
      </c>
      <c r="FX194" s="3">
        <f t="shared" si="145"/>
        <v>0</v>
      </c>
      <c r="FY194" s="3">
        <f t="shared" si="145"/>
        <v>0</v>
      </c>
      <c r="FZ194" s="3">
        <f t="shared" si="145"/>
        <v>0</v>
      </c>
      <c r="GA194" s="3">
        <f t="shared" si="145"/>
        <v>0</v>
      </c>
      <c r="GB194" s="3">
        <f t="shared" si="145"/>
        <v>0</v>
      </c>
      <c r="GC194" s="3">
        <f t="shared" si="145"/>
        <v>0</v>
      </c>
      <c r="GD194" s="3">
        <f t="shared" si="145"/>
        <v>0</v>
      </c>
      <c r="GE194" s="3">
        <f t="shared" si="145"/>
        <v>0</v>
      </c>
      <c r="GF194" s="3">
        <f t="shared" si="145"/>
        <v>0</v>
      </c>
      <c r="GG194" s="3">
        <f t="shared" si="145"/>
        <v>0</v>
      </c>
      <c r="GH194" s="3">
        <f t="shared" si="145"/>
        <v>0</v>
      </c>
      <c r="GI194" s="3">
        <f t="shared" si="145"/>
        <v>0</v>
      </c>
      <c r="GJ194" s="3">
        <f t="shared" si="145"/>
        <v>0</v>
      </c>
      <c r="GK194" s="3">
        <f t="shared" si="145"/>
        <v>0</v>
      </c>
      <c r="GL194" s="3">
        <f t="shared" si="145"/>
        <v>0</v>
      </c>
      <c r="GM194" s="3">
        <f t="shared" si="145"/>
        <v>0</v>
      </c>
      <c r="GN194" s="3">
        <f t="shared" si="145"/>
        <v>0</v>
      </c>
      <c r="GO194" s="3">
        <f t="shared" si="145"/>
        <v>0</v>
      </c>
      <c r="GP194" s="3">
        <f t="shared" si="145"/>
        <v>0</v>
      </c>
      <c r="GQ194" s="3">
        <f t="shared" si="145"/>
        <v>0</v>
      </c>
      <c r="GR194" s="3">
        <f t="shared" si="145"/>
        <v>0</v>
      </c>
      <c r="GS194" s="3">
        <f t="shared" si="145"/>
        <v>0</v>
      </c>
      <c r="GT194" s="3">
        <f t="shared" si="145"/>
        <v>0</v>
      </c>
      <c r="GU194" s="3">
        <f t="shared" si="145"/>
        <v>0</v>
      </c>
      <c r="GV194" s="3">
        <f t="shared" si="145"/>
        <v>0</v>
      </c>
      <c r="GW194" s="3">
        <f t="shared" si="145"/>
        <v>0</v>
      </c>
      <c r="GX194" s="3">
        <f t="shared" si="145"/>
        <v>0</v>
      </c>
    </row>
    <row r="196" spans="1:245" x14ac:dyDescent="0.2">
      <c r="A196">
        <v>17</v>
      </c>
      <c r="B196">
        <v>1</v>
      </c>
      <c r="C196">
        <f>ROW(SmtRes!A36)</f>
        <v>36</v>
      </c>
      <c r="D196">
        <f>ROW(EtalonRes!A39)</f>
        <v>39</v>
      </c>
      <c r="E196" t="s">
        <v>162</v>
      </c>
      <c r="F196" t="s">
        <v>163</v>
      </c>
      <c r="G196" t="s">
        <v>164</v>
      </c>
      <c r="H196" t="s">
        <v>37</v>
      </c>
      <c r="I196">
        <f>ROUND(722/100,9)</f>
        <v>7.22</v>
      </c>
      <c r="J196">
        <v>0</v>
      </c>
      <c r="O196">
        <f t="shared" ref="O196:O212" si="146">ROUND(CP196,2)</f>
        <v>64508.800000000003</v>
      </c>
      <c r="P196">
        <f t="shared" ref="P196:P212" si="147">ROUND(CQ196*I196,2)</f>
        <v>945.52</v>
      </c>
      <c r="Q196">
        <f t="shared" ref="Q196:Q212" si="148">ROUND(CR196*I196,2)</f>
        <v>33254.46</v>
      </c>
      <c r="R196">
        <f t="shared" ref="R196:R212" si="149">ROUND(CS196*I196,2)</f>
        <v>13428.46</v>
      </c>
      <c r="S196">
        <f t="shared" ref="S196:S212" si="150">ROUND(CT196*I196,2)</f>
        <v>30308.82</v>
      </c>
      <c r="T196">
        <f t="shared" ref="T196:T212" si="151">ROUND(CU196*I196,2)</f>
        <v>0</v>
      </c>
      <c r="U196">
        <f t="shared" ref="U196:U212" si="152">CV196*I196</f>
        <v>135.73599999999999</v>
      </c>
      <c r="V196">
        <f t="shared" ref="V196:V212" si="153">CW196*I196</f>
        <v>0</v>
      </c>
      <c r="W196">
        <f t="shared" ref="W196:W212" si="154">ROUND(CX196*I196,2)</f>
        <v>0</v>
      </c>
      <c r="X196">
        <f t="shared" ref="X196:X212" si="155">ROUND(CY196,2)</f>
        <v>28793.38</v>
      </c>
      <c r="Y196">
        <f t="shared" ref="Y196:Y212" si="156">ROUND(CZ196,2)</f>
        <v>13942.06</v>
      </c>
      <c r="AA196">
        <v>42446460</v>
      </c>
      <c r="AB196">
        <f t="shared" ref="AB196:AB212" si="157">ROUND((AC196+AD196+AF196),6)</f>
        <v>858.92</v>
      </c>
      <c r="AC196">
        <f t="shared" ref="AC196:AC212" si="158">ROUND((ES196),6)</f>
        <v>25.83</v>
      </c>
      <c r="AD196">
        <f t="shared" ref="AD196:AD206" si="159">ROUND((((ET196)-(EU196))+AE196),6)</f>
        <v>601.29</v>
      </c>
      <c r="AE196">
        <f t="shared" ref="AE196:AE212" si="160">ROUND((EU196),6)</f>
        <v>102.7</v>
      </c>
      <c r="AF196">
        <f t="shared" ref="AF196:AF212" si="161">ROUND((EV196),6)</f>
        <v>231.8</v>
      </c>
      <c r="AG196">
        <f t="shared" ref="AG196:AG212" si="162">ROUND((AP196),6)</f>
        <v>0</v>
      </c>
      <c r="AH196">
        <f t="shared" ref="AH196:AH212" si="163">(EW196)</f>
        <v>18.8</v>
      </c>
      <c r="AI196">
        <f t="shared" ref="AI196:AI212" si="164">(EX196)</f>
        <v>0</v>
      </c>
      <c r="AJ196">
        <f t="shared" ref="AJ196:AJ212" si="165">ROUND((AS196),6)</f>
        <v>0</v>
      </c>
      <c r="AK196">
        <v>858.92</v>
      </c>
      <c r="AL196">
        <v>25.83</v>
      </c>
      <c r="AM196">
        <v>601.29</v>
      </c>
      <c r="AN196">
        <v>102.7</v>
      </c>
      <c r="AO196">
        <v>231.8</v>
      </c>
      <c r="AP196">
        <v>0</v>
      </c>
      <c r="AQ196">
        <v>18.8</v>
      </c>
      <c r="AR196">
        <v>0</v>
      </c>
      <c r="AS196">
        <v>0</v>
      </c>
      <c r="AT196">
        <v>95</v>
      </c>
      <c r="AU196">
        <v>46</v>
      </c>
      <c r="AV196">
        <v>1</v>
      </c>
      <c r="AW196">
        <v>1</v>
      </c>
      <c r="AZ196">
        <v>1</v>
      </c>
      <c r="BA196">
        <v>18.11</v>
      </c>
      <c r="BB196">
        <v>7.66</v>
      </c>
      <c r="BC196">
        <v>5.07</v>
      </c>
      <c r="BD196" t="s">
        <v>3</v>
      </c>
      <c r="BE196" t="s">
        <v>3</v>
      </c>
      <c r="BF196" t="s">
        <v>3</v>
      </c>
      <c r="BG196" t="s">
        <v>3</v>
      </c>
      <c r="BH196">
        <v>0</v>
      </c>
      <c r="BI196">
        <v>2</v>
      </c>
      <c r="BJ196" t="s">
        <v>165</v>
      </c>
      <c r="BM196">
        <v>318</v>
      </c>
      <c r="BN196">
        <v>0</v>
      </c>
      <c r="BO196" t="s">
        <v>163</v>
      </c>
      <c r="BP196">
        <v>1</v>
      </c>
      <c r="BQ196">
        <v>40</v>
      </c>
      <c r="BR196">
        <v>0</v>
      </c>
      <c r="BS196">
        <v>18.11</v>
      </c>
      <c r="BT196">
        <v>1</v>
      </c>
      <c r="BU196">
        <v>1</v>
      </c>
      <c r="BV196">
        <v>1</v>
      </c>
      <c r="BW196">
        <v>1</v>
      </c>
      <c r="BX196">
        <v>1</v>
      </c>
      <c r="BY196" t="s">
        <v>3</v>
      </c>
      <c r="BZ196">
        <v>95</v>
      </c>
      <c r="CA196">
        <v>46</v>
      </c>
      <c r="CF196">
        <v>0</v>
      </c>
      <c r="CG196">
        <v>0</v>
      </c>
      <c r="CM196">
        <v>0</v>
      </c>
      <c r="CN196" t="s">
        <v>3</v>
      </c>
      <c r="CO196">
        <v>0</v>
      </c>
      <c r="CP196">
        <f t="shared" ref="CP196:CP212" si="166">(P196+Q196+S196)</f>
        <v>64508.799999999996</v>
      </c>
      <c r="CQ196">
        <f t="shared" ref="CQ196:CQ206" si="167">(AC196*BC196*AW196)</f>
        <v>130.9581</v>
      </c>
      <c r="CR196">
        <f t="shared" ref="CR196:CR206" si="168">((((ET196)*BB196-(EU196)*BS196)+AE196*BS196)*AV196)</f>
        <v>4605.8814000000002</v>
      </c>
      <c r="CS196">
        <f t="shared" ref="CS196:CS206" si="169">(AE196*BS196*AV196)</f>
        <v>1859.8969999999999</v>
      </c>
      <c r="CT196">
        <f t="shared" ref="CT196:CT206" si="170">(AF196*BA196*AV196)</f>
        <v>4197.8980000000001</v>
      </c>
      <c r="CU196">
        <f t="shared" ref="CU196:CU212" si="171">AG196</f>
        <v>0</v>
      </c>
      <c r="CV196">
        <f t="shared" ref="CV196:CV206" si="172">(AH196*AV196)</f>
        <v>18.8</v>
      </c>
      <c r="CW196">
        <f t="shared" ref="CW196:CW212" si="173">AI196</f>
        <v>0</v>
      </c>
      <c r="CX196">
        <f t="shared" ref="CX196:CX212" si="174">AJ196</f>
        <v>0</v>
      </c>
      <c r="CY196">
        <f t="shared" ref="CY196:CY212" si="175">S196*(BZ196/100)</f>
        <v>28793.378999999997</v>
      </c>
      <c r="CZ196">
        <f t="shared" ref="CZ196:CZ212" si="176">S196*(CA196/100)</f>
        <v>13942.057200000001</v>
      </c>
      <c r="DC196" t="s">
        <v>3</v>
      </c>
      <c r="DD196" t="s">
        <v>3</v>
      </c>
      <c r="DE196" t="s">
        <v>3</v>
      </c>
      <c r="DF196" t="s">
        <v>3</v>
      </c>
      <c r="DG196" t="s">
        <v>3</v>
      </c>
      <c r="DH196" t="s">
        <v>3</v>
      </c>
      <c r="DI196" t="s">
        <v>3</v>
      </c>
      <c r="DJ196" t="s">
        <v>3</v>
      </c>
      <c r="DK196" t="s">
        <v>3</v>
      </c>
      <c r="DL196" t="s">
        <v>3</v>
      </c>
      <c r="DM196" t="s">
        <v>3</v>
      </c>
      <c r="DN196">
        <v>112</v>
      </c>
      <c r="DO196">
        <v>70</v>
      </c>
      <c r="DP196">
        <v>1.0669999999999999</v>
      </c>
      <c r="DQ196">
        <v>1.081</v>
      </c>
      <c r="DU196">
        <v>1013</v>
      </c>
      <c r="DV196" t="s">
        <v>37</v>
      </c>
      <c r="DW196" t="s">
        <v>37</v>
      </c>
      <c r="DX196">
        <v>1</v>
      </c>
      <c r="EE196">
        <v>42186365</v>
      </c>
      <c r="EF196">
        <v>40</v>
      </c>
      <c r="EG196" t="s">
        <v>39</v>
      </c>
      <c r="EH196">
        <v>0</v>
      </c>
      <c r="EI196" t="s">
        <v>3</v>
      </c>
      <c r="EJ196">
        <v>2</v>
      </c>
      <c r="EK196">
        <v>318</v>
      </c>
      <c r="EL196" t="s">
        <v>40</v>
      </c>
      <c r="EM196" t="s">
        <v>41</v>
      </c>
      <c r="EO196" t="s">
        <v>3</v>
      </c>
      <c r="EQ196">
        <v>131072</v>
      </c>
      <c r="ER196">
        <v>858.92</v>
      </c>
      <c r="ES196">
        <v>25.83</v>
      </c>
      <c r="ET196">
        <v>601.29</v>
      </c>
      <c r="EU196">
        <v>102.7</v>
      </c>
      <c r="EV196">
        <v>231.8</v>
      </c>
      <c r="EW196">
        <v>18.8</v>
      </c>
      <c r="EX196">
        <v>0</v>
      </c>
      <c r="EY196">
        <v>0</v>
      </c>
      <c r="FQ196">
        <v>0</v>
      </c>
      <c r="FR196">
        <f t="shared" ref="FR196:FR212" si="177">ROUND(IF(AND(BH196=3,BI196=3),P196,0),2)</f>
        <v>0</v>
      </c>
      <c r="FS196">
        <v>0</v>
      </c>
      <c r="FX196">
        <v>112</v>
      </c>
      <c r="FY196">
        <v>70</v>
      </c>
      <c r="GA196" t="s">
        <v>3</v>
      </c>
      <c r="GD196">
        <v>0</v>
      </c>
      <c r="GF196">
        <v>135170039</v>
      </c>
      <c r="GG196">
        <v>2</v>
      </c>
      <c r="GH196">
        <v>0</v>
      </c>
      <c r="GI196">
        <v>0</v>
      </c>
      <c r="GJ196">
        <v>0</v>
      </c>
      <c r="GK196">
        <f>ROUND(R196*(R12)/100,2)</f>
        <v>22425.53</v>
      </c>
      <c r="GL196">
        <f t="shared" ref="GL196:GL212" si="178">ROUND(IF(AND(BH196=3,BI196=3,FS196&lt;&gt;0),P196,0),2)</f>
        <v>0</v>
      </c>
      <c r="GM196">
        <f t="shared" ref="GM196:GM212" si="179">ROUND(O196+X196+Y196+GK196,2)+GX196</f>
        <v>129669.77</v>
      </c>
      <c r="GN196">
        <f t="shared" ref="GN196:GN212" si="180">IF(OR(BI196=0,BI196=1),ROUND(O196+X196+Y196+GK196,2),0)</f>
        <v>0</v>
      </c>
      <c r="GO196">
        <f t="shared" ref="GO196:GO212" si="181">IF(BI196=2,ROUND(O196+X196+Y196+GK196,2),0)</f>
        <v>129669.77</v>
      </c>
      <c r="GP196">
        <f t="shared" ref="GP196:GP212" si="182">IF(BI196=4,ROUND(O196+X196+Y196+GK196,2)+GX196,0)</f>
        <v>0</v>
      </c>
      <c r="GR196">
        <v>0</v>
      </c>
      <c r="GS196">
        <v>0</v>
      </c>
      <c r="GT196">
        <v>0</v>
      </c>
      <c r="GU196" t="s">
        <v>3</v>
      </c>
      <c r="GV196">
        <f t="shared" ref="GV196:GV212" si="183">ROUND(GT196,6)</f>
        <v>0</v>
      </c>
      <c r="GW196">
        <v>1</v>
      </c>
      <c r="GX196">
        <f t="shared" ref="GX196:GX212" si="184">ROUND(GV196*GW196*I196,2)</f>
        <v>0</v>
      </c>
      <c r="HA196">
        <v>0</v>
      </c>
      <c r="HB196">
        <v>0</v>
      </c>
      <c r="IK196">
        <v>0</v>
      </c>
    </row>
    <row r="197" spans="1:245" x14ac:dyDescent="0.2">
      <c r="A197">
        <v>17</v>
      </c>
      <c r="B197">
        <v>1</v>
      </c>
      <c r="C197">
        <f>ROW(SmtRes!A37)</f>
        <v>37</v>
      </c>
      <c r="D197">
        <f>ROW(EtalonRes!A40)</f>
        <v>40</v>
      </c>
      <c r="E197" t="s">
        <v>166</v>
      </c>
      <c r="F197" t="s">
        <v>167</v>
      </c>
      <c r="G197" t="s">
        <v>168</v>
      </c>
      <c r="H197" t="s">
        <v>37</v>
      </c>
      <c r="I197">
        <f>ROUND(82/100,9)</f>
        <v>0.82</v>
      </c>
      <c r="J197">
        <v>0</v>
      </c>
      <c r="O197">
        <f t="shared" si="146"/>
        <v>5588.57</v>
      </c>
      <c r="P197">
        <f t="shared" si="147"/>
        <v>150.46</v>
      </c>
      <c r="Q197">
        <f t="shared" si="148"/>
        <v>897.22</v>
      </c>
      <c r="R197">
        <f t="shared" si="149"/>
        <v>442.39</v>
      </c>
      <c r="S197">
        <f t="shared" si="150"/>
        <v>4540.8900000000003</v>
      </c>
      <c r="T197">
        <f t="shared" si="151"/>
        <v>0</v>
      </c>
      <c r="U197">
        <f t="shared" si="152"/>
        <v>20.335999999999999</v>
      </c>
      <c r="V197">
        <f t="shared" si="153"/>
        <v>0</v>
      </c>
      <c r="W197">
        <f t="shared" si="154"/>
        <v>0</v>
      </c>
      <c r="X197">
        <f t="shared" si="155"/>
        <v>4313.8500000000004</v>
      </c>
      <c r="Y197">
        <f t="shared" si="156"/>
        <v>2088.81</v>
      </c>
      <c r="AA197">
        <v>42446460</v>
      </c>
      <c r="AB197">
        <f t="shared" si="157"/>
        <v>472.54</v>
      </c>
      <c r="AC197">
        <f t="shared" si="158"/>
        <v>36.19</v>
      </c>
      <c r="AD197">
        <f t="shared" si="159"/>
        <v>130.57</v>
      </c>
      <c r="AE197">
        <f t="shared" si="160"/>
        <v>29.79</v>
      </c>
      <c r="AF197">
        <f t="shared" si="161"/>
        <v>305.77999999999997</v>
      </c>
      <c r="AG197">
        <f t="shared" si="162"/>
        <v>0</v>
      </c>
      <c r="AH197">
        <f t="shared" si="163"/>
        <v>24.8</v>
      </c>
      <c r="AI197">
        <f t="shared" si="164"/>
        <v>0</v>
      </c>
      <c r="AJ197">
        <f t="shared" si="165"/>
        <v>0</v>
      </c>
      <c r="AK197">
        <v>472.54</v>
      </c>
      <c r="AL197">
        <v>36.19</v>
      </c>
      <c r="AM197">
        <v>130.57</v>
      </c>
      <c r="AN197">
        <v>29.79</v>
      </c>
      <c r="AO197">
        <v>305.77999999999997</v>
      </c>
      <c r="AP197">
        <v>0</v>
      </c>
      <c r="AQ197">
        <v>24.8</v>
      </c>
      <c r="AR197">
        <v>0</v>
      </c>
      <c r="AS197">
        <v>0</v>
      </c>
      <c r="AT197">
        <v>95</v>
      </c>
      <c r="AU197">
        <v>46</v>
      </c>
      <c r="AV197">
        <v>1</v>
      </c>
      <c r="AW197">
        <v>1</v>
      </c>
      <c r="AZ197">
        <v>1</v>
      </c>
      <c r="BA197">
        <v>18.11</v>
      </c>
      <c r="BB197">
        <v>8.3800000000000008</v>
      </c>
      <c r="BC197">
        <v>5.07</v>
      </c>
      <c r="BD197" t="s">
        <v>3</v>
      </c>
      <c r="BE197" t="s">
        <v>3</v>
      </c>
      <c r="BF197" t="s">
        <v>3</v>
      </c>
      <c r="BG197" t="s">
        <v>3</v>
      </c>
      <c r="BH197">
        <v>0</v>
      </c>
      <c r="BI197">
        <v>2</v>
      </c>
      <c r="BJ197" t="s">
        <v>169</v>
      </c>
      <c r="BM197">
        <v>318</v>
      </c>
      <c r="BN197">
        <v>0</v>
      </c>
      <c r="BO197" t="s">
        <v>167</v>
      </c>
      <c r="BP197">
        <v>1</v>
      </c>
      <c r="BQ197">
        <v>40</v>
      </c>
      <c r="BR197">
        <v>0</v>
      </c>
      <c r="BS197">
        <v>18.11</v>
      </c>
      <c r="BT197">
        <v>1</v>
      </c>
      <c r="BU197">
        <v>1</v>
      </c>
      <c r="BV197">
        <v>1</v>
      </c>
      <c r="BW197">
        <v>1</v>
      </c>
      <c r="BX197">
        <v>1</v>
      </c>
      <c r="BY197" t="s">
        <v>3</v>
      </c>
      <c r="BZ197">
        <v>95</v>
      </c>
      <c r="CA197">
        <v>46</v>
      </c>
      <c r="CF197">
        <v>0</v>
      </c>
      <c r="CG197">
        <v>0</v>
      </c>
      <c r="CM197">
        <v>0</v>
      </c>
      <c r="CN197" t="s">
        <v>3</v>
      </c>
      <c r="CO197">
        <v>0</v>
      </c>
      <c r="CP197">
        <f t="shared" si="166"/>
        <v>5588.5700000000006</v>
      </c>
      <c r="CQ197">
        <f t="shared" si="167"/>
        <v>183.48329999999999</v>
      </c>
      <c r="CR197">
        <f t="shared" si="168"/>
        <v>1094.1766</v>
      </c>
      <c r="CS197">
        <f t="shared" si="169"/>
        <v>539.49689999999998</v>
      </c>
      <c r="CT197">
        <f t="shared" si="170"/>
        <v>5537.6757999999991</v>
      </c>
      <c r="CU197">
        <f t="shared" si="171"/>
        <v>0</v>
      </c>
      <c r="CV197">
        <f t="shared" si="172"/>
        <v>24.8</v>
      </c>
      <c r="CW197">
        <f t="shared" si="173"/>
        <v>0</v>
      </c>
      <c r="CX197">
        <f t="shared" si="174"/>
        <v>0</v>
      </c>
      <c r="CY197">
        <f t="shared" si="175"/>
        <v>4313.8455000000004</v>
      </c>
      <c r="CZ197">
        <f t="shared" si="176"/>
        <v>2088.8094000000001</v>
      </c>
      <c r="DC197" t="s">
        <v>3</v>
      </c>
      <c r="DD197" t="s">
        <v>3</v>
      </c>
      <c r="DE197" t="s">
        <v>3</v>
      </c>
      <c r="DF197" t="s">
        <v>3</v>
      </c>
      <c r="DG197" t="s">
        <v>3</v>
      </c>
      <c r="DH197" t="s">
        <v>3</v>
      </c>
      <c r="DI197" t="s">
        <v>3</v>
      </c>
      <c r="DJ197" t="s">
        <v>3</v>
      </c>
      <c r="DK197" t="s">
        <v>3</v>
      </c>
      <c r="DL197" t="s">
        <v>3</v>
      </c>
      <c r="DM197" t="s">
        <v>3</v>
      </c>
      <c r="DN197">
        <v>112</v>
      </c>
      <c r="DO197">
        <v>70</v>
      </c>
      <c r="DP197">
        <v>1.0669999999999999</v>
      </c>
      <c r="DQ197">
        <v>1.081</v>
      </c>
      <c r="DU197">
        <v>1013</v>
      </c>
      <c r="DV197" t="s">
        <v>37</v>
      </c>
      <c r="DW197" t="s">
        <v>37</v>
      </c>
      <c r="DX197">
        <v>1</v>
      </c>
      <c r="EE197">
        <v>42186365</v>
      </c>
      <c r="EF197">
        <v>40</v>
      </c>
      <c r="EG197" t="s">
        <v>39</v>
      </c>
      <c r="EH197">
        <v>0</v>
      </c>
      <c r="EI197" t="s">
        <v>3</v>
      </c>
      <c r="EJ197">
        <v>2</v>
      </c>
      <c r="EK197">
        <v>318</v>
      </c>
      <c r="EL197" t="s">
        <v>40</v>
      </c>
      <c r="EM197" t="s">
        <v>41</v>
      </c>
      <c r="EO197" t="s">
        <v>3</v>
      </c>
      <c r="EQ197">
        <v>131072</v>
      </c>
      <c r="ER197">
        <v>472.54</v>
      </c>
      <c r="ES197">
        <v>36.19</v>
      </c>
      <c r="ET197">
        <v>130.57</v>
      </c>
      <c r="EU197">
        <v>29.79</v>
      </c>
      <c r="EV197">
        <v>305.77999999999997</v>
      </c>
      <c r="EW197">
        <v>24.8</v>
      </c>
      <c r="EX197">
        <v>0</v>
      </c>
      <c r="EY197">
        <v>0</v>
      </c>
      <c r="FQ197">
        <v>0</v>
      </c>
      <c r="FR197">
        <f t="shared" si="177"/>
        <v>0</v>
      </c>
      <c r="FS197">
        <v>0</v>
      </c>
      <c r="FX197">
        <v>112</v>
      </c>
      <c r="FY197">
        <v>70</v>
      </c>
      <c r="GA197" t="s">
        <v>3</v>
      </c>
      <c r="GD197">
        <v>0</v>
      </c>
      <c r="GF197">
        <v>-1239668279</v>
      </c>
      <c r="GG197">
        <v>2</v>
      </c>
      <c r="GH197">
        <v>0</v>
      </c>
      <c r="GI197">
        <v>0</v>
      </c>
      <c r="GJ197">
        <v>0</v>
      </c>
      <c r="GK197">
        <f>ROUND(R197*(R12)/100,2)</f>
        <v>738.79</v>
      </c>
      <c r="GL197">
        <f t="shared" si="178"/>
        <v>0</v>
      </c>
      <c r="GM197">
        <f t="shared" si="179"/>
        <v>12730.02</v>
      </c>
      <c r="GN197">
        <f t="shared" si="180"/>
        <v>0</v>
      </c>
      <c r="GO197">
        <f t="shared" si="181"/>
        <v>12730.02</v>
      </c>
      <c r="GP197">
        <f t="shared" si="182"/>
        <v>0</v>
      </c>
      <c r="GR197">
        <v>0</v>
      </c>
      <c r="GS197">
        <v>0</v>
      </c>
      <c r="GT197">
        <v>0</v>
      </c>
      <c r="GU197" t="s">
        <v>3</v>
      </c>
      <c r="GV197">
        <f t="shared" si="183"/>
        <v>0</v>
      </c>
      <c r="GW197">
        <v>1</v>
      </c>
      <c r="GX197">
        <f t="shared" si="184"/>
        <v>0</v>
      </c>
      <c r="HA197">
        <v>0</v>
      </c>
      <c r="HB197">
        <v>0</v>
      </c>
      <c r="IK197">
        <v>0</v>
      </c>
    </row>
    <row r="198" spans="1:245" x14ac:dyDescent="0.2">
      <c r="A198">
        <v>17</v>
      </c>
      <c r="B198">
        <v>1</v>
      </c>
      <c r="C198">
        <f>ROW(SmtRes!A38)</f>
        <v>38</v>
      </c>
      <c r="D198">
        <f>ROW(EtalonRes!A41)</f>
        <v>41</v>
      </c>
      <c r="E198" t="s">
        <v>170</v>
      </c>
      <c r="F198" t="s">
        <v>171</v>
      </c>
      <c r="G198" t="s">
        <v>172</v>
      </c>
      <c r="H198" t="s">
        <v>37</v>
      </c>
      <c r="I198">
        <f>ROUND((10)/100,9)</f>
        <v>0.1</v>
      </c>
      <c r="J198">
        <v>0</v>
      </c>
      <c r="O198">
        <f t="shared" si="146"/>
        <v>1525.85</v>
      </c>
      <c r="P198">
        <f t="shared" si="147"/>
        <v>21.71</v>
      </c>
      <c r="Q198">
        <f t="shared" si="148"/>
        <v>741.72</v>
      </c>
      <c r="R198">
        <f t="shared" si="149"/>
        <v>288.44</v>
      </c>
      <c r="S198">
        <f t="shared" si="150"/>
        <v>762.42</v>
      </c>
      <c r="T198">
        <f t="shared" si="151"/>
        <v>0</v>
      </c>
      <c r="U198">
        <f t="shared" si="152"/>
        <v>3.4144000000000001</v>
      </c>
      <c r="V198">
        <f t="shared" si="153"/>
        <v>0</v>
      </c>
      <c r="W198">
        <f t="shared" si="154"/>
        <v>0</v>
      </c>
      <c r="X198">
        <f t="shared" si="155"/>
        <v>724.3</v>
      </c>
      <c r="Y198">
        <f t="shared" si="156"/>
        <v>350.71</v>
      </c>
      <c r="AA198">
        <v>42446460</v>
      </c>
      <c r="AB198">
        <f t="shared" si="157"/>
        <v>1353.68</v>
      </c>
      <c r="AC198">
        <f t="shared" si="158"/>
        <v>39.619999999999997</v>
      </c>
      <c r="AD198">
        <f t="shared" si="159"/>
        <v>919.5</v>
      </c>
      <c r="AE198">
        <f t="shared" si="160"/>
        <v>149.27000000000001</v>
      </c>
      <c r="AF198">
        <f t="shared" si="161"/>
        <v>394.56</v>
      </c>
      <c r="AG198">
        <f t="shared" si="162"/>
        <v>0</v>
      </c>
      <c r="AH198">
        <f t="shared" si="163"/>
        <v>32</v>
      </c>
      <c r="AI198">
        <f t="shared" si="164"/>
        <v>0</v>
      </c>
      <c r="AJ198">
        <f t="shared" si="165"/>
        <v>0</v>
      </c>
      <c r="AK198">
        <v>1353.68</v>
      </c>
      <c r="AL198">
        <v>39.619999999999997</v>
      </c>
      <c r="AM198">
        <v>919.5</v>
      </c>
      <c r="AN198">
        <v>149.27000000000001</v>
      </c>
      <c r="AO198">
        <v>394.56</v>
      </c>
      <c r="AP198">
        <v>0</v>
      </c>
      <c r="AQ198">
        <v>32</v>
      </c>
      <c r="AR198">
        <v>0</v>
      </c>
      <c r="AS198">
        <v>0</v>
      </c>
      <c r="AT198">
        <v>95</v>
      </c>
      <c r="AU198">
        <v>46</v>
      </c>
      <c r="AV198">
        <v>1.0669999999999999</v>
      </c>
      <c r="AW198">
        <v>1.081</v>
      </c>
      <c r="AZ198">
        <v>1</v>
      </c>
      <c r="BA198">
        <v>18.11</v>
      </c>
      <c r="BB198">
        <v>7.56</v>
      </c>
      <c r="BC198">
        <v>5.07</v>
      </c>
      <c r="BD198" t="s">
        <v>3</v>
      </c>
      <c r="BE198" t="s">
        <v>3</v>
      </c>
      <c r="BF198" t="s">
        <v>3</v>
      </c>
      <c r="BG198" t="s">
        <v>3</v>
      </c>
      <c r="BH198">
        <v>0</v>
      </c>
      <c r="BI198">
        <v>2</v>
      </c>
      <c r="BJ198" t="s">
        <v>173</v>
      </c>
      <c r="BM198">
        <v>318</v>
      </c>
      <c r="BN198">
        <v>0</v>
      </c>
      <c r="BO198" t="s">
        <v>171</v>
      </c>
      <c r="BP198">
        <v>1</v>
      </c>
      <c r="BQ198">
        <v>40</v>
      </c>
      <c r="BR198">
        <v>0</v>
      </c>
      <c r="BS198">
        <v>18.11</v>
      </c>
      <c r="BT198">
        <v>1</v>
      </c>
      <c r="BU198">
        <v>1</v>
      </c>
      <c r="BV198">
        <v>1</v>
      </c>
      <c r="BW198">
        <v>1</v>
      </c>
      <c r="BX198">
        <v>1</v>
      </c>
      <c r="BY198" t="s">
        <v>3</v>
      </c>
      <c r="BZ198">
        <v>95</v>
      </c>
      <c r="CA198">
        <v>46</v>
      </c>
      <c r="CF198">
        <v>0</v>
      </c>
      <c r="CG198">
        <v>0</v>
      </c>
      <c r="CM198">
        <v>0</v>
      </c>
      <c r="CN198" t="s">
        <v>3</v>
      </c>
      <c r="CO198">
        <v>0</v>
      </c>
      <c r="CP198">
        <f t="shared" si="166"/>
        <v>1525.85</v>
      </c>
      <c r="CQ198">
        <f t="shared" si="167"/>
        <v>217.14414539999999</v>
      </c>
      <c r="CR198">
        <f t="shared" si="168"/>
        <v>7417.1651400000001</v>
      </c>
      <c r="CS198">
        <f t="shared" si="169"/>
        <v>2884.3994398999998</v>
      </c>
      <c r="CT198">
        <f t="shared" si="170"/>
        <v>7624.2288671999995</v>
      </c>
      <c r="CU198">
        <f t="shared" si="171"/>
        <v>0</v>
      </c>
      <c r="CV198">
        <f t="shared" si="172"/>
        <v>34.143999999999998</v>
      </c>
      <c r="CW198">
        <f t="shared" si="173"/>
        <v>0</v>
      </c>
      <c r="CX198">
        <f t="shared" si="174"/>
        <v>0</v>
      </c>
      <c r="CY198">
        <f t="shared" si="175"/>
        <v>724.29899999999998</v>
      </c>
      <c r="CZ198">
        <f t="shared" si="176"/>
        <v>350.71319999999997</v>
      </c>
      <c r="DC198" t="s">
        <v>3</v>
      </c>
      <c r="DD198" t="s">
        <v>3</v>
      </c>
      <c r="DE198" t="s">
        <v>3</v>
      </c>
      <c r="DF198" t="s">
        <v>3</v>
      </c>
      <c r="DG198" t="s">
        <v>3</v>
      </c>
      <c r="DH198" t="s">
        <v>3</v>
      </c>
      <c r="DI198" t="s">
        <v>3</v>
      </c>
      <c r="DJ198" t="s">
        <v>3</v>
      </c>
      <c r="DK198" t="s">
        <v>3</v>
      </c>
      <c r="DL198" t="s">
        <v>3</v>
      </c>
      <c r="DM198" t="s">
        <v>3</v>
      </c>
      <c r="DN198">
        <v>112</v>
      </c>
      <c r="DO198">
        <v>70</v>
      </c>
      <c r="DP198">
        <v>1.0669999999999999</v>
      </c>
      <c r="DQ198">
        <v>1.081</v>
      </c>
      <c r="DU198">
        <v>1013</v>
      </c>
      <c r="DV198" t="s">
        <v>37</v>
      </c>
      <c r="DW198" t="s">
        <v>37</v>
      </c>
      <c r="DX198">
        <v>1</v>
      </c>
      <c r="EE198">
        <v>42186365</v>
      </c>
      <c r="EF198">
        <v>40</v>
      </c>
      <c r="EG198" t="s">
        <v>39</v>
      </c>
      <c r="EH198">
        <v>0</v>
      </c>
      <c r="EI198" t="s">
        <v>3</v>
      </c>
      <c r="EJ198">
        <v>2</v>
      </c>
      <c r="EK198">
        <v>318</v>
      </c>
      <c r="EL198" t="s">
        <v>40</v>
      </c>
      <c r="EM198" t="s">
        <v>41</v>
      </c>
      <c r="EO198" t="s">
        <v>3</v>
      </c>
      <c r="EQ198">
        <v>0</v>
      </c>
      <c r="ER198">
        <v>1353.68</v>
      </c>
      <c r="ES198">
        <v>39.619999999999997</v>
      </c>
      <c r="ET198">
        <v>919.5</v>
      </c>
      <c r="EU198">
        <v>149.27000000000001</v>
      </c>
      <c r="EV198">
        <v>394.56</v>
      </c>
      <c r="EW198">
        <v>32</v>
      </c>
      <c r="EX198">
        <v>0</v>
      </c>
      <c r="EY198">
        <v>0</v>
      </c>
      <c r="FQ198">
        <v>0</v>
      </c>
      <c r="FR198">
        <f t="shared" si="177"/>
        <v>0</v>
      </c>
      <c r="FS198">
        <v>0</v>
      </c>
      <c r="FX198">
        <v>112</v>
      </c>
      <c r="FY198">
        <v>70</v>
      </c>
      <c r="GA198" t="s">
        <v>3</v>
      </c>
      <c r="GD198">
        <v>0</v>
      </c>
      <c r="GF198">
        <v>849328498</v>
      </c>
      <c r="GG198">
        <v>2</v>
      </c>
      <c r="GH198">
        <v>1</v>
      </c>
      <c r="GI198">
        <v>2</v>
      </c>
      <c r="GJ198">
        <v>0</v>
      </c>
      <c r="GK198">
        <f>ROUND(R198*(R12)/100,2)</f>
        <v>481.69</v>
      </c>
      <c r="GL198">
        <f t="shared" si="178"/>
        <v>0</v>
      </c>
      <c r="GM198">
        <f t="shared" si="179"/>
        <v>3082.55</v>
      </c>
      <c r="GN198">
        <f t="shared" si="180"/>
        <v>0</v>
      </c>
      <c r="GO198">
        <f t="shared" si="181"/>
        <v>3082.55</v>
      </c>
      <c r="GP198">
        <f t="shared" si="182"/>
        <v>0</v>
      </c>
      <c r="GR198">
        <v>0</v>
      </c>
      <c r="GS198">
        <v>3</v>
      </c>
      <c r="GT198">
        <v>0</v>
      </c>
      <c r="GU198" t="s">
        <v>3</v>
      </c>
      <c r="GV198">
        <f t="shared" si="183"/>
        <v>0</v>
      </c>
      <c r="GW198">
        <v>1</v>
      </c>
      <c r="GX198">
        <f t="shared" si="184"/>
        <v>0</v>
      </c>
      <c r="HA198">
        <v>0</v>
      </c>
      <c r="HB198">
        <v>0</v>
      </c>
      <c r="IK198">
        <v>0</v>
      </c>
    </row>
    <row r="199" spans="1:245" x14ac:dyDescent="0.2">
      <c r="A199">
        <v>17</v>
      </c>
      <c r="B199">
        <v>1</v>
      </c>
      <c r="E199" t="s">
        <v>174</v>
      </c>
      <c r="F199" t="s">
        <v>175</v>
      </c>
      <c r="G199" t="s">
        <v>176</v>
      </c>
      <c r="H199" t="s">
        <v>177</v>
      </c>
      <c r="I199">
        <f>ROUND(0.814*1.02,9)</f>
        <v>0.83028000000000002</v>
      </c>
      <c r="J199">
        <v>0</v>
      </c>
      <c r="O199">
        <f t="shared" si="146"/>
        <v>471110.68</v>
      </c>
      <c r="P199">
        <f t="shared" si="147"/>
        <v>471110.68</v>
      </c>
      <c r="Q199">
        <f t="shared" si="148"/>
        <v>0</v>
      </c>
      <c r="R199">
        <f t="shared" si="149"/>
        <v>0</v>
      </c>
      <c r="S199">
        <f t="shared" si="150"/>
        <v>0</v>
      </c>
      <c r="T199">
        <f t="shared" si="151"/>
        <v>0</v>
      </c>
      <c r="U199">
        <f t="shared" si="152"/>
        <v>0</v>
      </c>
      <c r="V199">
        <f t="shared" si="153"/>
        <v>0</v>
      </c>
      <c r="W199">
        <f t="shared" si="154"/>
        <v>0</v>
      </c>
      <c r="X199">
        <f t="shared" si="155"/>
        <v>0</v>
      </c>
      <c r="Y199">
        <f t="shared" si="156"/>
        <v>0</v>
      </c>
      <c r="AA199">
        <v>42446460</v>
      </c>
      <c r="AB199">
        <f t="shared" si="157"/>
        <v>311764.73</v>
      </c>
      <c r="AC199">
        <f t="shared" si="158"/>
        <v>311764.73</v>
      </c>
      <c r="AD199">
        <f t="shared" si="159"/>
        <v>0</v>
      </c>
      <c r="AE199">
        <f t="shared" si="160"/>
        <v>0</v>
      </c>
      <c r="AF199">
        <f t="shared" si="161"/>
        <v>0</v>
      </c>
      <c r="AG199">
        <f t="shared" si="162"/>
        <v>0</v>
      </c>
      <c r="AH199">
        <f t="shared" si="163"/>
        <v>0</v>
      </c>
      <c r="AI199">
        <f t="shared" si="164"/>
        <v>0</v>
      </c>
      <c r="AJ199">
        <f t="shared" si="165"/>
        <v>0</v>
      </c>
      <c r="AK199">
        <v>311764.73</v>
      </c>
      <c r="AL199">
        <v>311764.73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0</v>
      </c>
      <c r="AU199">
        <v>0</v>
      </c>
      <c r="AV199">
        <v>1</v>
      </c>
      <c r="AW199">
        <v>1</v>
      </c>
      <c r="AZ199">
        <v>1</v>
      </c>
      <c r="BA199">
        <v>1</v>
      </c>
      <c r="BB199">
        <v>1</v>
      </c>
      <c r="BC199">
        <v>1.82</v>
      </c>
      <c r="BD199" t="s">
        <v>3</v>
      </c>
      <c r="BE199" t="s">
        <v>3</v>
      </c>
      <c r="BF199" t="s">
        <v>3</v>
      </c>
      <c r="BG199" t="s">
        <v>3</v>
      </c>
      <c r="BH199">
        <v>3</v>
      </c>
      <c r="BI199">
        <v>2</v>
      </c>
      <c r="BJ199" t="s">
        <v>178</v>
      </c>
      <c r="BM199">
        <v>1618</v>
      </c>
      <c r="BN199">
        <v>0</v>
      </c>
      <c r="BO199" t="s">
        <v>175</v>
      </c>
      <c r="BP199">
        <v>1</v>
      </c>
      <c r="BQ199">
        <v>201</v>
      </c>
      <c r="BR199">
        <v>0</v>
      </c>
      <c r="BS199">
        <v>1</v>
      </c>
      <c r="BT199">
        <v>1</v>
      </c>
      <c r="BU199">
        <v>1</v>
      </c>
      <c r="BV199">
        <v>1</v>
      </c>
      <c r="BW199">
        <v>1</v>
      </c>
      <c r="BX199">
        <v>1</v>
      </c>
      <c r="BY199" t="s">
        <v>3</v>
      </c>
      <c r="BZ199">
        <v>0</v>
      </c>
      <c r="CA199">
        <v>0</v>
      </c>
      <c r="CF199">
        <v>0</v>
      </c>
      <c r="CG199">
        <v>0</v>
      </c>
      <c r="CM199">
        <v>0</v>
      </c>
      <c r="CN199" t="s">
        <v>3</v>
      </c>
      <c r="CO199">
        <v>0</v>
      </c>
      <c r="CP199">
        <f t="shared" si="166"/>
        <v>471110.68</v>
      </c>
      <c r="CQ199">
        <f t="shared" si="167"/>
        <v>567411.80859999999</v>
      </c>
      <c r="CR199">
        <f t="shared" si="168"/>
        <v>0</v>
      </c>
      <c r="CS199">
        <f t="shared" si="169"/>
        <v>0</v>
      </c>
      <c r="CT199">
        <f t="shared" si="170"/>
        <v>0</v>
      </c>
      <c r="CU199">
        <f t="shared" si="171"/>
        <v>0</v>
      </c>
      <c r="CV199">
        <f t="shared" si="172"/>
        <v>0</v>
      </c>
      <c r="CW199">
        <f t="shared" si="173"/>
        <v>0</v>
      </c>
      <c r="CX199">
        <f t="shared" si="174"/>
        <v>0</v>
      </c>
      <c r="CY199">
        <f t="shared" si="175"/>
        <v>0</v>
      </c>
      <c r="CZ199">
        <f t="shared" si="176"/>
        <v>0</v>
      </c>
      <c r="DC199" t="s">
        <v>3</v>
      </c>
      <c r="DD199" t="s">
        <v>3</v>
      </c>
      <c r="DE199" t="s">
        <v>3</v>
      </c>
      <c r="DF199" t="s">
        <v>3</v>
      </c>
      <c r="DG199" t="s">
        <v>3</v>
      </c>
      <c r="DH199" t="s">
        <v>3</v>
      </c>
      <c r="DI199" t="s">
        <v>3</v>
      </c>
      <c r="DJ199" t="s">
        <v>3</v>
      </c>
      <c r="DK199" t="s">
        <v>3</v>
      </c>
      <c r="DL199" t="s">
        <v>3</v>
      </c>
      <c r="DM199" t="s">
        <v>3</v>
      </c>
      <c r="DN199">
        <v>0</v>
      </c>
      <c r="DO199">
        <v>0</v>
      </c>
      <c r="DP199">
        <v>1</v>
      </c>
      <c r="DQ199">
        <v>1</v>
      </c>
      <c r="DU199">
        <v>1003</v>
      </c>
      <c r="DV199" t="s">
        <v>177</v>
      </c>
      <c r="DW199" t="s">
        <v>177</v>
      </c>
      <c r="DX199">
        <v>1000</v>
      </c>
      <c r="EE199">
        <v>42187665</v>
      </c>
      <c r="EF199">
        <v>201</v>
      </c>
      <c r="EG199" t="s">
        <v>179</v>
      </c>
      <c r="EH199">
        <v>0</v>
      </c>
      <c r="EI199" t="s">
        <v>3</v>
      </c>
      <c r="EJ199">
        <v>2</v>
      </c>
      <c r="EK199">
        <v>1618</v>
      </c>
      <c r="EL199" t="s">
        <v>180</v>
      </c>
      <c r="EM199" t="s">
        <v>181</v>
      </c>
      <c r="EO199" t="s">
        <v>3</v>
      </c>
      <c r="EQ199">
        <v>131072</v>
      </c>
      <c r="ER199">
        <v>311764.73</v>
      </c>
      <c r="ES199">
        <v>311764.73</v>
      </c>
      <c r="ET199">
        <v>0</v>
      </c>
      <c r="EU199">
        <v>0</v>
      </c>
      <c r="EV199">
        <v>0</v>
      </c>
      <c r="EW199">
        <v>0</v>
      </c>
      <c r="EX199">
        <v>0</v>
      </c>
      <c r="EY199">
        <v>0</v>
      </c>
      <c r="FQ199">
        <v>0</v>
      </c>
      <c r="FR199">
        <f t="shared" si="177"/>
        <v>0</v>
      </c>
      <c r="FS199">
        <v>0</v>
      </c>
      <c r="FX199">
        <v>0</v>
      </c>
      <c r="FY199">
        <v>0</v>
      </c>
      <c r="GA199" t="s">
        <v>3</v>
      </c>
      <c r="GD199">
        <v>0</v>
      </c>
      <c r="GF199">
        <v>919098662</v>
      </c>
      <c r="GG199">
        <v>2</v>
      </c>
      <c r="GH199">
        <v>0</v>
      </c>
      <c r="GI199">
        <v>0</v>
      </c>
      <c r="GJ199">
        <v>0</v>
      </c>
      <c r="GK199">
        <f>ROUND(R199*(R12)/100,2)</f>
        <v>0</v>
      </c>
      <c r="GL199">
        <f t="shared" si="178"/>
        <v>0</v>
      </c>
      <c r="GM199">
        <f t="shared" si="179"/>
        <v>471110.68</v>
      </c>
      <c r="GN199">
        <f t="shared" si="180"/>
        <v>0</v>
      </c>
      <c r="GO199">
        <f t="shared" si="181"/>
        <v>471110.68</v>
      </c>
      <c r="GP199">
        <f t="shared" si="182"/>
        <v>0</v>
      </c>
      <c r="GR199">
        <v>0</v>
      </c>
      <c r="GS199">
        <v>0</v>
      </c>
      <c r="GT199">
        <v>0</v>
      </c>
      <c r="GU199" t="s">
        <v>3</v>
      </c>
      <c r="GV199">
        <f t="shared" si="183"/>
        <v>0</v>
      </c>
      <c r="GW199">
        <v>1</v>
      </c>
      <c r="GX199">
        <f t="shared" si="184"/>
        <v>0</v>
      </c>
      <c r="HA199">
        <v>0</v>
      </c>
      <c r="HB199">
        <v>0</v>
      </c>
      <c r="IK199">
        <v>0</v>
      </c>
    </row>
    <row r="200" spans="1:245" x14ac:dyDescent="0.2">
      <c r="A200">
        <v>17</v>
      </c>
      <c r="B200">
        <v>1</v>
      </c>
      <c r="C200">
        <f>ROW(SmtRes!A39)</f>
        <v>39</v>
      </c>
      <c r="D200">
        <f>ROW(EtalonRes!A42)</f>
        <v>42</v>
      </c>
      <c r="E200" t="s">
        <v>182</v>
      </c>
      <c r="F200" t="s">
        <v>163</v>
      </c>
      <c r="G200" t="s">
        <v>164</v>
      </c>
      <c r="H200" t="s">
        <v>37</v>
      </c>
      <c r="I200">
        <f>ROUND(1102/100,9)</f>
        <v>11.02</v>
      </c>
      <c r="J200">
        <v>0</v>
      </c>
      <c r="O200">
        <f t="shared" si="146"/>
        <v>98460.81</v>
      </c>
      <c r="P200">
        <f t="shared" si="147"/>
        <v>1443.16</v>
      </c>
      <c r="Q200">
        <f t="shared" si="148"/>
        <v>50756.81</v>
      </c>
      <c r="R200">
        <f t="shared" si="149"/>
        <v>20496.060000000001</v>
      </c>
      <c r="S200">
        <f t="shared" si="150"/>
        <v>46260.84</v>
      </c>
      <c r="T200">
        <f t="shared" si="151"/>
        <v>0</v>
      </c>
      <c r="U200">
        <f t="shared" si="152"/>
        <v>207.17599999999999</v>
      </c>
      <c r="V200">
        <f t="shared" si="153"/>
        <v>0</v>
      </c>
      <c r="W200">
        <f t="shared" si="154"/>
        <v>0</v>
      </c>
      <c r="X200">
        <f t="shared" si="155"/>
        <v>43947.8</v>
      </c>
      <c r="Y200">
        <f t="shared" si="156"/>
        <v>21279.99</v>
      </c>
      <c r="AA200">
        <v>42446460</v>
      </c>
      <c r="AB200">
        <f t="shared" si="157"/>
        <v>858.92</v>
      </c>
      <c r="AC200">
        <f t="shared" si="158"/>
        <v>25.83</v>
      </c>
      <c r="AD200">
        <f t="shared" si="159"/>
        <v>601.29</v>
      </c>
      <c r="AE200">
        <f t="shared" si="160"/>
        <v>102.7</v>
      </c>
      <c r="AF200">
        <f t="shared" si="161"/>
        <v>231.8</v>
      </c>
      <c r="AG200">
        <f t="shared" si="162"/>
        <v>0</v>
      </c>
      <c r="AH200">
        <f t="shared" si="163"/>
        <v>18.8</v>
      </c>
      <c r="AI200">
        <f t="shared" si="164"/>
        <v>0</v>
      </c>
      <c r="AJ200">
        <f t="shared" si="165"/>
        <v>0</v>
      </c>
      <c r="AK200">
        <v>858.92</v>
      </c>
      <c r="AL200">
        <v>25.83</v>
      </c>
      <c r="AM200">
        <v>601.29</v>
      </c>
      <c r="AN200">
        <v>102.7</v>
      </c>
      <c r="AO200">
        <v>231.8</v>
      </c>
      <c r="AP200">
        <v>0</v>
      </c>
      <c r="AQ200">
        <v>18.8</v>
      </c>
      <c r="AR200">
        <v>0</v>
      </c>
      <c r="AS200">
        <v>0</v>
      </c>
      <c r="AT200">
        <v>95</v>
      </c>
      <c r="AU200">
        <v>46</v>
      </c>
      <c r="AV200">
        <v>1</v>
      </c>
      <c r="AW200">
        <v>1</v>
      </c>
      <c r="AZ200">
        <v>1</v>
      </c>
      <c r="BA200">
        <v>18.11</v>
      </c>
      <c r="BB200">
        <v>7.66</v>
      </c>
      <c r="BC200">
        <v>5.07</v>
      </c>
      <c r="BD200" t="s">
        <v>3</v>
      </c>
      <c r="BE200" t="s">
        <v>3</v>
      </c>
      <c r="BF200" t="s">
        <v>3</v>
      </c>
      <c r="BG200" t="s">
        <v>3</v>
      </c>
      <c r="BH200">
        <v>0</v>
      </c>
      <c r="BI200">
        <v>2</v>
      </c>
      <c r="BJ200" t="s">
        <v>165</v>
      </c>
      <c r="BM200">
        <v>318</v>
      </c>
      <c r="BN200">
        <v>0</v>
      </c>
      <c r="BO200" t="s">
        <v>163</v>
      </c>
      <c r="BP200">
        <v>1</v>
      </c>
      <c r="BQ200">
        <v>40</v>
      </c>
      <c r="BR200">
        <v>0</v>
      </c>
      <c r="BS200">
        <v>18.11</v>
      </c>
      <c r="BT200">
        <v>1</v>
      </c>
      <c r="BU200">
        <v>1</v>
      </c>
      <c r="BV200">
        <v>1</v>
      </c>
      <c r="BW200">
        <v>1</v>
      </c>
      <c r="BX200">
        <v>1</v>
      </c>
      <c r="BY200" t="s">
        <v>3</v>
      </c>
      <c r="BZ200">
        <v>95</v>
      </c>
      <c r="CA200">
        <v>46</v>
      </c>
      <c r="CF200">
        <v>0</v>
      </c>
      <c r="CG200">
        <v>0</v>
      </c>
      <c r="CM200">
        <v>0</v>
      </c>
      <c r="CN200" t="s">
        <v>3</v>
      </c>
      <c r="CO200">
        <v>0</v>
      </c>
      <c r="CP200">
        <f t="shared" si="166"/>
        <v>98460.81</v>
      </c>
      <c r="CQ200">
        <f t="shared" si="167"/>
        <v>130.9581</v>
      </c>
      <c r="CR200">
        <f t="shared" si="168"/>
        <v>4605.8814000000002</v>
      </c>
      <c r="CS200">
        <f t="shared" si="169"/>
        <v>1859.8969999999999</v>
      </c>
      <c r="CT200">
        <f t="shared" si="170"/>
        <v>4197.8980000000001</v>
      </c>
      <c r="CU200">
        <f t="shared" si="171"/>
        <v>0</v>
      </c>
      <c r="CV200">
        <f t="shared" si="172"/>
        <v>18.8</v>
      </c>
      <c r="CW200">
        <f t="shared" si="173"/>
        <v>0</v>
      </c>
      <c r="CX200">
        <f t="shared" si="174"/>
        <v>0</v>
      </c>
      <c r="CY200">
        <f t="shared" si="175"/>
        <v>43947.797999999995</v>
      </c>
      <c r="CZ200">
        <f t="shared" si="176"/>
        <v>21279.986399999998</v>
      </c>
      <c r="DC200" t="s">
        <v>3</v>
      </c>
      <c r="DD200" t="s">
        <v>3</v>
      </c>
      <c r="DE200" t="s">
        <v>3</v>
      </c>
      <c r="DF200" t="s">
        <v>3</v>
      </c>
      <c r="DG200" t="s">
        <v>3</v>
      </c>
      <c r="DH200" t="s">
        <v>3</v>
      </c>
      <c r="DI200" t="s">
        <v>3</v>
      </c>
      <c r="DJ200" t="s">
        <v>3</v>
      </c>
      <c r="DK200" t="s">
        <v>3</v>
      </c>
      <c r="DL200" t="s">
        <v>3</v>
      </c>
      <c r="DM200" t="s">
        <v>3</v>
      </c>
      <c r="DN200">
        <v>112</v>
      </c>
      <c r="DO200">
        <v>70</v>
      </c>
      <c r="DP200">
        <v>1.0669999999999999</v>
      </c>
      <c r="DQ200">
        <v>1.081</v>
      </c>
      <c r="DU200">
        <v>1013</v>
      </c>
      <c r="DV200" t="s">
        <v>37</v>
      </c>
      <c r="DW200" t="s">
        <v>37</v>
      </c>
      <c r="DX200">
        <v>1</v>
      </c>
      <c r="EE200">
        <v>42186365</v>
      </c>
      <c r="EF200">
        <v>40</v>
      </c>
      <c r="EG200" t="s">
        <v>39</v>
      </c>
      <c r="EH200">
        <v>0</v>
      </c>
      <c r="EI200" t="s">
        <v>3</v>
      </c>
      <c r="EJ200">
        <v>2</v>
      </c>
      <c r="EK200">
        <v>318</v>
      </c>
      <c r="EL200" t="s">
        <v>40</v>
      </c>
      <c r="EM200" t="s">
        <v>41</v>
      </c>
      <c r="EO200" t="s">
        <v>3</v>
      </c>
      <c r="EQ200">
        <v>131072</v>
      </c>
      <c r="ER200">
        <v>858.92</v>
      </c>
      <c r="ES200">
        <v>25.83</v>
      </c>
      <c r="ET200">
        <v>601.29</v>
      </c>
      <c r="EU200">
        <v>102.7</v>
      </c>
      <c r="EV200">
        <v>231.8</v>
      </c>
      <c r="EW200">
        <v>18.8</v>
      </c>
      <c r="EX200">
        <v>0</v>
      </c>
      <c r="EY200">
        <v>0</v>
      </c>
      <c r="FQ200">
        <v>0</v>
      </c>
      <c r="FR200">
        <f t="shared" si="177"/>
        <v>0</v>
      </c>
      <c r="FS200">
        <v>0</v>
      </c>
      <c r="FX200">
        <v>112</v>
      </c>
      <c r="FY200">
        <v>70</v>
      </c>
      <c r="GA200" t="s">
        <v>3</v>
      </c>
      <c r="GD200">
        <v>0</v>
      </c>
      <c r="GF200">
        <v>135170039</v>
      </c>
      <c r="GG200">
        <v>2</v>
      </c>
      <c r="GH200">
        <v>0</v>
      </c>
      <c r="GI200">
        <v>0</v>
      </c>
      <c r="GJ200">
        <v>0</v>
      </c>
      <c r="GK200">
        <f>ROUND(R200*(R12)/100,2)</f>
        <v>34228.42</v>
      </c>
      <c r="GL200">
        <f t="shared" si="178"/>
        <v>0</v>
      </c>
      <c r="GM200">
        <f t="shared" si="179"/>
        <v>197917.02</v>
      </c>
      <c r="GN200">
        <f t="shared" si="180"/>
        <v>0</v>
      </c>
      <c r="GO200">
        <f t="shared" si="181"/>
        <v>197917.02</v>
      </c>
      <c r="GP200">
        <f t="shared" si="182"/>
        <v>0</v>
      </c>
      <c r="GR200">
        <v>0</v>
      </c>
      <c r="GS200">
        <v>0</v>
      </c>
      <c r="GT200">
        <v>0</v>
      </c>
      <c r="GU200" t="s">
        <v>3</v>
      </c>
      <c r="GV200">
        <f t="shared" si="183"/>
        <v>0</v>
      </c>
      <c r="GW200">
        <v>1</v>
      </c>
      <c r="GX200">
        <f t="shared" si="184"/>
        <v>0</v>
      </c>
      <c r="HA200">
        <v>0</v>
      </c>
      <c r="HB200">
        <v>0</v>
      </c>
      <c r="IK200">
        <v>0</v>
      </c>
    </row>
    <row r="201" spans="1:245" x14ac:dyDescent="0.2">
      <c r="A201">
        <v>17</v>
      </c>
      <c r="B201">
        <v>1</v>
      </c>
      <c r="C201">
        <f>ROW(SmtRes!A40)</f>
        <v>40</v>
      </c>
      <c r="D201">
        <f>ROW(EtalonRes!A43)</f>
        <v>43</v>
      </c>
      <c r="E201" t="s">
        <v>183</v>
      </c>
      <c r="F201" t="s">
        <v>167</v>
      </c>
      <c r="G201" t="s">
        <v>184</v>
      </c>
      <c r="H201" t="s">
        <v>37</v>
      </c>
      <c r="I201">
        <f>ROUND(399/100,9)</f>
        <v>3.99</v>
      </c>
      <c r="J201">
        <v>0</v>
      </c>
      <c r="O201">
        <f t="shared" si="146"/>
        <v>27193.19</v>
      </c>
      <c r="P201">
        <f t="shared" si="147"/>
        <v>732.1</v>
      </c>
      <c r="Q201">
        <f t="shared" si="148"/>
        <v>4365.76</v>
      </c>
      <c r="R201">
        <f t="shared" si="149"/>
        <v>2152.59</v>
      </c>
      <c r="S201">
        <f t="shared" si="150"/>
        <v>22095.33</v>
      </c>
      <c r="T201">
        <f t="shared" si="151"/>
        <v>0</v>
      </c>
      <c r="U201">
        <f t="shared" si="152"/>
        <v>98.952000000000012</v>
      </c>
      <c r="V201">
        <f t="shared" si="153"/>
        <v>0</v>
      </c>
      <c r="W201">
        <f t="shared" si="154"/>
        <v>0</v>
      </c>
      <c r="X201">
        <f t="shared" si="155"/>
        <v>20990.560000000001</v>
      </c>
      <c r="Y201">
        <f t="shared" si="156"/>
        <v>10163.85</v>
      </c>
      <c r="AA201">
        <v>42446460</v>
      </c>
      <c r="AB201">
        <f t="shared" si="157"/>
        <v>472.54</v>
      </c>
      <c r="AC201">
        <f t="shared" si="158"/>
        <v>36.19</v>
      </c>
      <c r="AD201">
        <f t="shared" si="159"/>
        <v>130.57</v>
      </c>
      <c r="AE201">
        <f t="shared" si="160"/>
        <v>29.79</v>
      </c>
      <c r="AF201">
        <f t="shared" si="161"/>
        <v>305.77999999999997</v>
      </c>
      <c r="AG201">
        <f t="shared" si="162"/>
        <v>0</v>
      </c>
      <c r="AH201">
        <f t="shared" si="163"/>
        <v>24.8</v>
      </c>
      <c r="AI201">
        <f t="shared" si="164"/>
        <v>0</v>
      </c>
      <c r="AJ201">
        <f t="shared" si="165"/>
        <v>0</v>
      </c>
      <c r="AK201">
        <v>472.54</v>
      </c>
      <c r="AL201">
        <v>36.19</v>
      </c>
      <c r="AM201">
        <v>130.57</v>
      </c>
      <c r="AN201">
        <v>29.79</v>
      </c>
      <c r="AO201">
        <v>305.77999999999997</v>
      </c>
      <c r="AP201">
        <v>0</v>
      </c>
      <c r="AQ201">
        <v>24.8</v>
      </c>
      <c r="AR201">
        <v>0</v>
      </c>
      <c r="AS201">
        <v>0</v>
      </c>
      <c r="AT201">
        <v>95</v>
      </c>
      <c r="AU201">
        <v>46</v>
      </c>
      <c r="AV201">
        <v>1</v>
      </c>
      <c r="AW201">
        <v>1</v>
      </c>
      <c r="AZ201">
        <v>1</v>
      </c>
      <c r="BA201">
        <v>18.11</v>
      </c>
      <c r="BB201">
        <v>8.3800000000000008</v>
      </c>
      <c r="BC201">
        <v>5.07</v>
      </c>
      <c r="BD201" t="s">
        <v>3</v>
      </c>
      <c r="BE201" t="s">
        <v>3</v>
      </c>
      <c r="BF201" t="s">
        <v>3</v>
      </c>
      <c r="BG201" t="s">
        <v>3</v>
      </c>
      <c r="BH201">
        <v>0</v>
      </c>
      <c r="BI201">
        <v>2</v>
      </c>
      <c r="BJ201" t="s">
        <v>169</v>
      </c>
      <c r="BM201">
        <v>318</v>
      </c>
      <c r="BN201">
        <v>0</v>
      </c>
      <c r="BO201" t="s">
        <v>167</v>
      </c>
      <c r="BP201">
        <v>1</v>
      </c>
      <c r="BQ201">
        <v>40</v>
      </c>
      <c r="BR201">
        <v>0</v>
      </c>
      <c r="BS201">
        <v>18.11</v>
      </c>
      <c r="BT201">
        <v>1</v>
      </c>
      <c r="BU201">
        <v>1</v>
      </c>
      <c r="BV201">
        <v>1</v>
      </c>
      <c r="BW201">
        <v>1</v>
      </c>
      <c r="BX201">
        <v>1</v>
      </c>
      <c r="BY201" t="s">
        <v>3</v>
      </c>
      <c r="BZ201">
        <v>95</v>
      </c>
      <c r="CA201">
        <v>46</v>
      </c>
      <c r="CF201">
        <v>0</v>
      </c>
      <c r="CG201">
        <v>0</v>
      </c>
      <c r="CM201">
        <v>0</v>
      </c>
      <c r="CN201" t="s">
        <v>3</v>
      </c>
      <c r="CO201">
        <v>0</v>
      </c>
      <c r="CP201">
        <f t="shared" si="166"/>
        <v>27193.190000000002</v>
      </c>
      <c r="CQ201">
        <f t="shared" si="167"/>
        <v>183.48329999999999</v>
      </c>
      <c r="CR201">
        <f t="shared" si="168"/>
        <v>1094.1766</v>
      </c>
      <c r="CS201">
        <f t="shared" si="169"/>
        <v>539.49689999999998</v>
      </c>
      <c r="CT201">
        <f t="shared" si="170"/>
        <v>5537.6757999999991</v>
      </c>
      <c r="CU201">
        <f t="shared" si="171"/>
        <v>0</v>
      </c>
      <c r="CV201">
        <f t="shared" si="172"/>
        <v>24.8</v>
      </c>
      <c r="CW201">
        <f t="shared" si="173"/>
        <v>0</v>
      </c>
      <c r="CX201">
        <f t="shared" si="174"/>
        <v>0</v>
      </c>
      <c r="CY201">
        <f t="shared" si="175"/>
        <v>20990.5635</v>
      </c>
      <c r="CZ201">
        <f t="shared" si="176"/>
        <v>10163.8518</v>
      </c>
      <c r="DC201" t="s">
        <v>3</v>
      </c>
      <c r="DD201" t="s">
        <v>3</v>
      </c>
      <c r="DE201" t="s">
        <v>3</v>
      </c>
      <c r="DF201" t="s">
        <v>3</v>
      </c>
      <c r="DG201" t="s">
        <v>3</v>
      </c>
      <c r="DH201" t="s">
        <v>3</v>
      </c>
      <c r="DI201" t="s">
        <v>3</v>
      </c>
      <c r="DJ201" t="s">
        <v>3</v>
      </c>
      <c r="DK201" t="s">
        <v>3</v>
      </c>
      <c r="DL201" t="s">
        <v>3</v>
      </c>
      <c r="DM201" t="s">
        <v>3</v>
      </c>
      <c r="DN201">
        <v>112</v>
      </c>
      <c r="DO201">
        <v>70</v>
      </c>
      <c r="DP201">
        <v>1.0669999999999999</v>
      </c>
      <c r="DQ201">
        <v>1.081</v>
      </c>
      <c r="DU201">
        <v>1013</v>
      </c>
      <c r="DV201" t="s">
        <v>37</v>
      </c>
      <c r="DW201" t="s">
        <v>37</v>
      </c>
      <c r="DX201">
        <v>1</v>
      </c>
      <c r="EE201">
        <v>42186365</v>
      </c>
      <c r="EF201">
        <v>40</v>
      </c>
      <c r="EG201" t="s">
        <v>39</v>
      </c>
      <c r="EH201">
        <v>0</v>
      </c>
      <c r="EI201" t="s">
        <v>3</v>
      </c>
      <c r="EJ201">
        <v>2</v>
      </c>
      <c r="EK201">
        <v>318</v>
      </c>
      <c r="EL201" t="s">
        <v>40</v>
      </c>
      <c r="EM201" t="s">
        <v>41</v>
      </c>
      <c r="EO201" t="s">
        <v>3</v>
      </c>
      <c r="EQ201">
        <v>131072</v>
      </c>
      <c r="ER201">
        <v>472.54</v>
      </c>
      <c r="ES201">
        <v>36.19</v>
      </c>
      <c r="ET201">
        <v>130.57</v>
      </c>
      <c r="EU201">
        <v>29.79</v>
      </c>
      <c r="EV201">
        <v>305.77999999999997</v>
      </c>
      <c r="EW201">
        <v>24.8</v>
      </c>
      <c r="EX201">
        <v>0</v>
      </c>
      <c r="EY201">
        <v>0</v>
      </c>
      <c r="FQ201">
        <v>0</v>
      </c>
      <c r="FR201">
        <f t="shared" si="177"/>
        <v>0</v>
      </c>
      <c r="FS201">
        <v>0</v>
      </c>
      <c r="FX201">
        <v>112</v>
      </c>
      <c r="FY201">
        <v>70</v>
      </c>
      <c r="GA201" t="s">
        <v>3</v>
      </c>
      <c r="GD201">
        <v>0</v>
      </c>
      <c r="GF201">
        <v>-1252654068</v>
      </c>
      <c r="GG201">
        <v>2</v>
      </c>
      <c r="GH201">
        <v>0</v>
      </c>
      <c r="GI201">
        <v>0</v>
      </c>
      <c r="GJ201">
        <v>0</v>
      </c>
      <c r="GK201">
        <f>ROUND(R201*(R12)/100,2)</f>
        <v>3594.83</v>
      </c>
      <c r="GL201">
        <f t="shared" si="178"/>
        <v>0</v>
      </c>
      <c r="GM201">
        <f t="shared" si="179"/>
        <v>61942.43</v>
      </c>
      <c r="GN201">
        <f t="shared" si="180"/>
        <v>0</v>
      </c>
      <c r="GO201">
        <f t="shared" si="181"/>
        <v>61942.43</v>
      </c>
      <c r="GP201">
        <f t="shared" si="182"/>
        <v>0</v>
      </c>
      <c r="GR201">
        <v>0</v>
      </c>
      <c r="GS201">
        <v>0</v>
      </c>
      <c r="GT201">
        <v>0</v>
      </c>
      <c r="GU201" t="s">
        <v>3</v>
      </c>
      <c r="GV201">
        <f t="shared" si="183"/>
        <v>0</v>
      </c>
      <c r="GW201">
        <v>1</v>
      </c>
      <c r="GX201">
        <f t="shared" si="184"/>
        <v>0</v>
      </c>
      <c r="HA201">
        <v>0</v>
      </c>
      <c r="HB201">
        <v>0</v>
      </c>
      <c r="IK201">
        <v>0</v>
      </c>
    </row>
    <row r="202" spans="1:245" x14ac:dyDescent="0.2">
      <c r="A202">
        <v>17</v>
      </c>
      <c r="B202">
        <v>1</v>
      </c>
      <c r="C202">
        <f>ROW(SmtRes!A41)</f>
        <v>41</v>
      </c>
      <c r="D202">
        <f>ROW(EtalonRes!A44)</f>
        <v>44</v>
      </c>
      <c r="E202" t="s">
        <v>185</v>
      </c>
      <c r="F202" t="s">
        <v>171</v>
      </c>
      <c r="G202" t="s">
        <v>172</v>
      </c>
      <c r="H202" t="s">
        <v>37</v>
      </c>
      <c r="I202">
        <f>ROUND(95/100,9)</f>
        <v>0.95</v>
      </c>
      <c r="J202">
        <v>0</v>
      </c>
      <c r="O202">
        <f t="shared" si="146"/>
        <v>14495.62</v>
      </c>
      <c r="P202">
        <f t="shared" si="147"/>
        <v>206.29</v>
      </c>
      <c r="Q202">
        <f t="shared" si="148"/>
        <v>7046.31</v>
      </c>
      <c r="R202">
        <f t="shared" si="149"/>
        <v>2740.18</v>
      </c>
      <c r="S202">
        <f t="shared" si="150"/>
        <v>7243.02</v>
      </c>
      <c r="T202">
        <f t="shared" si="151"/>
        <v>0</v>
      </c>
      <c r="U202">
        <f t="shared" si="152"/>
        <v>32.436799999999998</v>
      </c>
      <c r="V202">
        <f t="shared" si="153"/>
        <v>0</v>
      </c>
      <c r="W202">
        <f t="shared" si="154"/>
        <v>0</v>
      </c>
      <c r="X202">
        <f t="shared" si="155"/>
        <v>6880.87</v>
      </c>
      <c r="Y202">
        <f t="shared" si="156"/>
        <v>3331.79</v>
      </c>
      <c r="AA202">
        <v>42446460</v>
      </c>
      <c r="AB202">
        <f t="shared" si="157"/>
        <v>1353.68</v>
      </c>
      <c r="AC202">
        <f t="shared" si="158"/>
        <v>39.619999999999997</v>
      </c>
      <c r="AD202">
        <f t="shared" si="159"/>
        <v>919.5</v>
      </c>
      <c r="AE202">
        <f t="shared" si="160"/>
        <v>149.27000000000001</v>
      </c>
      <c r="AF202">
        <f t="shared" si="161"/>
        <v>394.56</v>
      </c>
      <c r="AG202">
        <f t="shared" si="162"/>
        <v>0</v>
      </c>
      <c r="AH202">
        <f t="shared" si="163"/>
        <v>32</v>
      </c>
      <c r="AI202">
        <f t="shared" si="164"/>
        <v>0</v>
      </c>
      <c r="AJ202">
        <f t="shared" si="165"/>
        <v>0</v>
      </c>
      <c r="AK202">
        <v>1353.68</v>
      </c>
      <c r="AL202">
        <v>39.619999999999997</v>
      </c>
      <c r="AM202">
        <v>919.5</v>
      </c>
      <c r="AN202">
        <v>149.27000000000001</v>
      </c>
      <c r="AO202">
        <v>394.56</v>
      </c>
      <c r="AP202">
        <v>0</v>
      </c>
      <c r="AQ202">
        <v>32</v>
      </c>
      <c r="AR202">
        <v>0</v>
      </c>
      <c r="AS202">
        <v>0</v>
      </c>
      <c r="AT202">
        <v>95</v>
      </c>
      <c r="AU202">
        <v>46</v>
      </c>
      <c r="AV202">
        <v>1.0669999999999999</v>
      </c>
      <c r="AW202">
        <v>1.081</v>
      </c>
      <c r="AZ202">
        <v>1</v>
      </c>
      <c r="BA202">
        <v>18.11</v>
      </c>
      <c r="BB202">
        <v>7.56</v>
      </c>
      <c r="BC202">
        <v>5.07</v>
      </c>
      <c r="BD202" t="s">
        <v>3</v>
      </c>
      <c r="BE202" t="s">
        <v>3</v>
      </c>
      <c r="BF202" t="s">
        <v>3</v>
      </c>
      <c r="BG202" t="s">
        <v>3</v>
      </c>
      <c r="BH202">
        <v>0</v>
      </c>
      <c r="BI202">
        <v>2</v>
      </c>
      <c r="BJ202" t="s">
        <v>173</v>
      </c>
      <c r="BM202">
        <v>318</v>
      </c>
      <c r="BN202">
        <v>0</v>
      </c>
      <c r="BO202" t="s">
        <v>171</v>
      </c>
      <c r="BP202">
        <v>1</v>
      </c>
      <c r="BQ202">
        <v>40</v>
      </c>
      <c r="BR202">
        <v>0</v>
      </c>
      <c r="BS202">
        <v>18.11</v>
      </c>
      <c r="BT202">
        <v>1</v>
      </c>
      <c r="BU202">
        <v>1</v>
      </c>
      <c r="BV202">
        <v>1</v>
      </c>
      <c r="BW202">
        <v>1</v>
      </c>
      <c r="BX202">
        <v>1</v>
      </c>
      <c r="BY202" t="s">
        <v>3</v>
      </c>
      <c r="BZ202">
        <v>95</v>
      </c>
      <c r="CA202">
        <v>46</v>
      </c>
      <c r="CF202">
        <v>0</v>
      </c>
      <c r="CG202">
        <v>0</v>
      </c>
      <c r="CM202">
        <v>0</v>
      </c>
      <c r="CN202" t="s">
        <v>3</v>
      </c>
      <c r="CO202">
        <v>0</v>
      </c>
      <c r="CP202">
        <f t="shared" si="166"/>
        <v>14495.62</v>
      </c>
      <c r="CQ202">
        <f t="shared" si="167"/>
        <v>217.14414539999999</v>
      </c>
      <c r="CR202">
        <f t="shared" si="168"/>
        <v>7417.1651400000001</v>
      </c>
      <c r="CS202">
        <f t="shared" si="169"/>
        <v>2884.3994398999998</v>
      </c>
      <c r="CT202">
        <f t="shared" si="170"/>
        <v>7624.2288671999995</v>
      </c>
      <c r="CU202">
        <f t="shared" si="171"/>
        <v>0</v>
      </c>
      <c r="CV202">
        <f t="shared" si="172"/>
        <v>34.143999999999998</v>
      </c>
      <c r="CW202">
        <f t="shared" si="173"/>
        <v>0</v>
      </c>
      <c r="CX202">
        <f t="shared" si="174"/>
        <v>0</v>
      </c>
      <c r="CY202">
        <f t="shared" si="175"/>
        <v>6880.8689999999997</v>
      </c>
      <c r="CZ202">
        <f t="shared" si="176"/>
        <v>3331.7892000000002</v>
      </c>
      <c r="DC202" t="s">
        <v>3</v>
      </c>
      <c r="DD202" t="s">
        <v>3</v>
      </c>
      <c r="DE202" t="s">
        <v>3</v>
      </c>
      <c r="DF202" t="s">
        <v>3</v>
      </c>
      <c r="DG202" t="s">
        <v>3</v>
      </c>
      <c r="DH202" t="s">
        <v>3</v>
      </c>
      <c r="DI202" t="s">
        <v>3</v>
      </c>
      <c r="DJ202" t="s">
        <v>3</v>
      </c>
      <c r="DK202" t="s">
        <v>3</v>
      </c>
      <c r="DL202" t="s">
        <v>3</v>
      </c>
      <c r="DM202" t="s">
        <v>3</v>
      </c>
      <c r="DN202">
        <v>112</v>
      </c>
      <c r="DO202">
        <v>70</v>
      </c>
      <c r="DP202">
        <v>1.0669999999999999</v>
      </c>
      <c r="DQ202">
        <v>1.081</v>
      </c>
      <c r="DU202">
        <v>1013</v>
      </c>
      <c r="DV202" t="s">
        <v>37</v>
      </c>
      <c r="DW202" t="s">
        <v>37</v>
      </c>
      <c r="DX202">
        <v>1</v>
      </c>
      <c r="EE202">
        <v>42186365</v>
      </c>
      <c r="EF202">
        <v>40</v>
      </c>
      <c r="EG202" t="s">
        <v>39</v>
      </c>
      <c r="EH202">
        <v>0</v>
      </c>
      <c r="EI202" t="s">
        <v>3</v>
      </c>
      <c r="EJ202">
        <v>2</v>
      </c>
      <c r="EK202">
        <v>318</v>
      </c>
      <c r="EL202" t="s">
        <v>40</v>
      </c>
      <c r="EM202" t="s">
        <v>41</v>
      </c>
      <c r="EO202" t="s">
        <v>3</v>
      </c>
      <c r="EQ202">
        <v>131072</v>
      </c>
      <c r="ER202">
        <v>1353.68</v>
      </c>
      <c r="ES202">
        <v>39.619999999999997</v>
      </c>
      <c r="ET202">
        <v>919.5</v>
      </c>
      <c r="EU202">
        <v>149.27000000000001</v>
      </c>
      <c r="EV202">
        <v>394.56</v>
      </c>
      <c r="EW202">
        <v>32</v>
      </c>
      <c r="EX202">
        <v>0</v>
      </c>
      <c r="EY202">
        <v>0</v>
      </c>
      <c r="FQ202">
        <v>0</v>
      </c>
      <c r="FR202">
        <f t="shared" si="177"/>
        <v>0</v>
      </c>
      <c r="FS202">
        <v>0</v>
      </c>
      <c r="FX202">
        <v>112</v>
      </c>
      <c r="FY202">
        <v>70</v>
      </c>
      <c r="GA202" t="s">
        <v>3</v>
      </c>
      <c r="GD202">
        <v>0</v>
      </c>
      <c r="GF202">
        <v>849328498</v>
      </c>
      <c r="GG202">
        <v>2</v>
      </c>
      <c r="GH202">
        <v>1</v>
      </c>
      <c r="GI202">
        <v>2</v>
      </c>
      <c r="GJ202">
        <v>0</v>
      </c>
      <c r="GK202">
        <f>ROUND(R202*(R12)/100,2)</f>
        <v>4576.1000000000004</v>
      </c>
      <c r="GL202">
        <f t="shared" si="178"/>
        <v>0</v>
      </c>
      <c r="GM202">
        <f t="shared" si="179"/>
        <v>29284.38</v>
      </c>
      <c r="GN202">
        <f t="shared" si="180"/>
        <v>0</v>
      </c>
      <c r="GO202">
        <f t="shared" si="181"/>
        <v>29284.38</v>
      </c>
      <c r="GP202">
        <f t="shared" si="182"/>
        <v>0</v>
      </c>
      <c r="GR202">
        <v>0</v>
      </c>
      <c r="GS202">
        <v>3</v>
      </c>
      <c r="GT202">
        <v>0</v>
      </c>
      <c r="GU202" t="s">
        <v>3</v>
      </c>
      <c r="GV202">
        <f t="shared" si="183"/>
        <v>0</v>
      </c>
      <c r="GW202">
        <v>1</v>
      </c>
      <c r="GX202">
        <f t="shared" si="184"/>
        <v>0</v>
      </c>
      <c r="HA202">
        <v>0</v>
      </c>
      <c r="HB202">
        <v>0</v>
      </c>
      <c r="IK202">
        <v>0</v>
      </c>
    </row>
    <row r="203" spans="1:245" x14ac:dyDescent="0.2">
      <c r="A203">
        <v>17</v>
      </c>
      <c r="B203">
        <v>1</v>
      </c>
      <c r="E203" t="s">
        <v>186</v>
      </c>
      <c r="F203" t="s">
        <v>187</v>
      </c>
      <c r="G203" t="s">
        <v>188</v>
      </c>
      <c r="H203" t="s">
        <v>177</v>
      </c>
      <c r="I203">
        <f>ROUND(1.596*1.02,9)</f>
        <v>1.62792</v>
      </c>
      <c r="J203">
        <v>0</v>
      </c>
      <c r="O203">
        <f t="shared" si="146"/>
        <v>620059.87</v>
      </c>
      <c r="P203">
        <f t="shared" si="147"/>
        <v>620059.87</v>
      </c>
      <c r="Q203">
        <f t="shared" si="148"/>
        <v>0</v>
      </c>
      <c r="R203">
        <f t="shared" si="149"/>
        <v>0</v>
      </c>
      <c r="S203">
        <f t="shared" si="150"/>
        <v>0</v>
      </c>
      <c r="T203">
        <f t="shared" si="151"/>
        <v>0</v>
      </c>
      <c r="U203">
        <f t="shared" si="152"/>
        <v>0</v>
      </c>
      <c r="V203">
        <f t="shared" si="153"/>
        <v>0</v>
      </c>
      <c r="W203">
        <f t="shared" si="154"/>
        <v>0</v>
      </c>
      <c r="X203">
        <f t="shared" si="155"/>
        <v>0</v>
      </c>
      <c r="Y203">
        <f t="shared" si="156"/>
        <v>0</v>
      </c>
      <c r="AA203">
        <v>42446460</v>
      </c>
      <c r="AB203">
        <f t="shared" si="157"/>
        <v>216415.27</v>
      </c>
      <c r="AC203">
        <f t="shared" si="158"/>
        <v>216415.27</v>
      </c>
      <c r="AD203">
        <f t="shared" si="159"/>
        <v>0</v>
      </c>
      <c r="AE203">
        <f t="shared" si="160"/>
        <v>0</v>
      </c>
      <c r="AF203">
        <f t="shared" si="161"/>
        <v>0</v>
      </c>
      <c r="AG203">
        <f t="shared" si="162"/>
        <v>0</v>
      </c>
      <c r="AH203">
        <f t="shared" si="163"/>
        <v>0</v>
      </c>
      <c r="AI203">
        <f t="shared" si="164"/>
        <v>0</v>
      </c>
      <c r="AJ203">
        <f t="shared" si="165"/>
        <v>0</v>
      </c>
      <c r="AK203">
        <v>216415.27</v>
      </c>
      <c r="AL203">
        <v>216415.27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1</v>
      </c>
      <c r="AW203">
        <v>1</v>
      </c>
      <c r="AZ203">
        <v>1</v>
      </c>
      <c r="BA203">
        <v>1</v>
      </c>
      <c r="BB203">
        <v>1</v>
      </c>
      <c r="BC203">
        <v>1.76</v>
      </c>
      <c r="BD203" t="s">
        <v>3</v>
      </c>
      <c r="BE203" t="s">
        <v>3</v>
      </c>
      <c r="BF203" t="s">
        <v>3</v>
      </c>
      <c r="BG203" t="s">
        <v>3</v>
      </c>
      <c r="BH203">
        <v>3</v>
      </c>
      <c r="BI203">
        <v>2</v>
      </c>
      <c r="BJ203" t="s">
        <v>189</v>
      </c>
      <c r="BM203">
        <v>1618</v>
      </c>
      <c r="BN203">
        <v>0</v>
      </c>
      <c r="BO203" t="s">
        <v>187</v>
      </c>
      <c r="BP203">
        <v>1</v>
      </c>
      <c r="BQ203">
        <v>201</v>
      </c>
      <c r="BR203">
        <v>0</v>
      </c>
      <c r="BS203">
        <v>1</v>
      </c>
      <c r="BT203">
        <v>1</v>
      </c>
      <c r="BU203">
        <v>1</v>
      </c>
      <c r="BV203">
        <v>1</v>
      </c>
      <c r="BW203">
        <v>1</v>
      </c>
      <c r="BX203">
        <v>1</v>
      </c>
      <c r="BY203" t="s">
        <v>3</v>
      </c>
      <c r="BZ203">
        <v>0</v>
      </c>
      <c r="CA203">
        <v>0</v>
      </c>
      <c r="CF203">
        <v>0</v>
      </c>
      <c r="CG203">
        <v>0</v>
      </c>
      <c r="CM203">
        <v>0</v>
      </c>
      <c r="CN203" t="s">
        <v>3</v>
      </c>
      <c r="CO203">
        <v>0</v>
      </c>
      <c r="CP203">
        <f t="shared" si="166"/>
        <v>620059.87</v>
      </c>
      <c r="CQ203">
        <f t="shared" si="167"/>
        <v>380890.87520000001</v>
      </c>
      <c r="CR203">
        <f t="shared" si="168"/>
        <v>0</v>
      </c>
      <c r="CS203">
        <f t="shared" si="169"/>
        <v>0</v>
      </c>
      <c r="CT203">
        <f t="shared" si="170"/>
        <v>0</v>
      </c>
      <c r="CU203">
        <f t="shared" si="171"/>
        <v>0</v>
      </c>
      <c r="CV203">
        <f t="shared" si="172"/>
        <v>0</v>
      </c>
      <c r="CW203">
        <f t="shared" si="173"/>
        <v>0</v>
      </c>
      <c r="CX203">
        <f t="shared" si="174"/>
        <v>0</v>
      </c>
      <c r="CY203">
        <f t="shared" si="175"/>
        <v>0</v>
      </c>
      <c r="CZ203">
        <f t="shared" si="176"/>
        <v>0</v>
      </c>
      <c r="DC203" t="s">
        <v>3</v>
      </c>
      <c r="DD203" t="s">
        <v>3</v>
      </c>
      <c r="DE203" t="s">
        <v>3</v>
      </c>
      <c r="DF203" t="s">
        <v>3</v>
      </c>
      <c r="DG203" t="s">
        <v>3</v>
      </c>
      <c r="DH203" t="s">
        <v>3</v>
      </c>
      <c r="DI203" t="s">
        <v>3</v>
      </c>
      <c r="DJ203" t="s">
        <v>3</v>
      </c>
      <c r="DK203" t="s">
        <v>3</v>
      </c>
      <c r="DL203" t="s">
        <v>3</v>
      </c>
      <c r="DM203" t="s">
        <v>3</v>
      </c>
      <c r="DN203">
        <v>0</v>
      </c>
      <c r="DO203">
        <v>0</v>
      </c>
      <c r="DP203">
        <v>1</v>
      </c>
      <c r="DQ203">
        <v>1</v>
      </c>
      <c r="DU203">
        <v>1003</v>
      </c>
      <c r="DV203" t="s">
        <v>177</v>
      </c>
      <c r="DW203" t="s">
        <v>177</v>
      </c>
      <c r="DX203">
        <v>1000</v>
      </c>
      <c r="EE203">
        <v>42187665</v>
      </c>
      <c r="EF203">
        <v>201</v>
      </c>
      <c r="EG203" t="s">
        <v>179</v>
      </c>
      <c r="EH203">
        <v>0</v>
      </c>
      <c r="EI203" t="s">
        <v>3</v>
      </c>
      <c r="EJ203">
        <v>2</v>
      </c>
      <c r="EK203">
        <v>1618</v>
      </c>
      <c r="EL203" t="s">
        <v>180</v>
      </c>
      <c r="EM203" t="s">
        <v>181</v>
      </c>
      <c r="EO203" t="s">
        <v>3</v>
      </c>
      <c r="EQ203">
        <v>131072</v>
      </c>
      <c r="ER203">
        <v>216415.27</v>
      </c>
      <c r="ES203">
        <v>216415.27</v>
      </c>
      <c r="ET203">
        <v>0</v>
      </c>
      <c r="EU203">
        <v>0</v>
      </c>
      <c r="EV203">
        <v>0</v>
      </c>
      <c r="EW203">
        <v>0</v>
      </c>
      <c r="EX203">
        <v>0</v>
      </c>
      <c r="EY203">
        <v>0</v>
      </c>
      <c r="FQ203">
        <v>0</v>
      </c>
      <c r="FR203">
        <f t="shared" si="177"/>
        <v>0</v>
      </c>
      <c r="FS203">
        <v>0</v>
      </c>
      <c r="FX203">
        <v>0</v>
      </c>
      <c r="FY203">
        <v>0</v>
      </c>
      <c r="GA203" t="s">
        <v>3</v>
      </c>
      <c r="GD203">
        <v>0</v>
      </c>
      <c r="GF203">
        <v>-1274596103</v>
      </c>
      <c r="GG203">
        <v>2</v>
      </c>
      <c r="GH203">
        <v>0</v>
      </c>
      <c r="GI203">
        <v>0</v>
      </c>
      <c r="GJ203">
        <v>0</v>
      </c>
      <c r="GK203">
        <f>ROUND(R203*(R12)/100,2)</f>
        <v>0</v>
      </c>
      <c r="GL203">
        <f t="shared" si="178"/>
        <v>0</v>
      </c>
      <c r="GM203">
        <f t="shared" si="179"/>
        <v>620059.87</v>
      </c>
      <c r="GN203">
        <f t="shared" si="180"/>
        <v>0</v>
      </c>
      <c r="GO203">
        <f t="shared" si="181"/>
        <v>620059.87</v>
      </c>
      <c r="GP203">
        <f t="shared" si="182"/>
        <v>0</v>
      </c>
      <c r="GR203">
        <v>0</v>
      </c>
      <c r="GS203">
        <v>0</v>
      </c>
      <c r="GT203">
        <v>0</v>
      </c>
      <c r="GU203" t="s">
        <v>3</v>
      </c>
      <c r="GV203">
        <f t="shared" si="183"/>
        <v>0</v>
      </c>
      <c r="GW203">
        <v>1</v>
      </c>
      <c r="GX203">
        <f t="shared" si="184"/>
        <v>0</v>
      </c>
      <c r="HA203">
        <v>0</v>
      </c>
      <c r="HB203">
        <v>0</v>
      </c>
      <c r="IK203">
        <v>0</v>
      </c>
    </row>
    <row r="204" spans="1:245" x14ac:dyDescent="0.2">
      <c r="A204">
        <v>17</v>
      </c>
      <c r="B204">
        <v>1</v>
      </c>
      <c r="C204">
        <f>ROW(SmtRes!A42)</f>
        <v>42</v>
      </c>
      <c r="D204">
        <f>ROW(EtalonRes!A45)</f>
        <v>45</v>
      </c>
      <c r="E204" t="s">
        <v>190</v>
      </c>
      <c r="F204" t="s">
        <v>191</v>
      </c>
      <c r="G204" t="s">
        <v>192</v>
      </c>
      <c r="H204" t="s">
        <v>37</v>
      </c>
      <c r="I204">
        <f>ROUND(270/100,9)</f>
        <v>2.7</v>
      </c>
      <c r="J204">
        <v>0</v>
      </c>
      <c r="O204">
        <f t="shared" si="146"/>
        <v>14615.14</v>
      </c>
      <c r="P204">
        <f t="shared" si="147"/>
        <v>341.13</v>
      </c>
      <c r="Q204">
        <f t="shared" si="148"/>
        <v>7159.99</v>
      </c>
      <c r="R204">
        <f t="shared" si="149"/>
        <v>2806.2</v>
      </c>
      <c r="S204">
        <f t="shared" si="150"/>
        <v>7114.02</v>
      </c>
      <c r="T204">
        <f t="shared" si="151"/>
        <v>0</v>
      </c>
      <c r="U204">
        <f t="shared" si="152"/>
        <v>31.860000000000003</v>
      </c>
      <c r="V204">
        <f t="shared" si="153"/>
        <v>0</v>
      </c>
      <c r="W204">
        <f t="shared" si="154"/>
        <v>0</v>
      </c>
      <c r="X204">
        <f t="shared" si="155"/>
        <v>6758.32</v>
      </c>
      <c r="Y204">
        <f t="shared" si="156"/>
        <v>3272.45</v>
      </c>
      <c r="AA204">
        <v>42446460</v>
      </c>
      <c r="AB204">
        <f t="shared" si="157"/>
        <v>520.72</v>
      </c>
      <c r="AC204">
        <f t="shared" si="158"/>
        <v>24.92</v>
      </c>
      <c r="AD204">
        <f t="shared" si="159"/>
        <v>350.31</v>
      </c>
      <c r="AE204">
        <f t="shared" si="160"/>
        <v>57.39</v>
      </c>
      <c r="AF204">
        <f t="shared" si="161"/>
        <v>145.49</v>
      </c>
      <c r="AG204">
        <f t="shared" si="162"/>
        <v>0</v>
      </c>
      <c r="AH204">
        <f t="shared" si="163"/>
        <v>11.8</v>
      </c>
      <c r="AI204">
        <f t="shared" si="164"/>
        <v>0</v>
      </c>
      <c r="AJ204">
        <f t="shared" si="165"/>
        <v>0</v>
      </c>
      <c r="AK204">
        <v>520.72</v>
      </c>
      <c r="AL204">
        <v>24.92</v>
      </c>
      <c r="AM204">
        <v>350.31</v>
      </c>
      <c r="AN204">
        <v>57.39</v>
      </c>
      <c r="AO204">
        <v>145.49</v>
      </c>
      <c r="AP204">
        <v>0</v>
      </c>
      <c r="AQ204">
        <v>11.8</v>
      </c>
      <c r="AR204">
        <v>0</v>
      </c>
      <c r="AS204">
        <v>0</v>
      </c>
      <c r="AT204">
        <v>95</v>
      </c>
      <c r="AU204">
        <v>46</v>
      </c>
      <c r="AV204">
        <v>1</v>
      </c>
      <c r="AW204">
        <v>1</v>
      </c>
      <c r="AZ204">
        <v>1</v>
      </c>
      <c r="BA204">
        <v>18.11</v>
      </c>
      <c r="BB204">
        <v>7.57</v>
      </c>
      <c r="BC204">
        <v>5.07</v>
      </c>
      <c r="BD204" t="s">
        <v>3</v>
      </c>
      <c r="BE204" t="s">
        <v>3</v>
      </c>
      <c r="BF204" t="s">
        <v>3</v>
      </c>
      <c r="BG204" t="s">
        <v>3</v>
      </c>
      <c r="BH204">
        <v>0</v>
      </c>
      <c r="BI204">
        <v>2</v>
      </c>
      <c r="BJ204" t="s">
        <v>193</v>
      </c>
      <c r="BM204">
        <v>318</v>
      </c>
      <c r="BN204">
        <v>0</v>
      </c>
      <c r="BO204" t="s">
        <v>191</v>
      </c>
      <c r="BP204">
        <v>1</v>
      </c>
      <c r="BQ204">
        <v>40</v>
      </c>
      <c r="BR204">
        <v>0</v>
      </c>
      <c r="BS204">
        <v>18.11</v>
      </c>
      <c r="BT204">
        <v>1</v>
      </c>
      <c r="BU204">
        <v>1</v>
      </c>
      <c r="BV204">
        <v>1</v>
      </c>
      <c r="BW204">
        <v>1</v>
      </c>
      <c r="BX204">
        <v>1</v>
      </c>
      <c r="BY204" t="s">
        <v>3</v>
      </c>
      <c r="BZ204">
        <v>95</v>
      </c>
      <c r="CA204">
        <v>46</v>
      </c>
      <c r="CF204">
        <v>0</v>
      </c>
      <c r="CG204">
        <v>0</v>
      </c>
      <c r="CM204">
        <v>0</v>
      </c>
      <c r="CN204" t="s">
        <v>3</v>
      </c>
      <c r="CO204">
        <v>0</v>
      </c>
      <c r="CP204">
        <f t="shared" si="166"/>
        <v>14615.14</v>
      </c>
      <c r="CQ204">
        <f t="shared" si="167"/>
        <v>126.34440000000002</v>
      </c>
      <c r="CR204">
        <f t="shared" si="168"/>
        <v>2651.8467000000001</v>
      </c>
      <c r="CS204">
        <f t="shared" si="169"/>
        <v>1039.3328999999999</v>
      </c>
      <c r="CT204">
        <f t="shared" si="170"/>
        <v>2634.8238999999999</v>
      </c>
      <c r="CU204">
        <f t="shared" si="171"/>
        <v>0</v>
      </c>
      <c r="CV204">
        <f t="shared" si="172"/>
        <v>11.8</v>
      </c>
      <c r="CW204">
        <f t="shared" si="173"/>
        <v>0</v>
      </c>
      <c r="CX204">
        <f t="shared" si="174"/>
        <v>0</v>
      </c>
      <c r="CY204">
        <f t="shared" si="175"/>
        <v>6758.3190000000004</v>
      </c>
      <c r="CZ204">
        <f t="shared" si="176"/>
        <v>3272.4492000000005</v>
      </c>
      <c r="DC204" t="s">
        <v>3</v>
      </c>
      <c r="DD204" t="s">
        <v>3</v>
      </c>
      <c r="DE204" t="s">
        <v>3</v>
      </c>
      <c r="DF204" t="s">
        <v>3</v>
      </c>
      <c r="DG204" t="s">
        <v>3</v>
      </c>
      <c r="DH204" t="s">
        <v>3</v>
      </c>
      <c r="DI204" t="s">
        <v>3</v>
      </c>
      <c r="DJ204" t="s">
        <v>3</v>
      </c>
      <c r="DK204" t="s">
        <v>3</v>
      </c>
      <c r="DL204" t="s">
        <v>3</v>
      </c>
      <c r="DM204" t="s">
        <v>3</v>
      </c>
      <c r="DN204">
        <v>112</v>
      </c>
      <c r="DO204">
        <v>70</v>
      </c>
      <c r="DP204">
        <v>1.0669999999999999</v>
      </c>
      <c r="DQ204">
        <v>1.081</v>
      </c>
      <c r="DU204">
        <v>1013</v>
      </c>
      <c r="DV204" t="s">
        <v>37</v>
      </c>
      <c r="DW204" t="s">
        <v>37</v>
      </c>
      <c r="DX204">
        <v>1</v>
      </c>
      <c r="EE204">
        <v>42186365</v>
      </c>
      <c r="EF204">
        <v>40</v>
      </c>
      <c r="EG204" t="s">
        <v>39</v>
      </c>
      <c r="EH204">
        <v>0</v>
      </c>
      <c r="EI204" t="s">
        <v>3</v>
      </c>
      <c r="EJ204">
        <v>2</v>
      </c>
      <c r="EK204">
        <v>318</v>
      </c>
      <c r="EL204" t="s">
        <v>40</v>
      </c>
      <c r="EM204" t="s">
        <v>41</v>
      </c>
      <c r="EO204" t="s">
        <v>3</v>
      </c>
      <c r="EQ204">
        <v>131072</v>
      </c>
      <c r="ER204">
        <v>520.72</v>
      </c>
      <c r="ES204">
        <v>24.92</v>
      </c>
      <c r="ET204">
        <v>350.31</v>
      </c>
      <c r="EU204">
        <v>57.39</v>
      </c>
      <c r="EV204">
        <v>145.49</v>
      </c>
      <c r="EW204">
        <v>11.8</v>
      </c>
      <c r="EX204">
        <v>0</v>
      </c>
      <c r="EY204">
        <v>0</v>
      </c>
      <c r="FQ204">
        <v>0</v>
      </c>
      <c r="FR204">
        <f t="shared" si="177"/>
        <v>0</v>
      </c>
      <c r="FS204">
        <v>0</v>
      </c>
      <c r="FX204">
        <v>112</v>
      </c>
      <c r="FY204">
        <v>70</v>
      </c>
      <c r="GA204" t="s">
        <v>3</v>
      </c>
      <c r="GD204">
        <v>0</v>
      </c>
      <c r="GF204">
        <v>-930857839</v>
      </c>
      <c r="GG204">
        <v>2</v>
      </c>
      <c r="GH204">
        <v>0</v>
      </c>
      <c r="GI204">
        <v>0</v>
      </c>
      <c r="GJ204">
        <v>0</v>
      </c>
      <c r="GK204">
        <f>ROUND(R204*(R12)/100,2)</f>
        <v>4686.3500000000004</v>
      </c>
      <c r="GL204">
        <f t="shared" si="178"/>
        <v>0</v>
      </c>
      <c r="GM204">
        <f t="shared" si="179"/>
        <v>29332.26</v>
      </c>
      <c r="GN204">
        <f t="shared" si="180"/>
        <v>0</v>
      </c>
      <c r="GO204">
        <f t="shared" si="181"/>
        <v>29332.26</v>
      </c>
      <c r="GP204">
        <f t="shared" si="182"/>
        <v>0</v>
      </c>
      <c r="GR204">
        <v>0</v>
      </c>
      <c r="GS204">
        <v>0</v>
      </c>
      <c r="GT204">
        <v>0</v>
      </c>
      <c r="GU204" t="s">
        <v>3</v>
      </c>
      <c r="GV204">
        <f t="shared" si="183"/>
        <v>0</v>
      </c>
      <c r="GW204">
        <v>1</v>
      </c>
      <c r="GX204">
        <f t="shared" si="184"/>
        <v>0</v>
      </c>
      <c r="HA204">
        <v>0</v>
      </c>
      <c r="HB204">
        <v>0</v>
      </c>
      <c r="IK204">
        <v>0</v>
      </c>
    </row>
    <row r="205" spans="1:245" x14ac:dyDescent="0.2">
      <c r="A205">
        <v>17</v>
      </c>
      <c r="B205">
        <v>1</v>
      </c>
      <c r="C205">
        <f>ROW(SmtRes!A43)</f>
        <v>43</v>
      </c>
      <c r="D205">
        <f>ROW(EtalonRes!A46)</f>
        <v>46</v>
      </c>
      <c r="E205" t="s">
        <v>194</v>
      </c>
      <c r="F205" t="s">
        <v>195</v>
      </c>
      <c r="G205" t="s">
        <v>196</v>
      </c>
      <c r="H205" t="s">
        <v>37</v>
      </c>
      <c r="I205">
        <f>ROUND(50/100,9)</f>
        <v>0.5</v>
      </c>
      <c r="J205">
        <v>0</v>
      </c>
      <c r="O205">
        <f t="shared" si="146"/>
        <v>2047.67</v>
      </c>
      <c r="P205">
        <f t="shared" si="147"/>
        <v>91.39</v>
      </c>
      <c r="Q205">
        <f t="shared" si="148"/>
        <v>192.28</v>
      </c>
      <c r="R205">
        <f t="shared" si="149"/>
        <v>93.81</v>
      </c>
      <c r="S205">
        <f t="shared" si="150"/>
        <v>1764</v>
      </c>
      <c r="T205">
        <f t="shared" si="151"/>
        <v>0</v>
      </c>
      <c r="U205">
        <f t="shared" si="152"/>
        <v>7.9</v>
      </c>
      <c r="V205">
        <f t="shared" si="153"/>
        <v>0</v>
      </c>
      <c r="W205">
        <f t="shared" si="154"/>
        <v>0</v>
      </c>
      <c r="X205">
        <f t="shared" si="155"/>
        <v>1675.8</v>
      </c>
      <c r="Y205">
        <f t="shared" si="156"/>
        <v>811.44</v>
      </c>
      <c r="AA205">
        <v>42446460</v>
      </c>
      <c r="AB205">
        <f t="shared" si="157"/>
        <v>276.97000000000003</v>
      </c>
      <c r="AC205">
        <f t="shared" si="158"/>
        <v>36.049999999999997</v>
      </c>
      <c r="AD205">
        <f t="shared" si="159"/>
        <v>46.11</v>
      </c>
      <c r="AE205">
        <f t="shared" si="160"/>
        <v>10.36</v>
      </c>
      <c r="AF205">
        <f t="shared" si="161"/>
        <v>194.81</v>
      </c>
      <c r="AG205">
        <f t="shared" si="162"/>
        <v>0</v>
      </c>
      <c r="AH205">
        <f t="shared" si="163"/>
        <v>15.8</v>
      </c>
      <c r="AI205">
        <f t="shared" si="164"/>
        <v>0</v>
      </c>
      <c r="AJ205">
        <f t="shared" si="165"/>
        <v>0</v>
      </c>
      <c r="AK205">
        <v>276.97000000000003</v>
      </c>
      <c r="AL205">
        <v>36.049999999999997</v>
      </c>
      <c r="AM205">
        <v>46.11</v>
      </c>
      <c r="AN205">
        <v>10.36</v>
      </c>
      <c r="AO205">
        <v>194.81</v>
      </c>
      <c r="AP205">
        <v>0</v>
      </c>
      <c r="AQ205">
        <v>15.8</v>
      </c>
      <c r="AR205">
        <v>0</v>
      </c>
      <c r="AS205">
        <v>0</v>
      </c>
      <c r="AT205">
        <v>95</v>
      </c>
      <c r="AU205">
        <v>46</v>
      </c>
      <c r="AV205">
        <v>1</v>
      </c>
      <c r="AW205">
        <v>1</v>
      </c>
      <c r="AZ205">
        <v>1</v>
      </c>
      <c r="BA205">
        <v>18.11</v>
      </c>
      <c r="BB205">
        <v>8.34</v>
      </c>
      <c r="BC205">
        <v>5.07</v>
      </c>
      <c r="BD205" t="s">
        <v>3</v>
      </c>
      <c r="BE205" t="s">
        <v>3</v>
      </c>
      <c r="BF205" t="s">
        <v>3</v>
      </c>
      <c r="BG205" t="s">
        <v>3</v>
      </c>
      <c r="BH205">
        <v>0</v>
      </c>
      <c r="BI205">
        <v>2</v>
      </c>
      <c r="BJ205" t="s">
        <v>197</v>
      </c>
      <c r="BM205">
        <v>318</v>
      </c>
      <c r="BN205">
        <v>0</v>
      </c>
      <c r="BO205" t="s">
        <v>195</v>
      </c>
      <c r="BP205">
        <v>1</v>
      </c>
      <c r="BQ205">
        <v>40</v>
      </c>
      <c r="BR205">
        <v>0</v>
      </c>
      <c r="BS205">
        <v>18.11</v>
      </c>
      <c r="BT205">
        <v>1</v>
      </c>
      <c r="BU205">
        <v>1</v>
      </c>
      <c r="BV205">
        <v>1</v>
      </c>
      <c r="BW205">
        <v>1</v>
      </c>
      <c r="BX205">
        <v>1</v>
      </c>
      <c r="BY205" t="s">
        <v>3</v>
      </c>
      <c r="BZ205">
        <v>95</v>
      </c>
      <c r="CA205">
        <v>46</v>
      </c>
      <c r="CF205">
        <v>0</v>
      </c>
      <c r="CG205">
        <v>0</v>
      </c>
      <c r="CM205">
        <v>0</v>
      </c>
      <c r="CN205" t="s">
        <v>3</v>
      </c>
      <c r="CO205">
        <v>0</v>
      </c>
      <c r="CP205">
        <f t="shared" si="166"/>
        <v>2047.67</v>
      </c>
      <c r="CQ205">
        <f t="shared" si="167"/>
        <v>182.77349999999998</v>
      </c>
      <c r="CR205">
        <f t="shared" si="168"/>
        <v>384.55739999999997</v>
      </c>
      <c r="CS205">
        <f t="shared" si="169"/>
        <v>187.61959999999999</v>
      </c>
      <c r="CT205">
        <f t="shared" si="170"/>
        <v>3528.0090999999998</v>
      </c>
      <c r="CU205">
        <f t="shared" si="171"/>
        <v>0</v>
      </c>
      <c r="CV205">
        <f t="shared" si="172"/>
        <v>15.8</v>
      </c>
      <c r="CW205">
        <f t="shared" si="173"/>
        <v>0</v>
      </c>
      <c r="CX205">
        <f t="shared" si="174"/>
        <v>0</v>
      </c>
      <c r="CY205">
        <f t="shared" si="175"/>
        <v>1675.8</v>
      </c>
      <c r="CZ205">
        <f t="shared" si="176"/>
        <v>811.44</v>
      </c>
      <c r="DC205" t="s">
        <v>3</v>
      </c>
      <c r="DD205" t="s">
        <v>3</v>
      </c>
      <c r="DE205" t="s">
        <v>3</v>
      </c>
      <c r="DF205" t="s">
        <v>3</v>
      </c>
      <c r="DG205" t="s">
        <v>3</v>
      </c>
      <c r="DH205" t="s">
        <v>3</v>
      </c>
      <c r="DI205" t="s">
        <v>3</v>
      </c>
      <c r="DJ205" t="s">
        <v>3</v>
      </c>
      <c r="DK205" t="s">
        <v>3</v>
      </c>
      <c r="DL205" t="s">
        <v>3</v>
      </c>
      <c r="DM205" t="s">
        <v>3</v>
      </c>
      <c r="DN205">
        <v>112</v>
      </c>
      <c r="DO205">
        <v>70</v>
      </c>
      <c r="DP205">
        <v>1.0669999999999999</v>
      </c>
      <c r="DQ205">
        <v>1.081</v>
      </c>
      <c r="DU205">
        <v>1013</v>
      </c>
      <c r="DV205" t="s">
        <v>37</v>
      </c>
      <c r="DW205" t="s">
        <v>37</v>
      </c>
      <c r="DX205">
        <v>1</v>
      </c>
      <c r="EE205">
        <v>42186365</v>
      </c>
      <c r="EF205">
        <v>40</v>
      </c>
      <c r="EG205" t="s">
        <v>39</v>
      </c>
      <c r="EH205">
        <v>0</v>
      </c>
      <c r="EI205" t="s">
        <v>3</v>
      </c>
      <c r="EJ205">
        <v>2</v>
      </c>
      <c r="EK205">
        <v>318</v>
      </c>
      <c r="EL205" t="s">
        <v>40</v>
      </c>
      <c r="EM205" t="s">
        <v>41</v>
      </c>
      <c r="EO205" t="s">
        <v>3</v>
      </c>
      <c r="EQ205">
        <v>131072</v>
      </c>
      <c r="ER205">
        <v>276.97000000000003</v>
      </c>
      <c r="ES205">
        <v>36.049999999999997</v>
      </c>
      <c r="ET205">
        <v>46.11</v>
      </c>
      <c r="EU205">
        <v>10.36</v>
      </c>
      <c r="EV205">
        <v>194.81</v>
      </c>
      <c r="EW205">
        <v>15.8</v>
      </c>
      <c r="EX205">
        <v>0</v>
      </c>
      <c r="EY205">
        <v>0</v>
      </c>
      <c r="FQ205">
        <v>0</v>
      </c>
      <c r="FR205">
        <f t="shared" si="177"/>
        <v>0</v>
      </c>
      <c r="FS205">
        <v>0</v>
      </c>
      <c r="FX205">
        <v>112</v>
      </c>
      <c r="FY205">
        <v>70</v>
      </c>
      <c r="GA205" t="s">
        <v>3</v>
      </c>
      <c r="GD205">
        <v>0</v>
      </c>
      <c r="GF205">
        <v>-243628578</v>
      </c>
      <c r="GG205">
        <v>2</v>
      </c>
      <c r="GH205">
        <v>0</v>
      </c>
      <c r="GI205">
        <v>0</v>
      </c>
      <c r="GJ205">
        <v>0</v>
      </c>
      <c r="GK205">
        <f>ROUND(R205*(R12)/100,2)</f>
        <v>156.66</v>
      </c>
      <c r="GL205">
        <f t="shared" si="178"/>
        <v>0</v>
      </c>
      <c r="GM205">
        <f t="shared" si="179"/>
        <v>4691.57</v>
      </c>
      <c r="GN205">
        <f t="shared" si="180"/>
        <v>0</v>
      </c>
      <c r="GO205">
        <f t="shared" si="181"/>
        <v>4691.57</v>
      </c>
      <c r="GP205">
        <f t="shared" si="182"/>
        <v>0</v>
      </c>
      <c r="GR205">
        <v>0</v>
      </c>
      <c r="GS205">
        <v>0</v>
      </c>
      <c r="GT205">
        <v>0</v>
      </c>
      <c r="GU205" t="s">
        <v>3</v>
      </c>
      <c r="GV205">
        <f t="shared" si="183"/>
        <v>0</v>
      </c>
      <c r="GW205">
        <v>1</v>
      </c>
      <c r="GX205">
        <f t="shared" si="184"/>
        <v>0</v>
      </c>
      <c r="HA205">
        <v>0</v>
      </c>
      <c r="HB205">
        <v>0</v>
      </c>
      <c r="IK205">
        <v>0</v>
      </c>
    </row>
    <row r="206" spans="1:245" x14ac:dyDescent="0.2">
      <c r="A206">
        <v>17</v>
      </c>
      <c r="B206">
        <v>1</v>
      </c>
      <c r="C206">
        <f>ROW(SmtRes!A44)</f>
        <v>44</v>
      </c>
      <c r="D206">
        <f>ROW(EtalonRes!A47)</f>
        <v>47</v>
      </c>
      <c r="E206" t="s">
        <v>198</v>
      </c>
      <c r="F206" t="s">
        <v>199</v>
      </c>
      <c r="G206" t="s">
        <v>200</v>
      </c>
      <c r="H206" t="s">
        <v>37</v>
      </c>
      <c r="I206">
        <f>ROUND(20/100,9)</f>
        <v>0.2</v>
      </c>
      <c r="J206">
        <v>0</v>
      </c>
      <c r="O206">
        <f t="shared" si="146"/>
        <v>1758.62</v>
      </c>
      <c r="P206">
        <f t="shared" si="147"/>
        <v>41.74</v>
      </c>
      <c r="Q206">
        <f t="shared" si="148"/>
        <v>830.56</v>
      </c>
      <c r="R206">
        <f t="shared" si="149"/>
        <v>318.41000000000003</v>
      </c>
      <c r="S206">
        <f t="shared" si="150"/>
        <v>886.32</v>
      </c>
      <c r="T206">
        <f t="shared" si="151"/>
        <v>0</v>
      </c>
      <c r="U206">
        <f t="shared" si="152"/>
        <v>3.9692400000000001</v>
      </c>
      <c r="V206">
        <f t="shared" si="153"/>
        <v>0</v>
      </c>
      <c r="W206">
        <f t="shared" si="154"/>
        <v>0</v>
      </c>
      <c r="X206">
        <f t="shared" si="155"/>
        <v>842</v>
      </c>
      <c r="Y206">
        <f t="shared" si="156"/>
        <v>407.71</v>
      </c>
      <c r="AA206">
        <v>42446460</v>
      </c>
      <c r="AB206">
        <f t="shared" si="157"/>
        <v>784.98</v>
      </c>
      <c r="AC206">
        <f t="shared" si="158"/>
        <v>38.08</v>
      </c>
      <c r="AD206">
        <f t="shared" si="159"/>
        <v>517.55999999999995</v>
      </c>
      <c r="AE206">
        <f t="shared" si="160"/>
        <v>82.39</v>
      </c>
      <c r="AF206">
        <f t="shared" si="161"/>
        <v>229.34</v>
      </c>
      <c r="AG206">
        <f t="shared" si="162"/>
        <v>0</v>
      </c>
      <c r="AH206">
        <f t="shared" si="163"/>
        <v>18.600000000000001</v>
      </c>
      <c r="AI206">
        <f t="shared" si="164"/>
        <v>0</v>
      </c>
      <c r="AJ206">
        <f t="shared" si="165"/>
        <v>0</v>
      </c>
      <c r="AK206">
        <v>784.98</v>
      </c>
      <c r="AL206">
        <v>38.08</v>
      </c>
      <c r="AM206">
        <v>517.55999999999995</v>
      </c>
      <c r="AN206">
        <v>82.39</v>
      </c>
      <c r="AO206">
        <v>229.34</v>
      </c>
      <c r="AP206">
        <v>0</v>
      </c>
      <c r="AQ206">
        <v>18.600000000000001</v>
      </c>
      <c r="AR206">
        <v>0</v>
      </c>
      <c r="AS206">
        <v>0</v>
      </c>
      <c r="AT206">
        <v>95</v>
      </c>
      <c r="AU206">
        <v>46</v>
      </c>
      <c r="AV206">
        <v>1.0669999999999999</v>
      </c>
      <c r="AW206">
        <v>1.081</v>
      </c>
      <c r="AZ206">
        <v>1</v>
      </c>
      <c r="BA206">
        <v>18.11</v>
      </c>
      <c r="BB206">
        <v>7.52</v>
      </c>
      <c r="BC206">
        <v>5.07</v>
      </c>
      <c r="BD206" t="s">
        <v>3</v>
      </c>
      <c r="BE206" t="s">
        <v>3</v>
      </c>
      <c r="BF206" t="s">
        <v>3</v>
      </c>
      <c r="BG206" t="s">
        <v>3</v>
      </c>
      <c r="BH206">
        <v>0</v>
      </c>
      <c r="BI206">
        <v>2</v>
      </c>
      <c r="BJ206" t="s">
        <v>201</v>
      </c>
      <c r="BM206">
        <v>318</v>
      </c>
      <c r="BN206">
        <v>0</v>
      </c>
      <c r="BO206" t="s">
        <v>199</v>
      </c>
      <c r="BP206">
        <v>1</v>
      </c>
      <c r="BQ206">
        <v>40</v>
      </c>
      <c r="BR206">
        <v>0</v>
      </c>
      <c r="BS206">
        <v>18.11</v>
      </c>
      <c r="BT206">
        <v>1</v>
      </c>
      <c r="BU206">
        <v>1</v>
      </c>
      <c r="BV206">
        <v>1</v>
      </c>
      <c r="BW206">
        <v>1</v>
      </c>
      <c r="BX206">
        <v>1</v>
      </c>
      <c r="BY206" t="s">
        <v>3</v>
      </c>
      <c r="BZ206">
        <v>95</v>
      </c>
      <c r="CA206">
        <v>46</v>
      </c>
      <c r="CF206">
        <v>0</v>
      </c>
      <c r="CG206">
        <v>0</v>
      </c>
      <c r="CM206">
        <v>0</v>
      </c>
      <c r="CN206" t="s">
        <v>3</v>
      </c>
      <c r="CO206">
        <v>0</v>
      </c>
      <c r="CP206">
        <f t="shared" si="166"/>
        <v>1758.62</v>
      </c>
      <c r="CQ206">
        <f t="shared" si="167"/>
        <v>208.70391359999999</v>
      </c>
      <c r="CR206">
        <f t="shared" si="168"/>
        <v>4152.8186303999992</v>
      </c>
      <c r="CS206">
        <f t="shared" si="169"/>
        <v>1592.0524542999999</v>
      </c>
      <c r="CT206">
        <f t="shared" si="170"/>
        <v>4431.6216757999991</v>
      </c>
      <c r="CU206">
        <f t="shared" si="171"/>
        <v>0</v>
      </c>
      <c r="CV206">
        <f t="shared" si="172"/>
        <v>19.8462</v>
      </c>
      <c r="CW206">
        <f t="shared" si="173"/>
        <v>0</v>
      </c>
      <c r="CX206">
        <f t="shared" si="174"/>
        <v>0</v>
      </c>
      <c r="CY206">
        <f t="shared" si="175"/>
        <v>842.00400000000002</v>
      </c>
      <c r="CZ206">
        <f t="shared" si="176"/>
        <v>407.70720000000006</v>
      </c>
      <c r="DC206" t="s">
        <v>3</v>
      </c>
      <c r="DD206" t="s">
        <v>3</v>
      </c>
      <c r="DE206" t="s">
        <v>3</v>
      </c>
      <c r="DF206" t="s">
        <v>3</v>
      </c>
      <c r="DG206" t="s">
        <v>3</v>
      </c>
      <c r="DH206" t="s">
        <v>3</v>
      </c>
      <c r="DI206" t="s">
        <v>3</v>
      </c>
      <c r="DJ206" t="s">
        <v>3</v>
      </c>
      <c r="DK206" t="s">
        <v>3</v>
      </c>
      <c r="DL206" t="s">
        <v>3</v>
      </c>
      <c r="DM206" t="s">
        <v>3</v>
      </c>
      <c r="DN206">
        <v>112</v>
      </c>
      <c r="DO206">
        <v>70</v>
      </c>
      <c r="DP206">
        <v>1.0669999999999999</v>
      </c>
      <c r="DQ206">
        <v>1.081</v>
      </c>
      <c r="DU206">
        <v>1013</v>
      </c>
      <c r="DV206" t="s">
        <v>37</v>
      </c>
      <c r="DW206" t="s">
        <v>37</v>
      </c>
      <c r="DX206">
        <v>1</v>
      </c>
      <c r="EE206">
        <v>42186365</v>
      </c>
      <c r="EF206">
        <v>40</v>
      </c>
      <c r="EG206" t="s">
        <v>39</v>
      </c>
      <c r="EH206">
        <v>0</v>
      </c>
      <c r="EI206" t="s">
        <v>3</v>
      </c>
      <c r="EJ206">
        <v>2</v>
      </c>
      <c r="EK206">
        <v>318</v>
      </c>
      <c r="EL206" t="s">
        <v>40</v>
      </c>
      <c r="EM206" t="s">
        <v>41</v>
      </c>
      <c r="EO206" t="s">
        <v>3</v>
      </c>
      <c r="EQ206">
        <v>131072</v>
      </c>
      <c r="ER206">
        <v>784.98</v>
      </c>
      <c r="ES206">
        <v>38.08</v>
      </c>
      <c r="ET206">
        <v>517.55999999999995</v>
      </c>
      <c r="EU206">
        <v>82.39</v>
      </c>
      <c r="EV206">
        <v>229.34</v>
      </c>
      <c r="EW206">
        <v>18.600000000000001</v>
      </c>
      <c r="EX206">
        <v>0</v>
      </c>
      <c r="EY206">
        <v>0</v>
      </c>
      <c r="FQ206">
        <v>0</v>
      </c>
      <c r="FR206">
        <f t="shared" si="177"/>
        <v>0</v>
      </c>
      <c r="FS206">
        <v>0</v>
      </c>
      <c r="FX206">
        <v>112</v>
      </c>
      <c r="FY206">
        <v>70</v>
      </c>
      <c r="GA206" t="s">
        <v>3</v>
      </c>
      <c r="GD206">
        <v>0</v>
      </c>
      <c r="GF206">
        <v>932544057</v>
      </c>
      <c r="GG206">
        <v>2</v>
      </c>
      <c r="GH206">
        <v>1</v>
      </c>
      <c r="GI206">
        <v>2</v>
      </c>
      <c r="GJ206">
        <v>0</v>
      </c>
      <c r="GK206">
        <f>ROUND(R206*(R12)/100,2)</f>
        <v>531.74</v>
      </c>
      <c r="GL206">
        <f t="shared" si="178"/>
        <v>0</v>
      </c>
      <c r="GM206">
        <f t="shared" si="179"/>
        <v>3540.07</v>
      </c>
      <c r="GN206">
        <f t="shared" si="180"/>
        <v>0</v>
      </c>
      <c r="GO206">
        <f t="shared" si="181"/>
        <v>3540.07</v>
      </c>
      <c r="GP206">
        <f t="shared" si="182"/>
        <v>0</v>
      </c>
      <c r="GR206">
        <v>0</v>
      </c>
      <c r="GS206">
        <v>3</v>
      </c>
      <c r="GT206">
        <v>0</v>
      </c>
      <c r="GU206" t="s">
        <v>3</v>
      </c>
      <c r="GV206">
        <f t="shared" si="183"/>
        <v>0</v>
      </c>
      <c r="GW206">
        <v>1</v>
      </c>
      <c r="GX206">
        <f t="shared" si="184"/>
        <v>0</v>
      </c>
      <c r="HA206">
        <v>0</v>
      </c>
      <c r="HB206">
        <v>0</v>
      </c>
      <c r="IK206">
        <v>0</v>
      </c>
    </row>
    <row r="207" spans="1:245" x14ac:dyDescent="0.2">
      <c r="A207">
        <v>17</v>
      </c>
      <c r="B207">
        <v>1</v>
      </c>
      <c r="E207" t="s">
        <v>202</v>
      </c>
      <c r="F207" t="s">
        <v>203</v>
      </c>
      <c r="G207" t="s">
        <v>204</v>
      </c>
      <c r="H207" t="s">
        <v>205</v>
      </c>
      <c r="I207">
        <f>ROUND(340*1.02,9)</f>
        <v>346.8</v>
      </c>
      <c r="J207">
        <v>0</v>
      </c>
      <c r="O207">
        <f t="shared" si="146"/>
        <v>114991.25</v>
      </c>
      <c r="P207">
        <f t="shared" si="147"/>
        <v>114991.25</v>
      </c>
      <c r="Q207">
        <f t="shared" si="148"/>
        <v>0</v>
      </c>
      <c r="R207">
        <f t="shared" si="149"/>
        <v>0</v>
      </c>
      <c r="S207">
        <f t="shared" si="150"/>
        <v>0</v>
      </c>
      <c r="T207">
        <f t="shared" si="151"/>
        <v>0</v>
      </c>
      <c r="U207">
        <f t="shared" si="152"/>
        <v>0</v>
      </c>
      <c r="V207">
        <f t="shared" si="153"/>
        <v>0</v>
      </c>
      <c r="W207">
        <f t="shared" si="154"/>
        <v>0</v>
      </c>
      <c r="X207">
        <f t="shared" si="155"/>
        <v>0</v>
      </c>
      <c r="Y207">
        <f t="shared" si="156"/>
        <v>0</v>
      </c>
      <c r="AA207">
        <v>42446460</v>
      </c>
      <c r="AB207">
        <f t="shared" si="157"/>
        <v>65.400000000000006</v>
      </c>
      <c r="AC207">
        <f t="shared" si="158"/>
        <v>65.400000000000006</v>
      </c>
      <c r="AD207">
        <f>ROUND((ET207),6)</f>
        <v>0</v>
      </c>
      <c r="AE207">
        <f t="shared" si="160"/>
        <v>0</v>
      </c>
      <c r="AF207">
        <f t="shared" si="161"/>
        <v>0</v>
      </c>
      <c r="AG207">
        <f t="shared" si="162"/>
        <v>0</v>
      </c>
      <c r="AH207">
        <f t="shared" si="163"/>
        <v>0</v>
      </c>
      <c r="AI207">
        <f t="shared" si="164"/>
        <v>0</v>
      </c>
      <c r="AJ207">
        <f t="shared" si="165"/>
        <v>0</v>
      </c>
      <c r="AK207">
        <v>65.400000000000006</v>
      </c>
      <c r="AL207">
        <v>65.400000000000006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  <c r="AS207">
        <v>0</v>
      </c>
      <c r="AT207">
        <v>0</v>
      </c>
      <c r="AU207">
        <v>0</v>
      </c>
      <c r="AV207">
        <v>1</v>
      </c>
      <c r="AW207">
        <v>1</v>
      </c>
      <c r="AZ207">
        <v>1</v>
      </c>
      <c r="BA207">
        <v>1</v>
      </c>
      <c r="BB207">
        <v>1</v>
      </c>
      <c r="BC207">
        <v>5.07</v>
      </c>
      <c r="BD207" t="s">
        <v>3</v>
      </c>
      <c r="BE207" t="s">
        <v>3</v>
      </c>
      <c r="BF207" t="s">
        <v>3</v>
      </c>
      <c r="BG207" t="s">
        <v>3</v>
      </c>
      <c r="BH207">
        <v>3</v>
      </c>
      <c r="BI207">
        <v>2</v>
      </c>
      <c r="BJ207" t="s">
        <v>3</v>
      </c>
      <c r="BM207">
        <v>400002</v>
      </c>
      <c r="BN207">
        <v>0</v>
      </c>
      <c r="BO207" t="s">
        <v>3</v>
      </c>
      <c r="BP207">
        <v>0</v>
      </c>
      <c r="BQ207">
        <v>202</v>
      </c>
      <c r="BR207">
        <v>0</v>
      </c>
      <c r="BS207">
        <v>1</v>
      </c>
      <c r="BT207">
        <v>1</v>
      </c>
      <c r="BU207">
        <v>1</v>
      </c>
      <c r="BV207">
        <v>1</v>
      </c>
      <c r="BW207">
        <v>1</v>
      </c>
      <c r="BX207">
        <v>1</v>
      </c>
      <c r="BY207" t="s">
        <v>3</v>
      </c>
      <c r="BZ207">
        <v>0</v>
      </c>
      <c r="CA207">
        <v>0</v>
      </c>
      <c r="CF207">
        <v>0</v>
      </c>
      <c r="CG207">
        <v>0</v>
      </c>
      <c r="CM207">
        <v>0</v>
      </c>
      <c r="CN207" t="s">
        <v>3</v>
      </c>
      <c r="CO207">
        <v>0</v>
      </c>
      <c r="CP207">
        <f t="shared" si="166"/>
        <v>114991.25</v>
      </c>
      <c r="CQ207">
        <f>AC207*BC207</f>
        <v>331.57800000000003</v>
      </c>
      <c r="CR207">
        <f>AD207*BB207</f>
        <v>0</v>
      </c>
      <c r="CS207">
        <f>AE207*BS207</f>
        <v>0</v>
      </c>
      <c r="CT207">
        <f>AF207*BA207</f>
        <v>0</v>
      </c>
      <c r="CU207">
        <f t="shared" si="171"/>
        <v>0</v>
      </c>
      <c r="CV207">
        <f>AH207</f>
        <v>0</v>
      </c>
      <c r="CW207">
        <f t="shared" si="173"/>
        <v>0</v>
      </c>
      <c r="CX207">
        <f t="shared" si="174"/>
        <v>0</v>
      </c>
      <c r="CY207">
        <f t="shared" si="175"/>
        <v>0</v>
      </c>
      <c r="CZ207">
        <f t="shared" si="176"/>
        <v>0</v>
      </c>
      <c r="DC207" t="s">
        <v>3</v>
      </c>
      <c r="DD207" t="s">
        <v>3</v>
      </c>
      <c r="DE207" t="s">
        <v>3</v>
      </c>
      <c r="DF207" t="s">
        <v>3</v>
      </c>
      <c r="DG207" t="s">
        <v>3</v>
      </c>
      <c r="DH207" t="s">
        <v>3</v>
      </c>
      <c r="DI207" t="s">
        <v>3</v>
      </c>
      <c r="DJ207" t="s">
        <v>3</v>
      </c>
      <c r="DK207" t="s">
        <v>3</v>
      </c>
      <c r="DL207" t="s">
        <v>3</v>
      </c>
      <c r="DM207" t="s">
        <v>3</v>
      </c>
      <c r="DN207">
        <v>0</v>
      </c>
      <c r="DO207">
        <v>0</v>
      </c>
      <c r="DP207">
        <v>1</v>
      </c>
      <c r="DQ207">
        <v>1</v>
      </c>
      <c r="DU207">
        <v>1003</v>
      </c>
      <c r="DV207" t="s">
        <v>205</v>
      </c>
      <c r="DW207" t="s">
        <v>205</v>
      </c>
      <c r="DX207">
        <v>1</v>
      </c>
      <c r="EE207">
        <v>42188014</v>
      </c>
      <c r="EF207">
        <v>202</v>
      </c>
      <c r="EG207" t="s">
        <v>206</v>
      </c>
      <c r="EH207">
        <v>0</v>
      </c>
      <c r="EI207" t="s">
        <v>3</v>
      </c>
      <c r="EJ207">
        <v>1</v>
      </c>
      <c r="EK207">
        <v>400002</v>
      </c>
      <c r="EL207" t="s">
        <v>207</v>
      </c>
      <c r="EM207" t="s">
        <v>206</v>
      </c>
      <c r="EO207" t="s">
        <v>3</v>
      </c>
      <c r="EQ207">
        <v>131072</v>
      </c>
      <c r="ER207">
        <v>65.400000000000006</v>
      </c>
      <c r="ES207">
        <v>65.400000000000006</v>
      </c>
      <c r="ET207">
        <v>0</v>
      </c>
      <c r="EU207">
        <v>0</v>
      </c>
      <c r="EV207">
        <v>0</v>
      </c>
      <c r="EW207">
        <v>0</v>
      </c>
      <c r="EX207">
        <v>0</v>
      </c>
      <c r="EY207">
        <v>0</v>
      </c>
      <c r="FQ207">
        <v>0</v>
      </c>
      <c r="FR207">
        <f t="shared" si="177"/>
        <v>0</v>
      </c>
      <c r="FS207">
        <v>0</v>
      </c>
      <c r="FX207">
        <v>0</v>
      </c>
      <c r="FY207">
        <v>0</v>
      </c>
      <c r="GA207" t="s">
        <v>3</v>
      </c>
      <c r="GD207">
        <v>0</v>
      </c>
      <c r="GF207">
        <v>624905405</v>
      </c>
      <c r="GG207">
        <v>2</v>
      </c>
      <c r="GH207">
        <v>0</v>
      </c>
      <c r="GI207">
        <v>0</v>
      </c>
      <c r="GJ207">
        <v>0</v>
      </c>
      <c r="GK207">
        <f>ROUND(R207*(R12)/100,2)</f>
        <v>0</v>
      </c>
      <c r="GL207">
        <f t="shared" si="178"/>
        <v>0</v>
      </c>
      <c r="GM207">
        <f t="shared" si="179"/>
        <v>114991.25</v>
      </c>
      <c r="GN207">
        <f t="shared" si="180"/>
        <v>0</v>
      </c>
      <c r="GO207">
        <f t="shared" si="181"/>
        <v>114991.25</v>
      </c>
      <c r="GP207">
        <f t="shared" si="182"/>
        <v>0</v>
      </c>
      <c r="GR207">
        <v>0</v>
      </c>
      <c r="GS207">
        <v>0</v>
      </c>
      <c r="GT207">
        <v>0</v>
      </c>
      <c r="GU207" t="s">
        <v>3</v>
      </c>
      <c r="GV207">
        <f t="shared" si="183"/>
        <v>0</v>
      </c>
      <c r="GW207">
        <v>1</v>
      </c>
      <c r="GX207">
        <f t="shared" si="184"/>
        <v>0</v>
      </c>
      <c r="HA207">
        <v>0</v>
      </c>
      <c r="HB207">
        <v>0</v>
      </c>
      <c r="IK207">
        <v>0</v>
      </c>
    </row>
    <row r="208" spans="1:245" x14ac:dyDescent="0.2">
      <c r="A208">
        <v>17</v>
      </c>
      <c r="B208">
        <v>1</v>
      </c>
      <c r="C208">
        <f>ROW(SmtRes!A45)</f>
        <v>45</v>
      </c>
      <c r="D208">
        <f>ROW(EtalonRes!A48)</f>
        <v>48</v>
      </c>
      <c r="E208" t="s">
        <v>208</v>
      </c>
      <c r="F208" t="s">
        <v>209</v>
      </c>
      <c r="G208" t="s">
        <v>210</v>
      </c>
      <c r="H208" t="s">
        <v>37</v>
      </c>
      <c r="I208">
        <f>ROUND(2520/100,9)</f>
        <v>25.2</v>
      </c>
      <c r="J208">
        <v>0</v>
      </c>
      <c r="O208">
        <f t="shared" si="146"/>
        <v>133579.37</v>
      </c>
      <c r="P208">
        <f t="shared" si="147"/>
        <v>3192.82</v>
      </c>
      <c r="Q208">
        <f t="shared" si="148"/>
        <v>63988.99</v>
      </c>
      <c r="R208">
        <f t="shared" si="149"/>
        <v>24758.18</v>
      </c>
      <c r="S208">
        <f t="shared" si="150"/>
        <v>66397.56</v>
      </c>
      <c r="T208">
        <f t="shared" si="151"/>
        <v>0</v>
      </c>
      <c r="U208">
        <f t="shared" si="152"/>
        <v>297.36</v>
      </c>
      <c r="V208">
        <f t="shared" si="153"/>
        <v>0</v>
      </c>
      <c r="W208">
        <f t="shared" si="154"/>
        <v>0</v>
      </c>
      <c r="X208">
        <f t="shared" si="155"/>
        <v>63077.68</v>
      </c>
      <c r="Y208">
        <f t="shared" si="156"/>
        <v>30542.880000000001</v>
      </c>
      <c r="AA208">
        <v>42446460</v>
      </c>
      <c r="AB208">
        <f t="shared" si="157"/>
        <v>507.25</v>
      </c>
      <c r="AC208">
        <f t="shared" si="158"/>
        <v>24.99</v>
      </c>
      <c r="AD208">
        <f>ROUND((((ET208)-(EU208))+AE208),6)</f>
        <v>336.77</v>
      </c>
      <c r="AE208">
        <f t="shared" si="160"/>
        <v>54.25</v>
      </c>
      <c r="AF208">
        <f t="shared" si="161"/>
        <v>145.49</v>
      </c>
      <c r="AG208">
        <f t="shared" si="162"/>
        <v>0</v>
      </c>
      <c r="AH208">
        <f t="shared" si="163"/>
        <v>11.8</v>
      </c>
      <c r="AI208">
        <f t="shared" si="164"/>
        <v>0</v>
      </c>
      <c r="AJ208">
        <f t="shared" si="165"/>
        <v>0</v>
      </c>
      <c r="AK208">
        <v>507.25</v>
      </c>
      <c r="AL208">
        <v>24.99</v>
      </c>
      <c r="AM208">
        <v>336.77</v>
      </c>
      <c r="AN208">
        <v>54.25</v>
      </c>
      <c r="AO208">
        <v>145.49</v>
      </c>
      <c r="AP208">
        <v>0</v>
      </c>
      <c r="AQ208">
        <v>11.8</v>
      </c>
      <c r="AR208">
        <v>0</v>
      </c>
      <c r="AS208">
        <v>0</v>
      </c>
      <c r="AT208">
        <v>95</v>
      </c>
      <c r="AU208">
        <v>46</v>
      </c>
      <c r="AV208">
        <v>1</v>
      </c>
      <c r="AW208">
        <v>1</v>
      </c>
      <c r="AZ208">
        <v>1</v>
      </c>
      <c r="BA208">
        <v>18.11</v>
      </c>
      <c r="BB208">
        <v>7.54</v>
      </c>
      <c r="BC208">
        <v>5.07</v>
      </c>
      <c r="BD208" t="s">
        <v>3</v>
      </c>
      <c r="BE208" t="s">
        <v>3</v>
      </c>
      <c r="BF208" t="s">
        <v>3</v>
      </c>
      <c r="BG208" t="s">
        <v>3</v>
      </c>
      <c r="BH208">
        <v>0</v>
      </c>
      <c r="BI208">
        <v>2</v>
      </c>
      <c r="BJ208" t="s">
        <v>211</v>
      </c>
      <c r="BM208">
        <v>318</v>
      </c>
      <c r="BN208">
        <v>0</v>
      </c>
      <c r="BO208" t="s">
        <v>209</v>
      </c>
      <c r="BP208">
        <v>1</v>
      </c>
      <c r="BQ208">
        <v>40</v>
      </c>
      <c r="BR208">
        <v>0</v>
      </c>
      <c r="BS208">
        <v>18.11</v>
      </c>
      <c r="BT208">
        <v>1</v>
      </c>
      <c r="BU208">
        <v>1</v>
      </c>
      <c r="BV208">
        <v>1</v>
      </c>
      <c r="BW208">
        <v>1</v>
      </c>
      <c r="BX208">
        <v>1</v>
      </c>
      <c r="BY208" t="s">
        <v>3</v>
      </c>
      <c r="BZ208">
        <v>95</v>
      </c>
      <c r="CA208">
        <v>46</v>
      </c>
      <c r="CF208">
        <v>0</v>
      </c>
      <c r="CG208">
        <v>0</v>
      </c>
      <c r="CM208">
        <v>0</v>
      </c>
      <c r="CN208" t="s">
        <v>3</v>
      </c>
      <c r="CO208">
        <v>0</v>
      </c>
      <c r="CP208">
        <f t="shared" si="166"/>
        <v>133579.37</v>
      </c>
      <c r="CQ208">
        <f>(AC208*BC208*AW208)</f>
        <v>126.69929999999999</v>
      </c>
      <c r="CR208">
        <f>((((ET208)*BB208-(EU208)*BS208)+AE208*BS208)*AV208)</f>
        <v>2539.2457999999997</v>
      </c>
      <c r="CS208">
        <f>(AE208*BS208*AV208)</f>
        <v>982.46749999999997</v>
      </c>
      <c r="CT208">
        <f>(AF208*BA208*AV208)</f>
        <v>2634.8238999999999</v>
      </c>
      <c r="CU208">
        <f t="shared" si="171"/>
        <v>0</v>
      </c>
      <c r="CV208">
        <f>(AH208*AV208)</f>
        <v>11.8</v>
      </c>
      <c r="CW208">
        <f t="shared" si="173"/>
        <v>0</v>
      </c>
      <c r="CX208">
        <f t="shared" si="174"/>
        <v>0</v>
      </c>
      <c r="CY208">
        <f t="shared" si="175"/>
        <v>63077.681999999993</v>
      </c>
      <c r="CZ208">
        <f t="shared" si="176"/>
        <v>30542.8776</v>
      </c>
      <c r="DC208" t="s">
        <v>3</v>
      </c>
      <c r="DD208" t="s">
        <v>3</v>
      </c>
      <c r="DE208" t="s">
        <v>3</v>
      </c>
      <c r="DF208" t="s">
        <v>3</v>
      </c>
      <c r="DG208" t="s">
        <v>3</v>
      </c>
      <c r="DH208" t="s">
        <v>3</v>
      </c>
      <c r="DI208" t="s">
        <v>3</v>
      </c>
      <c r="DJ208" t="s">
        <v>3</v>
      </c>
      <c r="DK208" t="s">
        <v>3</v>
      </c>
      <c r="DL208" t="s">
        <v>3</v>
      </c>
      <c r="DM208" t="s">
        <v>3</v>
      </c>
      <c r="DN208">
        <v>112</v>
      </c>
      <c r="DO208">
        <v>70</v>
      </c>
      <c r="DP208">
        <v>1.0669999999999999</v>
      </c>
      <c r="DQ208">
        <v>1.081</v>
      </c>
      <c r="DU208">
        <v>1013</v>
      </c>
      <c r="DV208" t="s">
        <v>37</v>
      </c>
      <c r="DW208" t="s">
        <v>37</v>
      </c>
      <c r="DX208">
        <v>1</v>
      </c>
      <c r="EE208">
        <v>42186365</v>
      </c>
      <c r="EF208">
        <v>40</v>
      </c>
      <c r="EG208" t="s">
        <v>39</v>
      </c>
      <c r="EH208">
        <v>0</v>
      </c>
      <c r="EI208" t="s">
        <v>3</v>
      </c>
      <c r="EJ208">
        <v>2</v>
      </c>
      <c r="EK208">
        <v>318</v>
      </c>
      <c r="EL208" t="s">
        <v>40</v>
      </c>
      <c r="EM208" t="s">
        <v>41</v>
      </c>
      <c r="EO208" t="s">
        <v>3</v>
      </c>
      <c r="EQ208">
        <v>131072</v>
      </c>
      <c r="ER208">
        <v>507.25</v>
      </c>
      <c r="ES208">
        <v>24.99</v>
      </c>
      <c r="ET208">
        <v>336.77</v>
      </c>
      <c r="EU208">
        <v>54.25</v>
      </c>
      <c r="EV208">
        <v>145.49</v>
      </c>
      <c r="EW208">
        <v>11.8</v>
      </c>
      <c r="EX208">
        <v>0</v>
      </c>
      <c r="EY208">
        <v>0</v>
      </c>
      <c r="FQ208">
        <v>0</v>
      </c>
      <c r="FR208">
        <f t="shared" si="177"/>
        <v>0</v>
      </c>
      <c r="FS208">
        <v>0</v>
      </c>
      <c r="FX208">
        <v>112</v>
      </c>
      <c r="FY208">
        <v>70</v>
      </c>
      <c r="GA208" t="s">
        <v>3</v>
      </c>
      <c r="GD208">
        <v>0</v>
      </c>
      <c r="GF208">
        <v>684227516</v>
      </c>
      <c r="GG208">
        <v>2</v>
      </c>
      <c r="GH208">
        <v>0</v>
      </c>
      <c r="GI208">
        <v>0</v>
      </c>
      <c r="GJ208">
        <v>0</v>
      </c>
      <c r="GK208">
        <f>ROUND(R208*(R12)/100,2)</f>
        <v>41346.160000000003</v>
      </c>
      <c r="GL208">
        <f t="shared" si="178"/>
        <v>0</v>
      </c>
      <c r="GM208">
        <f t="shared" si="179"/>
        <v>268546.09000000003</v>
      </c>
      <c r="GN208">
        <f t="shared" si="180"/>
        <v>0</v>
      </c>
      <c r="GO208">
        <f t="shared" si="181"/>
        <v>268546.09000000003</v>
      </c>
      <c r="GP208">
        <f t="shared" si="182"/>
        <v>0</v>
      </c>
      <c r="GR208">
        <v>0</v>
      </c>
      <c r="GS208">
        <v>0</v>
      </c>
      <c r="GT208">
        <v>0</v>
      </c>
      <c r="GU208" t="s">
        <v>3</v>
      </c>
      <c r="GV208">
        <f t="shared" si="183"/>
        <v>0</v>
      </c>
      <c r="GW208">
        <v>1</v>
      </c>
      <c r="GX208">
        <f t="shared" si="184"/>
        <v>0</v>
      </c>
      <c r="HA208">
        <v>0</v>
      </c>
      <c r="HB208">
        <v>0</v>
      </c>
      <c r="IK208">
        <v>0</v>
      </c>
    </row>
    <row r="209" spans="1:245" x14ac:dyDescent="0.2">
      <c r="A209">
        <v>17</v>
      </c>
      <c r="B209">
        <v>1</v>
      </c>
      <c r="C209">
        <f>ROW(SmtRes!A46)</f>
        <v>46</v>
      </c>
      <c r="D209">
        <f>ROW(EtalonRes!A49)</f>
        <v>49</v>
      </c>
      <c r="E209" t="s">
        <v>212</v>
      </c>
      <c r="F209" t="s">
        <v>213</v>
      </c>
      <c r="G209" t="s">
        <v>214</v>
      </c>
      <c r="H209" t="s">
        <v>37</v>
      </c>
      <c r="I209">
        <f>ROUND(1050/100,9)</f>
        <v>10.5</v>
      </c>
      <c r="J209">
        <v>0</v>
      </c>
      <c r="O209">
        <f t="shared" si="146"/>
        <v>29727.67</v>
      </c>
      <c r="P209">
        <f t="shared" si="147"/>
        <v>1870.68</v>
      </c>
      <c r="Q209">
        <f t="shared" si="148"/>
        <v>2769.84</v>
      </c>
      <c r="R209">
        <f t="shared" si="149"/>
        <v>1352</v>
      </c>
      <c r="S209">
        <f t="shared" si="150"/>
        <v>25087.15</v>
      </c>
      <c r="T209">
        <f t="shared" si="151"/>
        <v>0</v>
      </c>
      <c r="U209">
        <f t="shared" si="152"/>
        <v>112.35</v>
      </c>
      <c r="V209">
        <f t="shared" si="153"/>
        <v>0</v>
      </c>
      <c r="W209">
        <f t="shared" si="154"/>
        <v>0</v>
      </c>
      <c r="X209">
        <f t="shared" si="155"/>
        <v>23832.79</v>
      </c>
      <c r="Y209">
        <f t="shared" si="156"/>
        <v>11540.09</v>
      </c>
      <c r="AA209">
        <v>42446460</v>
      </c>
      <c r="AB209">
        <f t="shared" si="157"/>
        <v>198.7</v>
      </c>
      <c r="AC209">
        <f t="shared" si="158"/>
        <v>35.14</v>
      </c>
      <c r="AD209">
        <f>ROUND((((ET209)-(EU209))+AE209),6)</f>
        <v>31.63</v>
      </c>
      <c r="AE209">
        <f t="shared" si="160"/>
        <v>7.11</v>
      </c>
      <c r="AF209">
        <f t="shared" si="161"/>
        <v>131.93</v>
      </c>
      <c r="AG209">
        <f t="shared" si="162"/>
        <v>0</v>
      </c>
      <c r="AH209">
        <f t="shared" si="163"/>
        <v>10.7</v>
      </c>
      <c r="AI209">
        <f t="shared" si="164"/>
        <v>0</v>
      </c>
      <c r="AJ209">
        <f t="shared" si="165"/>
        <v>0</v>
      </c>
      <c r="AK209">
        <v>198.7</v>
      </c>
      <c r="AL209">
        <v>35.14</v>
      </c>
      <c r="AM209">
        <v>31.63</v>
      </c>
      <c r="AN209">
        <v>7.11</v>
      </c>
      <c r="AO209">
        <v>131.93</v>
      </c>
      <c r="AP209">
        <v>0</v>
      </c>
      <c r="AQ209">
        <v>10.7</v>
      </c>
      <c r="AR209">
        <v>0</v>
      </c>
      <c r="AS209">
        <v>0</v>
      </c>
      <c r="AT209">
        <v>95</v>
      </c>
      <c r="AU209">
        <v>46</v>
      </c>
      <c r="AV209">
        <v>1</v>
      </c>
      <c r="AW209">
        <v>1</v>
      </c>
      <c r="AZ209">
        <v>1</v>
      </c>
      <c r="BA209">
        <v>18.11</v>
      </c>
      <c r="BB209">
        <v>8.34</v>
      </c>
      <c r="BC209">
        <v>5.07</v>
      </c>
      <c r="BD209" t="s">
        <v>3</v>
      </c>
      <c r="BE209" t="s">
        <v>3</v>
      </c>
      <c r="BF209" t="s">
        <v>3</v>
      </c>
      <c r="BG209" t="s">
        <v>3</v>
      </c>
      <c r="BH209">
        <v>0</v>
      </c>
      <c r="BI209">
        <v>2</v>
      </c>
      <c r="BJ209" t="s">
        <v>215</v>
      </c>
      <c r="BM209">
        <v>318</v>
      </c>
      <c r="BN209">
        <v>0</v>
      </c>
      <c r="BO209" t="s">
        <v>213</v>
      </c>
      <c r="BP209">
        <v>1</v>
      </c>
      <c r="BQ209">
        <v>40</v>
      </c>
      <c r="BR209">
        <v>0</v>
      </c>
      <c r="BS209">
        <v>18.11</v>
      </c>
      <c r="BT209">
        <v>1</v>
      </c>
      <c r="BU209">
        <v>1</v>
      </c>
      <c r="BV209">
        <v>1</v>
      </c>
      <c r="BW209">
        <v>1</v>
      </c>
      <c r="BX209">
        <v>1</v>
      </c>
      <c r="BY209" t="s">
        <v>3</v>
      </c>
      <c r="BZ209">
        <v>95</v>
      </c>
      <c r="CA209">
        <v>46</v>
      </c>
      <c r="CF209">
        <v>0</v>
      </c>
      <c r="CG209">
        <v>0</v>
      </c>
      <c r="CM209">
        <v>0</v>
      </c>
      <c r="CN209" t="s">
        <v>3</v>
      </c>
      <c r="CO209">
        <v>0</v>
      </c>
      <c r="CP209">
        <f t="shared" si="166"/>
        <v>29727.670000000002</v>
      </c>
      <c r="CQ209">
        <f>(AC209*BC209*AW209)</f>
        <v>178.15980000000002</v>
      </c>
      <c r="CR209">
        <f>((((ET209)*BB209-(EU209)*BS209)+AE209*BS209)*AV209)</f>
        <v>263.79419999999999</v>
      </c>
      <c r="CS209">
        <f>(AE209*BS209*AV209)</f>
        <v>128.7621</v>
      </c>
      <c r="CT209">
        <f>(AF209*BA209*AV209)</f>
        <v>2389.2523000000001</v>
      </c>
      <c r="CU209">
        <f t="shared" si="171"/>
        <v>0</v>
      </c>
      <c r="CV209">
        <f>(AH209*AV209)</f>
        <v>10.7</v>
      </c>
      <c r="CW209">
        <f t="shared" si="173"/>
        <v>0</v>
      </c>
      <c r="CX209">
        <f t="shared" si="174"/>
        <v>0</v>
      </c>
      <c r="CY209">
        <f t="shared" si="175"/>
        <v>23832.7925</v>
      </c>
      <c r="CZ209">
        <f t="shared" si="176"/>
        <v>11540.089000000002</v>
      </c>
      <c r="DC209" t="s">
        <v>3</v>
      </c>
      <c r="DD209" t="s">
        <v>3</v>
      </c>
      <c r="DE209" t="s">
        <v>3</v>
      </c>
      <c r="DF209" t="s">
        <v>3</v>
      </c>
      <c r="DG209" t="s">
        <v>3</v>
      </c>
      <c r="DH209" t="s">
        <v>3</v>
      </c>
      <c r="DI209" t="s">
        <v>3</v>
      </c>
      <c r="DJ209" t="s">
        <v>3</v>
      </c>
      <c r="DK209" t="s">
        <v>3</v>
      </c>
      <c r="DL209" t="s">
        <v>3</v>
      </c>
      <c r="DM209" t="s">
        <v>3</v>
      </c>
      <c r="DN209">
        <v>112</v>
      </c>
      <c r="DO209">
        <v>70</v>
      </c>
      <c r="DP209">
        <v>1.0669999999999999</v>
      </c>
      <c r="DQ209">
        <v>1.081</v>
      </c>
      <c r="DU209">
        <v>1013</v>
      </c>
      <c r="DV209" t="s">
        <v>37</v>
      </c>
      <c r="DW209" t="s">
        <v>37</v>
      </c>
      <c r="DX209">
        <v>1</v>
      </c>
      <c r="EE209">
        <v>42186365</v>
      </c>
      <c r="EF209">
        <v>40</v>
      </c>
      <c r="EG209" t="s">
        <v>39</v>
      </c>
      <c r="EH209">
        <v>0</v>
      </c>
      <c r="EI209" t="s">
        <v>3</v>
      </c>
      <c r="EJ209">
        <v>2</v>
      </c>
      <c r="EK209">
        <v>318</v>
      </c>
      <c r="EL209" t="s">
        <v>40</v>
      </c>
      <c r="EM209" t="s">
        <v>41</v>
      </c>
      <c r="EO209" t="s">
        <v>3</v>
      </c>
      <c r="EQ209">
        <v>131072</v>
      </c>
      <c r="ER209">
        <v>198.7</v>
      </c>
      <c r="ES209">
        <v>35.14</v>
      </c>
      <c r="ET209">
        <v>31.63</v>
      </c>
      <c r="EU209">
        <v>7.11</v>
      </c>
      <c r="EV209">
        <v>131.93</v>
      </c>
      <c r="EW209">
        <v>10.7</v>
      </c>
      <c r="EX209">
        <v>0</v>
      </c>
      <c r="EY209">
        <v>0</v>
      </c>
      <c r="FQ209">
        <v>0</v>
      </c>
      <c r="FR209">
        <f t="shared" si="177"/>
        <v>0</v>
      </c>
      <c r="FS209">
        <v>0</v>
      </c>
      <c r="FX209">
        <v>112</v>
      </c>
      <c r="FY209">
        <v>70</v>
      </c>
      <c r="GA209" t="s">
        <v>3</v>
      </c>
      <c r="GD209">
        <v>0</v>
      </c>
      <c r="GF209">
        <v>1470758951</v>
      </c>
      <c r="GG209">
        <v>2</v>
      </c>
      <c r="GH209">
        <v>0</v>
      </c>
      <c r="GI209">
        <v>0</v>
      </c>
      <c r="GJ209">
        <v>0</v>
      </c>
      <c r="GK209">
        <f>ROUND(R209*(R12)/100,2)</f>
        <v>2257.84</v>
      </c>
      <c r="GL209">
        <f t="shared" si="178"/>
        <v>0</v>
      </c>
      <c r="GM209">
        <f t="shared" si="179"/>
        <v>67358.39</v>
      </c>
      <c r="GN209">
        <f t="shared" si="180"/>
        <v>0</v>
      </c>
      <c r="GO209">
        <f t="shared" si="181"/>
        <v>67358.39</v>
      </c>
      <c r="GP209">
        <f t="shared" si="182"/>
        <v>0</v>
      </c>
      <c r="GR209">
        <v>0</v>
      </c>
      <c r="GS209">
        <v>0</v>
      </c>
      <c r="GT209">
        <v>0</v>
      </c>
      <c r="GU209" t="s">
        <v>3</v>
      </c>
      <c r="GV209">
        <f t="shared" si="183"/>
        <v>0</v>
      </c>
      <c r="GW209">
        <v>1</v>
      </c>
      <c r="GX209">
        <f t="shared" si="184"/>
        <v>0</v>
      </c>
      <c r="HA209">
        <v>0</v>
      </c>
      <c r="HB209">
        <v>0</v>
      </c>
      <c r="IK209">
        <v>0</v>
      </c>
    </row>
    <row r="210" spans="1:245" x14ac:dyDescent="0.2">
      <c r="A210">
        <v>17</v>
      </c>
      <c r="B210">
        <v>1</v>
      </c>
      <c r="C210">
        <f>ROW(SmtRes!A47)</f>
        <v>47</v>
      </c>
      <c r="D210">
        <f>ROW(EtalonRes!A50)</f>
        <v>50</v>
      </c>
      <c r="E210" t="s">
        <v>216</v>
      </c>
      <c r="F210" t="s">
        <v>217</v>
      </c>
      <c r="G210" t="s">
        <v>218</v>
      </c>
      <c r="H210" t="s">
        <v>37</v>
      </c>
      <c r="I210">
        <f>ROUND(320/100,9)</f>
        <v>3.2</v>
      </c>
      <c r="J210">
        <v>0</v>
      </c>
      <c r="O210">
        <f t="shared" si="146"/>
        <v>22970.1</v>
      </c>
      <c r="P210">
        <f t="shared" si="147"/>
        <v>660.49</v>
      </c>
      <c r="Q210">
        <f t="shared" si="148"/>
        <v>10720.53</v>
      </c>
      <c r="R210">
        <f t="shared" si="149"/>
        <v>4086.04</v>
      </c>
      <c r="S210">
        <f t="shared" si="150"/>
        <v>11589.08</v>
      </c>
      <c r="T210">
        <f t="shared" si="151"/>
        <v>0</v>
      </c>
      <c r="U210">
        <f t="shared" si="152"/>
        <v>51.898879999999998</v>
      </c>
      <c r="V210">
        <f t="shared" si="153"/>
        <v>0</v>
      </c>
      <c r="W210">
        <f t="shared" si="154"/>
        <v>0</v>
      </c>
      <c r="X210">
        <f t="shared" si="155"/>
        <v>11009.63</v>
      </c>
      <c r="Y210">
        <f t="shared" si="156"/>
        <v>5330.98</v>
      </c>
      <c r="AA210">
        <v>42446460</v>
      </c>
      <c r="AB210">
        <f t="shared" si="157"/>
        <v>643.72</v>
      </c>
      <c r="AC210">
        <f t="shared" si="158"/>
        <v>37.659999999999997</v>
      </c>
      <c r="AD210">
        <f>ROUND((((ET210)-(EU210))+AE210),6)</f>
        <v>418.64</v>
      </c>
      <c r="AE210">
        <f t="shared" si="160"/>
        <v>66.08</v>
      </c>
      <c r="AF210">
        <f t="shared" si="161"/>
        <v>187.42</v>
      </c>
      <c r="AG210">
        <f t="shared" si="162"/>
        <v>0</v>
      </c>
      <c r="AH210">
        <f t="shared" si="163"/>
        <v>15.2</v>
      </c>
      <c r="AI210">
        <f t="shared" si="164"/>
        <v>0</v>
      </c>
      <c r="AJ210">
        <f t="shared" si="165"/>
        <v>0</v>
      </c>
      <c r="AK210">
        <v>643.72</v>
      </c>
      <c r="AL210">
        <v>37.659999999999997</v>
      </c>
      <c r="AM210">
        <v>418.64</v>
      </c>
      <c r="AN210">
        <v>66.08</v>
      </c>
      <c r="AO210">
        <v>187.42</v>
      </c>
      <c r="AP210">
        <v>0</v>
      </c>
      <c r="AQ210">
        <v>15.2</v>
      </c>
      <c r="AR210">
        <v>0</v>
      </c>
      <c r="AS210">
        <v>0</v>
      </c>
      <c r="AT210">
        <v>95</v>
      </c>
      <c r="AU210">
        <v>46</v>
      </c>
      <c r="AV210">
        <v>1.0669999999999999</v>
      </c>
      <c r="AW210">
        <v>1.081</v>
      </c>
      <c r="AZ210">
        <v>1</v>
      </c>
      <c r="BA210">
        <v>18.11</v>
      </c>
      <c r="BB210">
        <v>7.5</v>
      </c>
      <c r="BC210">
        <v>5.07</v>
      </c>
      <c r="BD210" t="s">
        <v>3</v>
      </c>
      <c r="BE210" t="s">
        <v>3</v>
      </c>
      <c r="BF210" t="s">
        <v>3</v>
      </c>
      <c r="BG210" t="s">
        <v>3</v>
      </c>
      <c r="BH210">
        <v>0</v>
      </c>
      <c r="BI210">
        <v>2</v>
      </c>
      <c r="BJ210" t="s">
        <v>219</v>
      </c>
      <c r="BM210">
        <v>318</v>
      </c>
      <c r="BN210">
        <v>0</v>
      </c>
      <c r="BO210" t="s">
        <v>217</v>
      </c>
      <c r="BP210">
        <v>1</v>
      </c>
      <c r="BQ210">
        <v>40</v>
      </c>
      <c r="BR210">
        <v>0</v>
      </c>
      <c r="BS210">
        <v>18.11</v>
      </c>
      <c r="BT210">
        <v>1</v>
      </c>
      <c r="BU210">
        <v>1</v>
      </c>
      <c r="BV210">
        <v>1</v>
      </c>
      <c r="BW210">
        <v>1</v>
      </c>
      <c r="BX210">
        <v>1</v>
      </c>
      <c r="BY210" t="s">
        <v>3</v>
      </c>
      <c r="BZ210">
        <v>95</v>
      </c>
      <c r="CA210">
        <v>46</v>
      </c>
      <c r="CF210">
        <v>0</v>
      </c>
      <c r="CG210">
        <v>0</v>
      </c>
      <c r="CM210">
        <v>0</v>
      </c>
      <c r="CN210" t="s">
        <v>3</v>
      </c>
      <c r="CO210">
        <v>0</v>
      </c>
      <c r="CP210">
        <f t="shared" si="166"/>
        <v>22970.1</v>
      </c>
      <c r="CQ210">
        <f>(AC210*BC210*AW210)</f>
        <v>206.40203219999998</v>
      </c>
      <c r="CR210">
        <f>((((ET210)*BB210-(EU210)*BS210)+AE210*BS210)*AV210)</f>
        <v>3350.1665999999996</v>
      </c>
      <c r="CS210">
        <f>(AE210*BS210*AV210)</f>
        <v>1276.8882895999998</v>
      </c>
      <c r="CT210">
        <f>(AF210*BA210*AV210)</f>
        <v>3621.5860053999995</v>
      </c>
      <c r="CU210">
        <f t="shared" si="171"/>
        <v>0</v>
      </c>
      <c r="CV210">
        <f>(AH210*AV210)</f>
        <v>16.218399999999999</v>
      </c>
      <c r="CW210">
        <f t="shared" si="173"/>
        <v>0</v>
      </c>
      <c r="CX210">
        <f t="shared" si="174"/>
        <v>0</v>
      </c>
      <c r="CY210">
        <f t="shared" si="175"/>
        <v>11009.626</v>
      </c>
      <c r="CZ210">
        <f t="shared" si="176"/>
        <v>5330.9768000000004</v>
      </c>
      <c r="DC210" t="s">
        <v>3</v>
      </c>
      <c r="DD210" t="s">
        <v>3</v>
      </c>
      <c r="DE210" t="s">
        <v>3</v>
      </c>
      <c r="DF210" t="s">
        <v>3</v>
      </c>
      <c r="DG210" t="s">
        <v>3</v>
      </c>
      <c r="DH210" t="s">
        <v>3</v>
      </c>
      <c r="DI210" t="s">
        <v>3</v>
      </c>
      <c r="DJ210" t="s">
        <v>3</v>
      </c>
      <c r="DK210" t="s">
        <v>3</v>
      </c>
      <c r="DL210" t="s">
        <v>3</v>
      </c>
      <c r="DM210" t="s">
        <v>3</v>
      </c>
      <c r="DN210">
        <v>112</v>
      </c>
      <c r="DO210">
        <v>70</v>
      </c>
      <c r="DP210">
        <v>1.0669999999999999</v>
      </c>
      <c r="DQ210">
        <v>1.081</v>
      </c>
      <c r="DU210">
        <v>1013</v>
      </c>
      <c r="DV210" t="s">
        <v>37</v>
      </c>
      <c r="DW210" t="s">
        <v>37</v>
      </c>
      <c r="DX210">
        <v>1</v>
      </c>
      <c r="EE210">
        <v>42186365</v>
      </c>
      <c r="EF210">
        <v>40</v>
      </c>
      <c r="EG210" t="s">
        <v>39</v>
      </c>
      <c r="EH210">
        <v>0</v>
      </c>
      <c r="EI210" t="s">
        <v>3</v>
      </c>
      <c r="EJ210">
        <v>2</v>
      </c>
      <c r="EK210">
        <v>318</v>
      </c>
      <c r="EL210" t="s">
        <v>40</v>
      </c>
      <c r="EM210" t="s">
        <v>41</v>
      </c>
      <c r="EO210" t="s">
        <v>3</v>
      </c>
      <c r="EQ210">
        <v>131072</v>
      </c>
      <c r="ER210">
        <v>643.72</v>
      </c>
      <c r="ES210">
        <v>37.659999999999997</v>
      </c>
      <c r="ET210">
        <v>418.64</v>
      </c>
      <c r="EU210">
        <v>66.08</v>
      </c>
      <c r="EV210">
        <v>187.42</v>
      </c>
      <c r="EW210">
        <v>15.2</v>
      </c>
      <c r="EX210">
        <v>0</v>
      </c>
      <c r="EY210">
        <v>0</v>
      </c>
      <c r="FQ210">
        <v>0</v>
      </c>
      <c r="FR210">
        <f t="shared" si="177"/>
        <v>0</v>
      </c>
      <c r="FS210">
        <v>0</v>
      </c>
      <c r="FX210">
        <v>112</v>
      </c>
      <c r="FY210">
        <v>70</v>
      </c>
      <c r="GA210" t="s">
        <v>3</v>
      </c>
      <c r="GD210">
        <v>0</v>
      </c>
      <c r="GF210">
        <v>-778083354</v>
      </c>
      <c r="GG210">
        <v>2</v>
      </c>
      <c r="GH210">
        <v>1</v>
      </c>
      <c r="GI210">
        <v>2</v>
      </c>
      <c r="GJ210">
        <v>0</v>
      </c>
      <c r="GK210">
        <f>ROUND(R210*(R12)/100,2)</f>
        <v>6823.69</v>
      </c>
      <c r="GL210">
        <f t="shared" si="178"/>
        <v>0</v>
      </c>
      <c r="GM210">
        <f t="shared" si="179"/>
        <v>46134.400000000001</v>
      </c>
      <c r="GN210">
        <f t="shared" si="180"/>
        <v>0</v>
      </c>
      <c r="GO210">
        <f t="shared" si="181"/>
        <v>46134.400000000001</v>
      </c>
      <c r="GP210">
        <f t="shared" si="182"/>
        <v>0</v>
      </c>
      <c r="GR210">
        <v>0</v>
      </c>
      <c r="GS210">
        <v>3</v>
      </c>
      <c r="GT210">
        <v>0</v>
      </c>
      <c r="GU210" t="s">
        <v>3</v>
      </c>
      <c r="GV210">
        <f t="shared" si="183"/>
        <v>0</v>
      </c>
      <c r="GW210">
        <v>1</v>
      </c>
      <c r="GX210">
        <f t="shared" si="184"/>
        <v>0</v>
      </c>
      <c r="HA210">
        <v>0</v>
      </c>
      <c r="HB210">
        <v>0</v>
      </c>
      <c r="IK210">
        <v>0</v>
      </c>
    </row>
    <row r="211" spans="1:245" x14ac:dyDescent="0.2">
      <c r="A211">
        <v>17</v>
      </c>
      <c r="B211">
        <v>1</v>
      </c>
      <c r="E211" t="s">
        <v>220</v>
      </c>
      <c r="F211" t="s">
        <v>221</v>
      </c>
      <c r="G211" t="s">
        <v>222</v>
      </c>
      <c r="H211" t="s">
        <v>177</v>
      </c>
      <c r="I211">
        <f>ROUND(3.89*1.02,9)</f>
        <v>3.9678</v>
      </c>
      <c r="J211">
        <v>0</v>
      </c>
      <c r="O211">
        <f t="shared" si="146"/>
        <v>1364467.22</v>
      </c>
      <c r="P211">
        <f t="shared" si="147"/>
        <v>1364467.22</v>
      </c>
      <c r="Q211">
        <f t="shared" si="148"/>
        <v>0</v>
      </c>
      <c r="R211">
        <f t="shared" si="149"/>
        <v>0</v>
      </c>
      <c r="S211">
        <f t="shared" si="150"/>
        <v>0</v>
      </c>
      <c r="T211">
        <f t="shared" si="151"/>
        <v>0</v>
      </c>
      <c r="U211">
        <f t="shared" si="152"/>
        <v>0</v>
      </c>
      <c r="V211">
        <f t="shared" si="153"/>
        <v>0</v>
      </c>
      <c r="W211">
        <f t="shared" si="154"/>
        <v>0</v>
      </c>
      <c r="X211">
        <f t="shared" si="155"/>
        <v>0</v>
      </c>
      <c r="Y211">
        <f t="shared" si="156"/>
        <v>0</v>
      </c>
      <c r="AA211">
        <v>42446460</v>
      </c>
      <c r="AB211">
        <f t="shared" si="157"/>
        <v>63098.18</v>
      </c>
      <c r="AC211">
        <f t="shared" si="158"/>
        <v>63098.18</v>
      </c>
      <c r="AD211">
        <f>ROUND((((ET211)-(EU211))+AE211),6)</f>
        <v>0</v>
      </c>
      <c r="AE211">
        <f t="shared" si="160"/>
        <v>0</v>
      </c>
      <c r="AF211">
        <f t="shared" si="161"/>
        <v>0</v>
      </c>
      <c r="AG211">
        <f t="shared" si="162"/>
        <v>0</v>
      </c>
      <c r="AH211">
        <f t="shared" si="163"/>
        <v>0</v>
      </c>
      <c r="AI211">
        <f t="shared" si="164"/>
        <v>0</v>
      </c>
      <c r="AJ211">
        <f t="shared" si="165"/>
        <v>0</v>
      </c>
      <c r="AK211">
        <v>63098.18</v>
      </c>
      <c r="AL211">
        <v>63098.18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0</v>
      </c>
      <c r="AU211">
        <v>0</v>
      </c>
      <c r="AV211">
        <v>1</v>
      </c>
      <c r="AW211">
        <v>1</v>
      </c>
      <c r="AZ211">
        <v>1</v>
      </c>
      <c r="BA211">
        <v>1</v>
      </c>
      <c r="BB211">
        <v>1</v>
      </c>
      <c r="BC211">
        <v>5.45</v>
      </c>
      <c r="BD211" t="s">
        <v>3</v>
      </c>
      <c r="BE211" t="s">
        <v>3</v>
      </c>
      <c r="BF211" t="s">
        <v>3</v>
      </c>
      <c r="BG211" t="s">
        <v>3</v>
      </c>
      <c r="BH211">
        <v>3</v>
      </c>
      <c r="BI211">
        <v>2</v>
      </c>
      <c r="BJ211" t="s">
        <v>223</v>
      </c>
      <c r="BM211">
        <v>1618</v>
      </c>
      <c r="BN211">
        <v>0</v>
      </c>
      <c r="BO211" t="s">
        <v>221</v>
      </c>
      <c r="BP211">
        <v>1</v>
      </c>
      <c r="BQ211">
        <v>201</v>
      </c>
      <c r="BR211">
        <v>0</v>
      </c>
      <c r="BS211">
        <v>1</v>
      </c>
      <c r="BT211">
        <v>1</v>
      </c>
      <c r="BU211">
        <v>1</v>
      </c>
      <c r="BV211">
        <v>1</v>
      </c>
      <c r="BW211">
        <v>1</v>
      </c>
      <c r="BX211">
        <v>1</v>
      </c>
      <c r="BY211" t="s">
        <v>3</v>
      </c>
      <c r="BZ211">
        <v>0</v>
      </c>
      <c r="CA211">
        <v>0</v>
      </c>
      <c r="CF211">
        <v>0</v>
      </c>
      <c r="CG211">
        <v>0</v>
      </c>
      <c r="CM211">
        <v>0</v>
      </c>
      <c r="CN211" t="s">
        <v>3</v>
      </c>
      <c r="CO211">
        <v>0</v>
      </c>
      <c r="CP211">
        <f t="shared" si="166"/>
        <v>1364467.22</v>
      </c>
      <c r="CQ211">
        <f>(AC211*BC211*AW211)</f>
        <v>343885.08100000001</v>
      </c>
      <c r="CR211">
        <f>((((ET211)*BB211-(EU211)*BS211)+AE211*BS211)*AV211)</f>
        <v>0</v>
      </c>
      <c r="CS211">
        <f>(AE211*BS211*AV211)</f>
        <v>0</v>
      </c>
      <c r="CT211">
        <f>(AF211*BA211*AV211)</f>
        <v>0</v>
      </c>
      <c r="CU211">
        <f t="shared" si="171"/>
        <v>0</v>
      </c>
      <c r="CV211">
        <f>(AH211*AV211)</f>
        <v>0</v>
      </c>
      <c r="CW211">
        <f t="shared" si="173"/>
        <v>0</v>
      </c>
      <c r="CX211">
        <f t="shared" si="174"/>
        <v>0</v>
      </c>
      <c r="CY211">
        <f t="shared" si="175"/>
        <v>0</v>
      </c>
      <c r="CZ211">
        <f t="shared" si="176"/>
        <v>0</v>
      </c>
      <c r="DC211" t="s">
        <v>3</v>
      </c>
      <c r="DD211" t="s">
        <v>3</v>
      </c>
      <c r="DE211" t="s">
        <v>3</v>
      </c>
      <c r="DF211" t="s">
        <v>3</v>
      </c>
      <c r="DG211" t="s">
        <v>3</v>
      </c>
      <c r="DH211" t="s">
        <v>3</v>
      </c>
      <c r="DI211" t="s">
        <v>3</v>
      </c>
      <c r="DJ211" t="s">
        <v>3</v>
      </c>
      <c r="DK211" t="s">
        <v>3</v>
      </c>
      <c r="DL211" t="s">
        <v>3</v>
      </c>
      <c r="DM211" t="s">
        <v>3</v>
      </c>
      <c r="DN211">
        <v>0</v>
      </c>
      <c r="DO211">
        <v>0</v>
      </c>
      <c r="DP211">
        <v>1</v>
      </c>
      <c r="DQ211">
        <v>1</v>
      </c>
      <c r="DU211">
        <v>1003</v>
      </c>
      <c r="DV211" t="s">
        <v>177</v>
      </c>
      <c r="DW211" t="s">
        <v>177</v>
      </c>
      <c r="DX211">
        <v>1000</v>
      </c>
      <c r="EE211">
        <v>42187665</v>
      </c>
      <c r="EF211">
        <v>201</v>
      </c>
      <c r="EG211" t="s">
        <v>179</v>
      </c>
      <c r="EH211">
        <v>0</v>
      </c>
      <c r="EI211" t="s">
        <v>3</v>
      </c>
      <c r="EJ211">
        <v>2</v>
      </c>
      <c r="EK211">
        <v>1618</v>
      </c>
      <c r="EL211" t="s">
        <v>180</v>
      </c>
      <c r="EM211" t="s">
        <v>181</v>
      </c>
      <c r="EO211" t="s">
        <v>3</v>
      </c>
      <c r="EQ211">
        <v>131072</v>
      </c>
      <c r="ER211">
        <v>63098.18</v>
      </c>
      <c r="ES211">
        <v>63098.18</v>
      </c>
      <c r="ET211">
        <v>0</v>
      </c>
      <c r="EU211">
        <v>0</v>
      </c>
      <c r="EV211">
        <v>0</v>
      </c>
      <c r="EW211">
        <v>0</v>
      </c>
      <c r="EX211">
        <v>0</v>
      </c>
      <c r="EY211">
        <v>0</v>
      </c>
      <c r="FQ211">
        <v>0</v>
      </c>
      <c r="FR211">
        <f t="shared" si="177"/>
        <v>0</v>
      </c>
      <c r="FS211">
        <v>0</v>
      </c>
      <c r="FX211">
        <v>0</v>
      </c>
      <c r="FY211">
        <v>0</v>
      </c>
      <c r="GA211" t="s">
        <v>3</v>
      </c>
      <c r="GD211">
        <v>0</v>
      </c>
      <c r="GF211">
        <v>1992587462</v>
      </c>
      <c r="GG211">
        <v>2</v>
      </c>
      <c r="GH211">
        <v>0</v>
      </c>
      <c r="GI211">
        <v>0</v>
      </c>
      <c r="GJ211">
        <v>0</v>
      </c>
      <c r="GK211">
        <f>ROUND(R211*(R12)/100,2)</f>
        <v>0</v>
      </c>
      <c r="GL211">
        <f t="shared" si="178"/>
        <v>0</v>
      </c>
      <c r="GM211">
        <f t="shared" si="179"/>
        <v>1364467.22</v>
      </c>
      <c r="GN211">
        <f t="shared" si="180"/>
        <v>0</v>
      </c>
      <c r="GO211">
        <f t="shared" si="181"/>
        <v>1364467.22</v>
      </c>
      <c r="GP211">
        <f t="shared" si="182"/>
        <v>0</v>
      </c>
      <c r="GR211">
        <v>0</v>
      </c>
      <c r="GS211">
        <v>0</v>
      </c>
      <c r="GT211">
        <v>0</v>
      </c>
      <c r="GU211" t="s">
        <v>3</v>
      </c>
      <c r="GV211">
        <f t="shared" si="183"/>
        <v>0</v>
      </c>
      <c r="GW211">
        <v>1</v>
      </c>
      <c r="GX211">
        <f t="shared" si="184"/>
        <v>0</v>
      </c>
      <c r="HA211">
        <v>0</v>
      </c>
      <c r="HB211">
        <v>0</v>
      </c>
      <c r="IK211">
        <v>0</v>
      </c>
    </row>
    <row r="212" spans="1:245" x14ac:dyDescent="0.2">
      <c r="A212">
        <v>17</v>
      </c>
      <c r="B212">
        <v>1</v>
      </c>
      <c r="E212" t="s">
        <v>3</v>
      </c>
      <c r="F212" t="s">
        <v>203</v>
      </c>
      <c r="G212" t="s">
        <v>224</v>
      </c>
      <c r="H212" t="s">
        <v>205</v>
      </c>
      <c r="I212">
        <f>ROUND(4688*1.02,9)</f>
        <v>4781.76</v>
      </c>
      <c r="J212">
        <v>0</v>
      </c>
      <c r="O212">
        <f t="shared" si="146"/>
        <v>705486.53</v>
      </c>
      <c r="P212">
        <f t="shared" si="147"/>
        <v>705486.53</v>
      </c>
      <c r="Q212">
        <f t="shared" si="148"/>
        <v>0</v>
      </c>
      <c r="R212">
        <f t="shared" si="149"/>
        <v>0</v>
      </c>
      <c r="S212">
        <f t="shared" si="150"/>
        <v>0</v>
      </c>
      <c r="T212">
        <f t="shared" si="151"/>
        <v>0</v>
      </c>
      <c r="U212">
        <f t="shared" si="152"/>
        <v>0</v>
      </c>
      <c r="V212">
        <f t="shared" si="153"/>
        <v>0</v>
      </c>
      <c r="W212">
        <f t="shared" si="154"/>
        <v>0</v>
      </c>
      <c r="X212">
        <f t="shared" si="155"/>
        <v>0</v>
      </c>
      <c r="Y212">
        <f t="shared" si="156"/>
        <v>0</v>
      </c>
      <c r="AA212">
        <v>-1</v>
      </c>
      <c r="AB212">
        <f t="shared" si="157"/>
        <v>29.1</v>
      </c>
      <c r="AC212">
        <f t="shared" si="158"/>
        <v>29.1</v>
      </c>
      <c r="AD212">
        <f>ROUND((ET212),6)</f>
        <v>0</v>
      </c>
      <c r="AE212">
        <f t="shared" si="160"/>
        <v>0</v>
      </c>
      <c r="AF212">
        <f t="shared" si="161"/>
        <v>0</v>
      </c>
      <c r="AG212">
        <f t="shared" si="162"/>
        <v>0</v>
      </c>
      <c r="AH212">
        <f t="shared" si="163"/>
        <v>0</v>
      </c>
      <c r="AI212">
        <f t="shared" si="164"/>
        <v>0</v>
      </c>
      <c r="AJ212">
        <f t="shared" si="165"/>
        <v>0</v>
      </c>
      <c r="AK212">
        <v>29.1</v>
      </c>
      <c r="AL212">
        <v>29.1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0</v>
      </c>
      <c r="AV212">
        <v>1</v>
      </c>
      <c r="AW212">
        <v>1</v>
      </c>
      <c r="AZ212">
        <v>1</v>
      </c>
      <c r="BA212">
        <v>1</v>
      </c>
      <c r="BB212">
        <v>1</v>
      </c>
      <c r="BC212">
        <v>5.07</v>
      </c>
      <c r="BD212" t="s">
        <v>3</v>
      </c>
      <c r="BE212" t="s">
        <v>3</v>
      </c>
      <c r="BF212" t="s">
        <v>3</v>
      </c>
      <c r="BG212" t="s">
        <v>3</v>
      </c>
      <c r="BH212">
        <v>3</v>
      </c>
      <c r="BI212">
        <v>2</v>
      </c>
      <c r="BJ212" t="s">
        <v>3</v>
      </c>
      <c r="BM212">
        <v>400002</v>
      </c>
      <c r="BN212">
        <v>0</v>
      </c>
      <c r="BO212" t="s">
        <v>3</v>
      </c>
      <c r="BP212">
        <v>0</v>
      </c>
      <c r="BQ212">
        <v>202</v>
      </c>
      <c r="BR212">
        <v>0</v>
      </c>
      <c r="BS212">
        <v>1</v>
      </c>
      <c r="BT212">
        <v>1</v>
      </c>
      <c r="BU212">
        <v>1</v>
      </c>
      <c r="BV212">
        <v>1</v>
      </c>
      <c r="BW212">
        <v>1</v>
      </c>
      <c r="BX212">
        <v>1</v>
      </c>
      <c r="BY212" t="s">
        <v>3</v>
      </c>
      <c r="BZ212">
        <v>0</v>
      </c>
      <c r="CA212">
        <v>0</v>
      </c>
      <c r="CF212">
        <v>0</v>
      </c>
      <c r="CG212">
        <v>0</v>
      </c>
      <c r="CM212">
        <v>0</v>
      </c>
      <c r="CN212" t="s">
        <v>3</v>
      </c>
      <c r="CO212">
        <v>0</v>
      </c>
      <c r="CP212">
        <f t="shared" si="166"/>
        <v>705486.53</v>
      </c>
      <c r="CQ212">
        <f>AC212*BC212</f>
        <v>147.53700000000001</v>
      </c>
      <c r="CR212">
        <f>AD212*BB212</f>
        <v>0</v>
      </c>
      <c r="CS212">
        <f>AE212*BS212</f>
        <v>0</v>
      </c>
      <c r="CT212">
        <f>AF212*BA212</f>
        <v>0</v>
      </c>
      <c r="CU212">
        <f t="shared" si="171"/>
        <v>0</v>
      </c>
      <c r="CV212">
        <f>AH212</f>
        <v>0</v>
      </c>
      <c r="CW212">
        <f t="shared" si="173"/>
        <v>0</v>
      </c>
      <c r="CX212">
        <f t="shared" si="174"/>
        <v>0</v>
      </c>
      <c r="CY212">
        <f t="shared" si="175"/>
        <v>0</v>
      </c>
      <c r="CZ212">
        <f t="shared" si="176"/>
        <v>0</v>
      </c>
      <c r="DC212" t="s">
        <v>3</v>
      </c>
      <c r="DD212" t="s">
        <v>3</v>
      </c>
      <c r="DE212" t="s">
        <v>3</v>
      </c>
      <c r="DF212" t="s">
        <v>3</v>
      </c>
      <c r="DG212" t="s">
        <v>3</v>
      </c>
      <c r="DH212" t="s">
        <v>3</v>
      </c>
      <c r="DI212" t="s">
        <v>3</v>
      </c>
      <c r="DJ212" t="s">
        <v>3</v>
      </c>
      <c r="DK212" t="s">
        <v>3</v>
      </c>
      <c r="DL212" t="s">
        <v>3</v>
      </c>
      <c r="DM212" t="s">
        <v>3</v>
      </c>
      <c r="DN212">
        <v>0</v>
      </c>
      <c r="DO212">
        <v>0</v>
      </c>
      <c r="DP212">
        <v>1</v>
      </c>
      <c r="DQ212">
        <v>1</v>
      </c>
      <c r="DU212">
        <v>1003</v>
      </c>
      <c r="DV212" t="s">
        <v>205</v>
      </c>
      <c r="DW212" t="s">
        <v>205</v>
      </c>
      <c r="DX212">
        <v>1</v>
      </c>
      <c r="EE212">
        <v>42188014</v>
      </c>
      <c r="EF212">
        <v>202</v>
      </c>
      <c r="EG212" t="s">
        <v>206</v>
      </c>
      <c r="EH212">
        <v>0</v>
      </c>
      <c r="EI212" t="s">
        <v>3</v>
      </c>
      <c r="EJ212">
        <v>1</v>
      </c>
      <c r="EK212">
        <v>400002</v>
      </c>
      <c r="EL212" t="s">
        <v>207</v>
      </c>
      <c r="EM212" t="s">
        <v>206</v>
      </c>
      <c r="EO212" t="s">
        <v>3</v>
      </c>
      <c r="EQ212">
        <v>132096</v>
      </c>
      <c r="ER212">
        <v>29.1</v>
      </c>
      <c r="ES212">
        <v>29.1</v>
      </c>
      <c r="ET212">
        <v>0</v>
      </c>
      <c r="EU212">
        <v>0</v>
      </c>
      <c r="EV212">
        <v>0</v>
      </c>
      <c r="EW212">
        <v>0</v>
      </c>
      <c r="EX212">
        <v>0</v>
      </c>
      <c r="EY212">
        <v>0</v>
      </c>
      <c r="FQ212">
        <v>0</v>
      </c>
      <c r="FR212">
        <f t="shared" si="177"/>
        <v>0</v>
      </c>
      <c r="FS212">
        <v>0</v>
      </c>
      <c r="FX212">
        <v>0</v>
      </c>
      <c r="FY212">
        <v>0</v>
      </c>
      <c r="GA212" t="s">
        <v>3</v>
      </c>
      <c r="GD212">
        <v>0</v>
      </c>
      <c r="GF212">
        <v>1946644643</v>
      </c>
      <c r="GG212">
        <v>2</v>
      </c>
      <c r="GH212">
        <v>0</v>
      </c>
      <c r="GI212">
        <v>0</v>
      </c>
      <c r="GJ212">
        <v>0</v>
      </c>
      <c r="GK212">
        <f>ROUND(R212*(R12)/100,2)</f>
        <v>0</v>
      </c>
      <c r="GL212">
        <f t="shared" si="178"/>
        <v>0</v>
      </c>
      <c r="GM212">
        <f t="shared" si="179"/>
        <v>705486.53</v>
      </c>
      <c r="GN212">
        <f t="shared" si="180"/>
        <v>0</v>
      </c>
      <c r="GO212">
        <f t="shared" si="181"/>
        <v>705486.53</v>
      </c>
      <c r="GP212">
        <f t="shared" si="182"/>
        <v>0</v>
      </c>
      <c r="GR212">
        <v>0</v>
      </c>
      <c r="GS212">
        <v>0</v>
      </c>
      <c r="GT212">
        <v>0</v>
      </c>
      <c r="GU212" t="s">
        <v>3</v>
      </c>
      <c r="GV212">
        <f t="shared" si="183"/>
        <v>0</v>
      </c>
      <c r="GW212">
        <v>1</v>
      </c>
      <c r="GX212">
        <f t="shared" si="184"/>
        <v>0</v>
      </c>
      <c r="HA212">
        <v>0</v>
      </c>
      <c r="HB212">
        <v>0</v>
      </c>
      <c r="IK212">
        <v>0</v>
      </c>
    </row>
    <row r="214" spans="1:245" x14ac:dyDescent="0.2">
      <c r="A214" s="2">
        <v>51</v>
      </c>
      <c r="B214" s="2">
        <f>B192</f>
        <v>1</v>
      </c>
      <c r="C214" s="2">
        <f>A192</f>
        <v>5</v>
      </c>
      <c r="D214" s="2">
        <f>ROW(A192)</f>
        <v>192</v>
      </c>
      <c r="E214" s="2"/>
      <c r="F214" s="2" t="str">
        <f>IF(F192&lt;&gt;"",F192,"")</f>
        <v>2.1</v>
      </c>
      <c r="G214" s="2" t="str">
        <f>IF(G192&lt;&gt;"",G192,"")</f>
        <v>2.1 Монтаж кабельной линии</v>
      </c>
      <c r="H214" s="2">
        <v>0</v>
      </c>
      <c r="I214" s="2"/>
      <c r="J214" s="2"/>
      <c r="K214" s="2"/>
      <c r="L214" s="2"/>
      <c r="M214" s="2"/>
      <c r="N214" s="2"/>
      <c r="O214" s="2">
        <f t="shared" ref="O214:T214" si="185">ROUND(AB214,2)</f>
        <v>2987100.43</v>
      </c>
      <c r="P214" s="2">
        <f t="shared" si="185"/>
        <v>2580326.5099999998</v>
      </c>
      <c r="Q214" s="2">
        <f t="shared" si="185"/>
        <v>182724.47</v>
      </c>
      <c r="R214" s="2">
        <f t="shared" si="185"/>
        <v>72962.759999999995</v>
      </c>
      <c r="S214" s="2">
        <f t="shared" si="185"/>
        <v>224049.45</v>
      </c>
      <c r="T214" s="2">
        <f t="shared" si="185"/>
        <v>0</v>
      </c>
      <c r="U214" s="2">
        <f>AH214</f>
        <v>1003.38932</v>
      </c>
      <c r="V214" s="2">
        <f>AI214</f>
        <v>0</v>
      </c>
      <c r="W214" s="2">
        <f>ROUND(AJ214,2)</f>
        <v>0</v>
      </c>
      <c r="X214" s="2">
        <f>ROUND(AK214,2)</f>
        <v>212846.98</v>
      </c>
      <c r="Y214" s="2">
        <f>ROUND(AL214,2)</f>
        <v>103062.76</v>
      </c>
      <c r="Z214" s="2"/>
      <c r="AA214" s="2"/>
      <c r="AB214" s="2">
        <f>ROUND(SUMIF(AA196:AA212,"=42446460",O196:O212),2)</f>
        <v>2987100.43</v>
      </c>
      <c r="AC214" s="2">
        <f>ROUND(SUMIF(AA196:AA212,"=42446460",P196:P212),2)</f>
        <v>2580326.5099999998</v>
      </c>
      <c r="AD214" s="2">
        <f>ROUND(SUMIF(AA196:AA212,"=42446460",Q196:Q212),2)</f>
        <v>182724.47</v>
      </c>
      <c r="AE214" s="2">
        <f>ROUND(SUMIF(AA196:AA212,"=42446460",R196:R212),2)</f>
        <v>72962.759999999995</v>
      </c>
      <c r="AF214" s="2">
        <f>ROUND(SUMIF(AA196:AA212,"=42446460",S196:S212),2)</f>
        <v>224049.45</v>
      </c>
      <c r="AG214" s="2">
        <f>ROUND(SUMIF(AA196:AA212,"=42446460",T196:T212),2)</f>
        <v>0</v>
      </c>
      <c r="AH214" s="2">
        <f>SUMIF(AA196:AA212,"=42446460",U196:U212)</f>
        <v>1003.38932</v>
      </c>
      <c r="AI214" s="2">
        <f>SUMIF(AA196:AA212,"=42446460",V196:V212)</f>
        <v>0</v>
      </c>
      <c r="AJ214" s="2">
        <f>ROUND(SUMIF(AA196:AA212,"=42446460",W196:W212),2)</f>
        <v>0</v>
      </c>
      <c r="AK214" s="2">
        <f>ROUND(SUMIF(AA196:AA212,"=42446460",X196:X212),2)</f>
        <v>212846.98</v>
      </c>
      <c r="AL214" s="2">
        <f>ROUND(SUMIF(AA196:AA212,"=42446460",Y196:Y212),2)</f>
        <v>103062.76</v>
      </c>
      <c r="AM214" s="2"/>
      <c r="AN214" s="2"/>
      <c r="AO214" s="2">
        <f t="shared" ref="AO214:BC214" si="186">ROUND(BX214,2)</f>
        <v>0</v>
      </c>
      <c r="AP214" s="2">
        <f t="shared" si="186"/>
        <v>0</v>
      </c>
      <c r="AQ214" s="2">
        <f t="shared" si="186"/>
        <v>0</v>
      </c>
      <c r="AR214" s="2">
        <f t="shared" si="186"/>
        <v>3424857.97</v>
      </c>
      <c r="AS214" s="2">
        <f t="shared" si="186"/>
        <v>0</v>
      </c>
      <c r="AT214" s="2">
        <f t="shared" si="186"/>
        <v>3424857.97</v>
      </c>
      <c r="AU214" s="2">
        <f t="shared" si="186"/>
        <v>0</v>
      </c>
      <c r="AV214" s="2">
        <f t="shared" si="186"/>
        <v>2580326.5099999998</v>
      </c>
      <c r="AW214" s="2">
        <f t="shared" si="186"/>
        <v>2580326.5099999998</v>
      </c>
      <c r="AX214" s="2">
        <f t="shared" si="186"/>
        <v>0</v>
      </c>
      <c r="AY214" s="2">
        <f t="shared" si="186"/>
        <v>2580326.5099999998</v>
      </c>
      <c r="AZ214" s="2">
        <f t="shared" si="186"/>
        <v>0</v>
      </c>
      <c r="BA214" s="2">
        <f t="shared" si="186"/>
        <v>0</v>
      </c>
      <c r="BB214" s="2">
        <f t="shared" si="186"/>
        <v>0</v>
      </c>
      <c r="BC214" s="2">
        <f t="shared" si="186"/>
        <v>0</v>
      </c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>
        <f>ROUND(SUMIF(AA196:AA212,"=42446460",FQ196:FQ212),2)</f>
        <v>0</v>
      </c>
      <c r="BY214" s="2">
        <f>ROUND(SUMIF(AA196:AA212,"=42446460",FR196:FR212),2)</f>
        <v>0</v>
      </c>
      <c r="BZ214" s="2">
        <f>ROUND(SUMIF(AA196:AA212,"=42446460",GL196:GL212),2)</f>
        <v>0</v>
      </c>
      <c r="CA214" s="2">
        <f>ROUND(SUMIF(AA196:AA212,"=42446460",GM196:GM212),2)</f>
        <v>3424857.97</v>
      </c>
      <c r="CB214" s="2">
        <f>ROUND(SUMIF(AA196:AA212,"=42446460",GN196:GN212),2)</f>
        <v>0</v>
      </c>
      <c r="CC214" s="2">
        <f>ROUND(SUMIF(AA196:AA212,"=42446460",GO196:GO212),2)</f>
        <v>3424857.97</v>
      </c>
      <c r="CD214" s="2">
        <f>ROUND(SUMIF(AA196:AA212,"=42446460",GP196:GP212),2)</f>
        <v>0</v>
      </c>
      <c r="CE214" s="2">
        <f>AC214-BX214</f>
        <v>2580326.5099999998</v>
      </c>
      <c r="CF214" s="2">
        <f>AC214-BY214</f>
        <v>2580326.5099999998</v>
      </c>
      <c r="CG214" s="2">
        <f>BX214-BZ214</f>
        <v>0</v>
      </c>
      <c r="CH214" s="2">
        <f>AC214-BX214-BY214+BZ214</f>
        <v>2580326.5099999998</v>
      </c>
      <c r="CI214" s="2">
        <f>BY214-BZ214</f>
        <v>0</v>
      </c>
      <c r="CJ214" s="2">
        <f>ROUND(SUMIF(AA196:AA212,"=42446460",GX196:GX212),2)</f>
        <v>0</v>
      </c>
      <c r="CK214" s="2">
        <f>ROUND(SUMIF(AA196:AA212,"=42446460",GY196:GY212),2)</f>
        <v>0</v>
      </c>
      <c r="CL214" s="2">
        <f>ROUND(SUMIF(AA196:AA212,"=42446460",GZ196:GZ212),2)</f>
        <v>0</v>
      </c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>
        <v>0</v>
      </c>
    </row>
    <row r="216" spans="1:245" x14ac:dyDescent="0.2">
      <c r="A216" s="4">
        <v>50</v>
      </c>
      <c r="B216" s="4">
        <v>0</v>
      </c>
      <c r="C216" s="4">
        <v>0</v>
      </c>
      <c r="D216" s="4">
        <v>1</v>
      </c>
      <c r="E216" s="4">
        <v>201</v>
      </c>
      <c r="F216" s="4">
        <f>ROUND(Source!O214,O216)</f>
        <v>2987100.43</v>
      </c>
      <c r="G216" s="4" t="s">
        <v>74</v>
      </c>
      <c r="H216" s="4" t="s">
        <v>75</v>
      </c>
      <c r="I216" s="4"/>
      <c r="J216" s="4"/>
      <c r="K216" s="4">
        <v>201</v>
      </c>
      <c r="L216" s="4">
        <v>1</v>
      </c>
      <c r="M216" s="4">
        <v>3</v>
      </c>
      <c r="N216" s="4" t="s">
        <v>3</v>
      </c>
      <c r="O216" s="4">
        <v>2</v>
      </c>
      <c r="P216" s="4"/>
      <c r="Q216" s="4"/>
      <c r="R216" s="4"/>
      <c r="S216" s="4"/>
      <c r="T216" s="4"/>
      <c r="U216" s="4"/>
      <c r="V216" s="4"/>
      <c r="W216" s="4"/>
    </row>
    <row r="217" spans="1:245" x14ac:dyDescent="0.2">
      <c r="A217" s="4">
        <v>50</v>
      </c>
      <c r="B217" s="4">
        <v>0</v>
      </c>
      <c r="C217" s="4">
        <v>0</v>
      </c>
      <c r="D217" s="4">
        <v>1</v>
      </c>
      <c r="E217" s="4">
        <v>202</v>
      </c>
      <c r="F217" s="4">
        <f>ROUND(Source!P214,O217)</f>
        <v>2580326.5099999998</v>
      </c>
      <c r="G217" s="4" t="s">
        <v>76</v>
      </c>
      <c r="H217" s="4" t="s">
        <v>77</v>
      </c>
      <c r="I217" s="4"/>
      <c r="J217" s="4"/>
      <c r="K217" s="4">
        <v>202</v>
      </c>
      <c r="L217" s="4">
        <v>2</v>
      </c>
      <c r="M217" s="4">
        <v>3</v>
      </c>
      <c r="N217" s="4" t="s">
        <v>3</v>
      </c>
      <c r="O217" s="4">
        <v>2</v>
      </c>
      <c r="P217" s="4"/>
      <c r="Q217" s="4"/>
      <c r="R217" s="4"/>
      <c r="S217" s="4"/>
      <c r="T217" s="4"/>
      <c r="U217" s="4"/>
      <c r="V217" s="4"/>
      <c r="W217" s="4"/>
    </row>
    <row r="218" spans="1:245" x14ac:dyDescent="0.2">
      <c r="A218" s="4">
        <v>50</v>
      </c>
      <c r="B218" s="4">
        <v>0</v>
      </c>
      <c r="C218" s="4">
        <v>0</v>
      </c>
      <c r="D218" s="4">
        <v>1</v>
      </c>
      <c r="E218" s="4">
        <v>222</v>
      </c>
      <c r="F218" s="4">
        <f>ROUND(Source!AO214,O218)</f>
        <v>0</v>
      </c>
      <c r="G218" s="4" t="s">
        <v>78</v>
      </c>
      <c r="H218" s="4" t="s">
        <v>79</v>
      </c>
      <c r="I218" s="4"/>
      <c r="J218" s="4"/>
      <c r="K218" s="4">
        <v>222</v>
      </c>
      <c r="L218" s="4">
        <v>3</v>
      </c>
      <c r="M218" s="4">
        <v>3</v>
      </c>
      <c r="N218" s="4" t="s">
        <v>3</v>
      </c>
      <c r="O218" s="4">
        <v>2</v>
      </c>
      <c r="P218" s="4"/>
      <c r="Q218" s="4"/>
      <c r="R218" s="4"/>
      <c r="S218" s="4"/>
      <c r="T218" s="4"/>
      <c r="U218" s="4"/>
      <c r="V218" s="4"/>
      <c r="W218" s="4"/>
    </row>
    <row r="219" spans="1:245" x14ac:dyDescent="0.2">
      <c r="A219" s="4">
        <v>50</v>
      </c>
      <c r="B219" s="4">
        <v>0</v>
      </c>
      <c r="C219" s="4">
        <v>0</v>
      </c>
      <c r="D219" s="4">
        <v>1</v>
      </c>
      <c r="E219" s="4">
        <v>225</v>
      </c>
      <c r="F219" s="4">
        <f>ROUND(Source!AV214,O219)</f>
        <v>2580326.5099999998</v>
      </c>
      <c r="G219" s="4" t="s">
        <v>80</v>
      </c>
      <c r="H219" s="4" t="s">
        <v>81</v>
      </c>
      <c r="I219" s="4"/>
      <c r="J219" s="4"/>
      <c r="K219" s="4">
        <v>225</v>
      </c>
      <c r="L219" s="4">
        <v>4</v>
      </c>
      <c r="M219" s="4">
        <v>3</v>
      </c>
      <c r="N219" s="4" t="s">
        <v>3</v>
      </c>
      <c r="O219" s="4">
        <v>2</v>
      </c>
      <c r="P219" s="4"/>
      <c r="Q219" s="4"/>
      <c r="R219" s="4"/>
      <c r="S219" s="4"/>
      <c r="T219" s="4"/>
      <c r="U219" s="4"/>
      <c r="V219" s="4"/>
      <c r="W219" s="4"/>
    </row>
    <row r="220" spans="1:245" x14ac:dyDescent="0.2">
      <c r="A220" s="4">
        <v>50</v>
      </c>
      <c r="B220" s="4">
        <v>0</v>
      </c>
      <c r="C220" s="4">
        <v>0</v>
      </c>
      <c r="D220" s="4">
        <v>1</v>
      </c>
      <c r="E220" s="4">
        <v>226</v>
      </c>
      <c r="F220" s="4">
        <f>ROUND(Source!AW214,O220)</f>
        <v>2580326.5099999998</v>
      </c>
      <c r="G220" s="4" t="s">
        <v>82</v>
      </c>
      <c r="H220" s="4" t="s">
        <v>83</v>
      </c>
      <c r="I220" s="4"/>
      <c r="J220" s="4"/>
      <c r="K220" s="4">
        <v>226</v>
      </c>
      <c r="L220" s="4">
        <v>5</v>
      </c>
      <c r="M220" s="4">
        <v>3</v>
      </c>
      <c r="N220" s="4" t="s">
        <v>3</v>
      </c>
      <c r="O220" s="4">
        <v>2</v>
      </c>
      <c r="P220" s="4"/>
      <c r="Q220" s="4"/>
      <c r="R220" s="4"/>
      <c r="S220" s="4"/>
      <c r="T220" s="4"/>
      <c r="U220" s="4"/>
      <c r="V220" s="4"/>
      <c r="W220" s="4"/>
    </row>
    <row r="221" spans="1:245" x14ac:dyDescent="0.2">
      <c r="A221" s="4">
        <v>50</v>
      </c>
      <c r="B221" s="4">
        <v>0</v>
      </c>
      <c r="C221" s="4">
        <v>0</v>
      </c>
      <c r="D221" s="4">
        <v>1</v>
      </c>
      <c r="E221" s="4">
        <v>227</v>
      </c>
      <c r="F221" s="4">
        <f>ROUND(Source!AX214,O221)</f>
        <v>0</v>
      </c>
      <c r="G221" s="4" t="s">
        <v>84</v>
      </c>
      <c r="H221" s="4" t="s">
        <v>85</v>
      </c>
      <c r="I221" s="4"/>
      <c r="J221" s="4"/>
      <c r="K221" s="4">
        <v>227</v>
      </c>
      <c r="L221" s="4">
        <v>6</v>
      </c>
      <c r="M221" s="4">
        <v>3</v>
      </c>
      <c r="N221" s="4" t="s">
        <v>3</v>
      </c>
      <c r="O221" s="4">
        <v>2</v>
      </c>
      <c r="P221" s="4"/>
      <c r="Q221" s="4"/>
      <c r="R221" s="4"/>
      <c r="S221" s="4"/>
      <c r="T221" s="4"/>
      <c r="U221" s="4"/>
      <c r="V221" s="4"/>
      <c r="W221" s="4"/>
    </row>
    <row r="222" spans="1:245" x14ac:dyDescent="0.2">
      <c r="A222" s="4">
        <v>50</v>
      </c>
      <c r="B222" s="4">
        <v>0</v>
      </c>
      <c r="C222" s="4">
        <v>0</v>
      </c>
      <c r="D222" s="4">
        <v>1</v>
      </c>
      <c r="E222" s="4">
        <v>228</v>
      </c>
      <c r="F222" s="4">
        <f>ROUND(Source!AY214,O222)</f>
        <v>2580326.5099999998</v>
      </c>
      <c r="G222" s="4" t="s">
        <v>86</v>
      </c>
      <c r="H222" s="4" t="s">
        <v>87</v>
      </c>
      <c r="I222" s="4"/>
      <c r="J222" s="4"/>
      <c r="K222" s="4">
        <v>228</v>
      </c>
      <c r="L222" s="4">
        <v>7</v>
      </c>
      <c r="M222" s="4">
        <v>3</v>
      </c>
      <c r="N222" s="4" t="s">
        <v>3</v>
      </c>
      <c r="O222" s="4">
        <v>2</v>
      </c>
      <c r="P222" s="4"/>
      <c r="Q222" s="4"/>
      <c r="R222" s="4"/>
      <c r="S222" s="4"/>
      <c r="T222" s="4"/>
      <c r="U222" s="4"/>
      <c r="V222" s="4"/>
      <c r="W222" s="4"/>
    </row>
    <row r="223" spans="1:245" x14ac:dyDescent="0.2">
      <c r="A223" s="4">
        <v>50</v>
      </c>
      <c r="B223" s="4">
        <v>0</v>
      </c>
      <c r="C223" s="4">
        <v>0</v>
      </c>
      <c r="D223" s="4">
        <v>1</v>
      </c>
      <c r="E223" s="4">
        <v>216</v>
      </c>
      <c r="F223" s="4">
        <f>ROUND(Source!AP214,O223)</f>
        <v>0</v>
      </c>
      <c r="G223" s="4" t="s">
        <v>88</v>
      </c>
      <c r="H223" s="4" t="s">
        <v>89</v>
      </c>
      <c r="I223" s="4"/>
      <c r="J223" s="4"/>
      <c r="K223" s="4">
        <v>216</v>
      </c>
      <c r="L223" s="4">
        <v>8</v>
      </c>
      <c r="M223" s="4">
        <v>3</v>
      </c>
      <c r="N223" s="4" t="s">
        <v>3</v>
      </c>
      <c r="O223" s="4">
        <v>2</v>
      </c>
      <c r="P223" s="4"/>
      <c r="Q223" s="4"/>
      <c r="R223" s="4"/>
      <c r="S223" s="4"/>
      <c r="T223" s="4"/>
      <c r="U223" s="4"/>
      <c r="V223" s="4"/>
      <c r="W223" s="4"/>
    </row>
    <row r="224" spans="1:245" x14ac:dyDescent="0.2">
      <c r="A224" s="4">
        <v>50</v>
      </c>
      <c r="B224" s="4">
        <v>0</v>
      </c>
      <c r="C224" s="4">
        <v>0</v>
      </c>
      <c r="D224" s="4">
        <v>1</v>
      </c>
      <c r="E224" s="4">
        <v>223</v>
      </c>
      <c r="F224" s="4">
        <f>ROUND(Source!AQ214,O224)</f>
        <v>0</v>
      </c>
      <c r="G224" s="4" t="s">
        <v>90</v>
      </c>
      <c r="H224" s="4" t="s">
        <v>91</v>
      </c>
      <c r="I224" s="4"/>
      <c r="J224" s="4"/>
      <c r="K224" s="4">
        <v>223</v>
      </c>
      <c r="L224" s="4">
        <v>9</v>
      </c>
      <c r="M224" s="4">
        <v>3</v>
      </c>
      <c r="N224" s="4" t="s">
        <v>3</v>
      </c>
      <c r="O224" s="4">
        <v>2</v>
      </c>
      <c r="P224" s="4"/>
      <c r="Q224" s="4"/>
      <c r="R224" s="4"/>
      <c r="S224" s="4"/>
      <c r="T224" s="4"/>
      <c r="U224" s="4"/>
      <c r="V224" s="4"/>
      <c r="W224" s="4"/>
    </row>
    <row r="225" spans="1:23" x14ac:dyDescent="0.2">
      <c r="A225" s="4">
        <v>50</v>
      </c>
      <c r="B225" s="4">
        <v>0</v>
      </c>
      <c r="C225" s="4">
        <v>0</v>
      </c>
      <c r="D225" s="4">
        <v>1</v>
      </c>
      <c r="E225" s="4">
        <v>229</v>
      </c>
      <c r="F225" s="4">
        <f>ROUND(Source!AZ214,O225)</f>
        <v>0</v>
      </c>
      <c r="G225" s="4" t="s">
        <v>92</v>
      </c>
      <c r="H225" s="4" t="s">
        <v>93</v>
      </c>
      <c r="I225" s="4"/>
      <c r="J225" s="4"/>
      <c r="K225" s="4">
        <v>229</v>
      </c>
      <c r="L225" s="4">
        <v>10</v>
      </c>
      <c r="M225" s="4">
        <v>3</v>
      </c>
      <c r="N225" s="4" t="s">
        <v>3</v>
      </c>
      <c r="O225" s="4">
        <v>2</v>
      </c>
      <c r="P225" s="4"/>
      <c r="Q225" s="4"/>
      <c r="R225" s="4"/>
      <c r="S225" s="4"/>
      <c r="T225" s="4"/>
      <c r="U225" s="4"/>
      <c r="V225" s="4"/>
      <c r="W225" s="4"/>
    </row>
    <row r="226" spans="1:23" x14ac:dyDescent="0.2">
      <c r="A226" s="4">
        <v>50</v>
      </c>
      <c r="B226" s="4">
        <v>0</v>
      </c>
      <c r="C226" s="4">
        <v>0</v>
      </c>
      <c r="D226" s="4">
        <v>1</v>
      </c>
      <c r="E226" s="4">
        <v>203</v>
      </c>
      <c r="F226" s="4">
        <f>ROUND(Source!Q214,O226)</f>
        <v>182724.47</v>
      </c>
      <c r="G226" s="4" t="s">
        <v>94</v>
      </c>
      <c r="H226" s="4" t="s">
        <v>95</v>
      </c>
      <c r="I226" s="4"/>
      <c r="J226" s="4"/>
      <c r="K226" s="4">
        <v>203</v>
      </c>
      <c r="L226" s="4">
        <v>11</v>
      </c>
      <c r="M226" s="4">
        <v>3</v>
      </c>
      <c r="N226" s="4" t="s">
        <v>3</v>
      </c>
      <c r="O226" s="4">
        <v>2</v>
      </c>
      <c r="P226" s="4"/>
      <c r="Q226" s="4"/>
      <c r="R226" s="4"/>
      <c r="S226" s="4"/>
      <c r="T226" s="4"/>
      <c r="U226" s="4"/>
      <c r="V226" s="4"/>
      <c r="W226" s="4"/>
    </row>
    <row r="227" spans="1:23" x14ac:dyDescent="0.2">
      <c r="A227" s="4">
        <v>50</v>
      </c>
      <c r="B227" s="4">
        <v>0</v>
      </c>
      <c r="C227" s="4">
        <v>0</v>
      </c>
      <c r="D227" s="4">
        <v>1</v>
      </c>
      <c r="E227" s="4">
        <v>231</v>
      </c>
      <c r="F227" s="4">
        <f>ROUND(Source!BB214,O227)</f>
        <v>0</v>
      </c>
      <c r="G227" s="4" t="s">
        <v>96</v>
      </c>
      <c r="H227" s="4" t="s">
        <v>97</v>
      </c>
      <c r="I227" s="4"/>
      <c r="J227" s="4"/>
      <c r="K227" s="4">
        <v>231</v>
      </c>
      <c r="L227" s="4">
        <v>12</v>
      </c>
      <c r="M227" s="4">
        <v>3</v>
      </c>
      <c r="N227" s="4" t="s">
        <v>3</v>
      </c>
      <c r="O227" s="4">
        <v>2</v>
      </c>
      <c r="P227" s="4"/>
      <c r="Q227" s="4"/>
      <c r="R227" s="4"/>
      <c r="S227" s="4"/>
      <c r="T227" s="4"/>
      <c r="U227" s="4"/>
      <c r="V227" s="4"/>
      <c r="W227" s="4"/>
    </row>
    <row r="228" spans="1:23" x14ac:dyDescent="0.2">
      <c r="A228" s="4">
        <v>50</v>
      </c>
      <c r="B228" s="4">
        <v>0</v>
      </c>
      <c r="C228" s="4">
        <v>0</v>
      </c>
      <c r="D228" s="4">
        <v>1</v>
      </c>
      <c r="E228" s="4">
        <v>204</v>
      </c>
      <c r="F228" s="4">
        <f>ROUND(Source!R214,O228)</f>
        <v>72962.759999999995</v>
      </c>
      <c r="G228" s="4" t="s">
        <v>98</v>
      </c>
      <c r="H228" s="4" t="s">
        <v>99</v>
      </c>
      <c r="I228" s="4"/>
      <c r="J228" s="4"/>
      <c r="K228" s="4">
        <v>204</v>
      </c>
      <c r="L228" s="4">
        <v>13</v>
      </c>
      <c r="M228" s="4">
        <v>3</v>
      </c>
      <c r="N228" s="4" t="s">
        <v>3</v>
      </c>
      <c r="O228" s="4">
        <v>2</v>
      </c>
      <c r="P228" s="4"/>
      <c r="Q228" s="4"/>
      <c r="R228" s="4"/>
      <c r="S228" s="4"/>
      <c r="T228" s="4"/>
      <c r="U228" s="4"/>
      <c r="V228" s="4"/>
      <c r="W228" s="4"/>
    </row>
    <row r="229" spans="1:23" x14ac:dyDescent="0.2">
      <c r="A229" s="4">
        <v>50</v>
      </c>
      <c r="B229" s="4">
        <v>0</v>
      </c>
      <c r="C229" s="4">
        <v>0</v>
      </c>
      <c r="D229" s="4">
        <v>1</v>
      </c>
      <c r="E229" s="4">
        <v>205</v>
      </c>
      <c r="F229" s="4">
        <f>ROUND(Source!S214,O229)</f>
        <v>224049.45</v>
      </c>
      <c r="G229" s="4" t="s">
        <v>100</v>
      </c>
      <c r="H229" s="4" t="s">
        <v>101</v>
      </c>
      <c r="I229" s="4"/>
      <c r="J229" s="4"/>
      <c r="K229" s="4">
        <v>205</v>
      </c>
      <c r="L229" s="4">
        <v>14</v>
      </c>
      <c r="M229" s="4">
        <v>3</v>
      </c>
      <c r="N229" s="4" t="s">
        <v>3</v>
      </c>
      <c r="O229" s="4">
        <v>2</v>
      </c>
      <c r="P229" s="4"/>
      <c r="Q229" s="4"/>
      <c r="R229" s="4"/>
      <c r="S229" s="4"/>
      <c r="T229" s="4"/>
      <c r="U229" s="4"/>
      <c r="V229" s="4"/>
      <c r="W229" s="4"/>
    </row>
    <row r="230" spans="1:23" x14ac:dyDescent="0.2">
      <c r="A230" s="4">
        <v>50</v>
      </c>
      <c r="B230" s="4">
        <v>0</v>
      </c>
      <c r="C230" s="4">
        <v>0</v>
      </c>
      <c r="D230" s="4">
        <v>1</v>
      </c>
      <c r="E230" s="4">
        <v>232</v>
      </c>
      <c r="F230" s="4">
        <f>ROUND(Source!BC214,O230)</f>
        <v>0</v>
      </c>
      <c r="G230" s="4" t="s">
        <v>102</v>
      </c>
      <c r="H230" s="4" t="s">
        <v>103</v>
      </c>
      <c r="I230" s="4"/>
      <c r="J230" s="4"/>
      <c r="K230" s="4">
        <v>232</v>
      </c>
      <c r="L230" s="4">
        <v>15</v>
      </c>
      <c r="M230" s="4">
        <v>3</v>
      </c>
      <c r="N230" s="4" t="s">
        <v>3</v>
      </c>
      <c r="O230" s="4">
        <v>2</v>
      </c>
      <c r="P230" s="4"/>
      <c r="Q230" s="4"/>
      <c r="R230" s="4"/>
      <c r="S230" s="4"/>
      <c r="T230" s="4"/>
      <c r="U230" s="4"/>
      <c r="V230" s="4"/>
      <c r="W230" s="4"/>
    </row>
    <row r="231" spans="1:23" x14ac:dyDescent="0.2">
      <c r="A231" s="4">
        <v>50</v>
      </c>
      <c r="B231" s="4">
        <v>0</v>
      </c>
      <c r="C231" s="4">
        <v>0</v>
      </c>
      <c r="D231" s="4">
        <v>1</v>
      </c>
      <c r="E231" s="4">
        <v>214</v>
      </c>
      <c r="F231" s="4">
        <f>ROUND(Source!AS214,O231)</f>
        <v>0</v>
      </c>
      <c r="G231" s="4" t="s">
        <v>104</v>
      </c>
      <c r="H231" s="4" t="s">
        <v>105</v>
      </c>
      <c r="I231" s="4"/>
      <c r="J231" s="4"/>
      <c r="K231" s="4">
        <v>214</v>
      </c>
      <c r="L231" s="4">
        <v>16</v>
      </c>
      <c r="M231" s="4">
        <v>3</v>
      </c>
      <c r="N231" s="4" t="s">
        <v>3</v>
      </c>
      <c r="O231" s="4">
        <v>2</v>
      </c>
      <c r="P231" s="4"/>
      <c r="Q231" s="4"/>
      <c r="R231" s="4"/>
      <c r="S231" s="4"/>
      <c r="T231" s="4"/>
      <c r="U231" s="4"/>
      <c r="V231" s="4"/>
      <c r="W231" s="4"/>
    </row>
    <row r="232" spans="1:23" x14ac:dyDescent="0.2">
      <c r="A232" s="4">
        <v>50</v>
      </c>
      <c r="B232" s="4">
        <v>0</v>
      </c>
      <c r="C232" s="4">
        <v>0</v>
      </c>
      <c r="D232" s="4">
        <v>1</v>
      </c>
      <c r="E232" s="4">
        <v>215</v>
      </c>
      <c r="F232" s="4">
        <f>ROUND(Source!AT214,O232)</f>
        <v>3424857.97</v>
      </c>
      <c r="G232" s="4" t="s">
        <v>106</v>
      </c>
      <c r="H232" s="4" t="s">
        <v>107</v>
      </c>
      <c r="I232" s="4"/>
      <c r="J232" s="4"/>
      <c r="K232" s="4">
        <v>215</v>
      </c>
      <c r="L232" s="4">
        <v>17</v>
      </c>
      <c r="M232" s="4">
        <v>3</v>
      </c>
      <c r="N232" s="4" t="s">
        <v>3</v>
      </c>
      <c r="O232" s="4">
        <v>2</v>
      </c>
      <c r="P232" s="4"/>
      <c r="Q232" s="4"/>
      <c r="R232" s="4"/>
      <c r="S232" s="4"/>
      <c r="T232" s="4"/>
      <c r="U232" s="4"/>
      <c r="V232" s="4"/>
      <c r="W232" s="4"/>
    </row>
    <row r="233" spans="1:23" x14ac:dyDescent="0.2">
      <c r="A233" s="4">
        <v>50</v>
      </c>
      <c r="B233" s="4">
        <v>0</v>
      </c>
      <c r="C233" s="4">
        <v>0</v>
      </c>
      <c r="D233" s="4">
        <v>1</v>
      </c>
      <c r="E233" s="4">
        <v>217</v>
      </c>
      <c r="F233" s="4">
        <f>ROUND(Source!AU214,O233)</f>
        <v>0</v>
      </c>
      <c r="G233" s="4" t="s">
        <v>108</v>
      </c>
      <c r="H233" s="4" t="s">
        <v>109</v>
      </c>
      <c r="I233" s="4"/>
      <c r="J233" s="4"/>
      <c r="K233" s="4">
        <v>217</v>
      </c>
      <c r="L233" s="4">
        <v>18</v>
      </c>
      <c r="M233" s="4">
        <v>3</v>
      </c>
      <c r="N233" s="4" t="s">
        <v>3</v>
      </c>
      <c r="O233" s="4">
        <v>2</v>
      </c>
      <c r="P233" s="4"/>
      <c r="Q233" s="4"/>
      <c r="R233" s="4"/>
      <c r="S233" s="4"/>
      <c r="T233" s="4"/>
      <c r="U233" s="4"/>
      <c r="V233" s="4"/>
      <c r="W233" s="4"/>
    </row>
    <row r="234" spans="1:23" x14ac:dyDescent="0.2">
      <c r="A234" s="4">
        <v>50</v>
      </c>
      <c r="B234" s="4">
        <v>0</v>
      </c>
      <c r="C234" s="4">
        <v>0</v>
      </c>
      <c r="D234" s="4">
        <v>1</v>
      </c>
      <c r="E234" s="4">
        <v>230</v>
      </c>
      <c r="F234" s="4">
        <f>ROUND(Source!BA214,O234)</f>
        <v>0</v>
      </c>
      <c r="G234" s="4" t="s">
        <v>110</v>
      </c>
      <c r="H234" s="4" t="s">
        <v>111</v>
      </c>
      <c r="I234" s="4"/>
      <c r="J234" s="4"/>
      <c r="K234" s="4">
        <v>230</v>
      </c>
      <c r="L234" s="4">
        <v>19</v>
      </c>
      <c r="M234" s="4">
        <v>3</v>
      </c>
      <c r="N234" s="4" t="s">
        <v>3</v>
      </c>
      <c r="O234" s="4">
        <v>2</v>
      </c>
      <c r="P234" s="4"/>
      <c r="Q234" s="4"/>
      <c r="R234" s="4"/>
      <c r="S234" s="4"/>
      <c r="T234" s="4"/>
      <c r="U234" s="4"/>
      <c r="V234" s="4"/>
      <c r="W234" s="4"/>
    </row>
    <row r="235" spans="1:23" x14ac:dyDescent="0.2">
      <c r="A235" s="4">
        <v>50</v>
      </c>
      <c r="B235" s="4">
        <v>0</v>
      </c>
      <c r="C235" s="4">
        <v>0</v>
      </c>
      <c r="D235" s="4">
        <v>1</v>
      </c>
      <c r="E235" s="4">
        <v>206</v>
      </c>
      <c r="F235" s="4">
        <f>ROUND(Source!T214,O235)</f>
        <v>0</v>
      </c>
      <c r="G235" s="4" t="s">
        <v>112</v>
      </c>
      <c r="H235" s="4" t="s">
        <v>113</v>
      </c>
      <c r="I235" s="4"/>
      <c r="J235" s="4"/>
      <c r="K235" s="4">
        <v>206</v>
      </c>
      <c r="L235" s="4">
        <v>20</v>
      </c>
      <c r="M235" s="4">
        <v>3</v>
      </c>
      <c r="N235" s="4" t="s">
        <v>3</v>
      </c>
      <c r="O235" s="4">
        <v>2</v>
      </c>
      <c r="P235" s="4"/>
      <c r="Q235" s="4"/>
      <c r="R235" s="4"/>
      <c r="S235" s="4"/>
      <c r="T235" s="4"/>
      <c r="U235" s="4"/>
      <c r="V235" s="4"/>
      <c r="W235" s="4"/>
    </row>
    <row r="236" spans="1:23" x14ac:dyDescent="0.2">
      <c r="A236" s="4">
        <v>50</v>
      </c>
      <c r="B236" s="4">
        <v>0</v>
      </c>
      <c r="C236" s="4">
        <v>0</v>
      </c>
      <c r="D236" s="4">
        <v>1</v>
      </c>
      <c r="E236" s="4">
        <v>207</v>
      </c>
      <c r="F236" s="4">
        <f>Source!U214</f>
        <v>1003.38932</v>
      </c>
      <c r="G236" s="4" t="s">
        <v>114</v>
      </c>
      <c r="H236" s="4" t="s">
        <v>115</v>
      </c>
      <c r="I236" s="4"/>
      <c r="J236" s="4"/>
      <c r="K236" s="4">
        <v>207</v>
      </c>
      <c r="L236" s="4">
        <v>21</v>
      </c>
      <c r="M236" s="4">
        <v>3</v>
      </c>
      <c r="N236" s="4" t="s">
        <v>3</v>
      </c>
      <c r="O236" s="4">
        <v>-1</v>
      </c>
      <c r="P236" s="4"/>
      <c r="Q236" s="4"/>
      <c r="R236" s="4"/>
      <c r="S236" s="4"/>
      <c r="T236" s="4"/>
      <c r="U236" s="4"/>
      <c r="V236" s="4"/>
      <c r="W236" s="4"/>
    </row>
    <row r="237" spans="1:23" x14ac:dyDescent="0.2">
      <c r="A237" s="4">
        <v>50</v>
      </c>
      <c r="B237" s="4">
        <v>0</v>
      </c>
      <c r="C237" s="4">
        <v>0</v>
      </c>
      <c r="D237" s="4">
        <v>1</v>
      </c>
      <c r="E237" s="4">
        <v>208</v>
      </c>
      <c r="F237" s="4">
        <f>Source!V214</f>
        <v>0</v>
      </c>
      <c r="G237" s="4" t="s">
        <v>116</v>
      </c>
      <c r="H237" s="4" t="s">
        <v>117</v>
      </c>
      <c r="I237" s="4"/>
      <c r="J237" s="4"/>
      <c r="K237" s="4">
        <v>208</v>
      </c>
      <c r="L237" s="4">
        <v>22</v>
      </c>
      <c r="M237" s="4">
        <v>3</v>
      </c>
      <c r="N237" s="4" t="s">
        <v>3</v>
      </c>
      <c r="O237" s="4">
        <v>-1</v>
      </c>
      <c r="P237" s="4"/>
      <c r="Q237" s="4"/>
      <c r="R237" s="4"/>
      <c r="S237" s="4"/>
      <c r="T237" s="4"/>
      <c r="U237" s="4"/>
      <c r="V237" s="4"/>
      <c r="W237" s="4"/>
    </row>
    <row r="238" spans="1:23" x14ac:dyDescent="0.2">
      <c r="A238" s="4">
        <v>50</v>
      </c>
      <c r="B238" s="4">
        <v>0</v>
      </c>
      <c r="C238" s="4">
        <v>0</v>
      </c>
      <c r="D238" s="4">
        <v>1</v>
      </c>
      <c r="E238" s="4">
        <v>209</v>
      </c>
      <c r="F238" s="4">
        <f>ROUND(Source!W214,O238)</f>
        <v>0</v>
      </c>
      <c r="G238" s="4" t="s">
        <v>118</v>
      </c>
      <c r="H238" s="4" t="s">
        <v>119</v>
      </c>
      <c r="I238" s="4"/>
      <c r="J238" s="4"/>
      <c r="K238" s="4">
        <v>209</v>
      </c>
      <c r="L238" s="4">
        <v>23</v>
      </c>
      <c r="M238" s="4">
        <v>3</v>
      </c>
      <c r="N238" s="4" t="s">
        <v>3</v>
      </c>
      <c r="O238" s="4">
        <v>2</v>
      </c>
      <c r="P238" s="4"/>
      <c r="Q238" s="4"/>
      <c r="R238" s="4"/>
      <c r="S238" s="4"/>
      <c r="T238" s="4"/>
      <c r="U238" s="4"/>
      <c r="V238" s="4"/>
      <c r="W238" s="4"/>
    </row>
    <row r="239" spans="1:23" x14ac:dyDescent="0.2">
      <c r="A239" s="4">
        <v>50</v>
      </c>
      <c r="B239" s="4">
        <v>0</v>
      </c>
      <c r="C239" s="4">
        <v>0</v>
      </c>
      <c r="D239" s="4">
        <v>1</v>
      </c>
      <c r="E239" s="4">
        <v>210</v>
      </c>
      <c r="F239" s="4">
        <f>ROUND(Source!X214,O239)</f>
        <v>212846.98</v>
      </c>
      <c r="G239" s="4" t="s">
        <v>120</v>
      </c>
      <c r="H239" s="4" t="s">
        <v>121</v>
      </c>
      <c r="I239" s="4"/>
      <c r="J239" s="4"/>
      <c r="K239" s="4">
        <v>210</v>
      </c>
      <c r="L239" s="4">
        <v>24</v>
      </c>
      <c r="M239" s="4">
        <v>3</v>
      </c>
      <c r="N239" s="4" t="s">
        <v>3</v>
      </c>
      <c r="O239" s="4">
        <v>2</v>
      </c>
      <c r="P239" s="4"/>
      <c r="Q239" s="4"/>
      <c r="R239" s="4"/>
      <c r="S239" s="4"/>
      <c r="T239" s="4"/>
      <c r="U239" s="4"/>
      <c r="V239" s="4"/>
      <c r="W239" s="4"/>
    </row>
    <row r="240" spans="1:23" x14ac:dyDescent="0.2">
      <c r="A240" s="4">
        <v>50</v>
      </c>
      <c r="B240" s="4">
        <v>0</v>
      </c>
      <c r="C240" s="4">
        <v>0</v>
      </c>
      <c r="D240" s="4">
        <v>1</v>
      </c>
      <c r="E240" s="4">
        <v>211</v>
      </c>
      <c r="F240" s="4">
        <f>ROUND(Source!Y214,O240)</f>
        <v>103062.76</v>
      </c>
      <c r="G240" s="4" t="s">
        <v>122</v>
      </c>
      <c r="H240" s="4" t="s">
        <v>123</v>
      </c>
      <c r="I240" s="4"/>
      <c r="J240" s="4"/>
      <c r="K240" s="4">
        <v>211</v>
      </c>
      <c r="L240" s="4">
        <v>25</v>
      </c>
      <c r="M240" s="4">
        <v>3</v>
      </c>
      <c r="N240" s="4" t="s">
        <v>3</v>
      </c>
      <c r="O240" s="4">
        <v>2</v>
      </c>
      <c r="P240" s="4"/>
      <c r="Q240" s="4"/>
      <c r="R240" s="4"/>
      <c r="S240" s="4"/>
      <c r="T240" s="4"/>
      <c r="U240" s="4"/>
      <c r="V240" s="4"/>
      <c r="W240" s="4"/>
    </row>
    <row r="241" spans="1:245" x14ac:dyDescent="0.2">
      <c r="A241" s="4">
        <v>50</v>
      </c>
      <c r="B241" s="4">
        <v>0</v>
      </c>
      <c r="C241" s="4">
        <v>0</v>
      </c>
      <c r="D241" s="4">
        <v>1</v>
      </c>
      <c r="E241" s="4">
        <v>224</v>
      </c>
      <c r="F241" s="4">
        <f>ROUND(Source!AR214,O241)</f>
        <v>3424857.97</v>
      </c>
      <c r="G241" s="4" t="s">
        <v>124</v>
      </c>
      <c r="H241" s="4" t="s">
        <v>125</v>
      </c>
      <c r="I241" s="4"/>
      <c r="J241" s="4"/>
      <c r="K241" s="4">
        <v>224</v>
      </c>
      <c r="L241" s="4">
        <v>26</v>
      </c>
      <c r="M241" s="4">
        <v>3</v>
      </c>
      <c r="N241" s="4" t="s">
        <v>3</v>
      </c>
      <c r="O241" s="4">
        <v>2</v>
      </c>
      <c r="P241" s="4"/>
      <c r="Q241" s="4"/>
      <c r="R241" s="4"/>
      <c r="S241" s="4"/>
      <c r="T241" s="4"/>
      <c r="U241" s="4"/>
      <c r="V241" s="4"/>
      <c r="W241" s="4"/>
    </row>
    <row r="243" spans="1:245" x14ac:dyDescent="0.2">
      <c r="A243" s="1">
        <v>5</v>
      </c>
      <c r="B243" s="1">
        <v>1</v>
      </c>
      <c r="C243" s="1"/>
      <c r="D243" s="1">
        <f>ROW(A252)</f>
        <v>252</v>
      </c>
      <c r="E243" s="1"/>
      <c r="F243" s="1" t="s">
        <v>15</v>
      </c>
      <c r="G243" s="1" t="s">
        <v>225</v>
      </c>
      <c r="H243" s="1" t="s">
        <v>3</v>
      </c>
      <c r="I243" s="1">
        <v>0</v>
      </c>
      <c r="J243" s="1"/>
      <c r="K243" s="1">
        <v>-1</v>
      </c>
      <c r="L243" s="1"/>
      <c r="M243" s="1"/>
      <c r="N243" s="1"/>
      <c r="O243" s="1"/>
      <c r="P243" s="1"/>
      <c r="Q243" s="1"/>
      <c r="R243" s="1"/>
      <c r="S243" s="1"/>
      <c r="T243" s="1"/>
      <c r="U243" s="1" t="s">
        <v>3</v>
      </c>
      <c r="V243" s="1">
        <v>0</v>
      </c>
      <c r="W243" s="1"/>
      <c r="X243" s="1"/>
      <c r="Y243" s="1"/>
      <c r="Z243" s="1"/>
      <c r="AA243" s="1"/>
      <c r="AB243" s="1" t="s">
        <v>3</v>
      </c>
      <c r="AC243" s="1" t="s">
        <v>3</v>
      </c>
      <c r="AD243" s="1" t="s">
        <v>3</v>
      </c>
      <c r="AE243" s="1" t="s">
        <v>3</v>
      </c>
      <c r="AF243" s="1" t="s">
        <v>3</v>
      </c>
      <c r="AG243" s="1" t="s">
        <v>3</v>
      </c>
      <c r="AH243" s="1"/>
      <c r="AI243" s="1"/>
      <c r="AJ243" s="1"/>
      <c r="AK243" s="1"/>
      <c r="AL243" s="1"/>
      <c r="AM243" s="1"/>
      <c r="AN243" s="1"/>
      <c r="AO243" s="1"/>
      <c r="AP243" s="1" t="s">
        <v>3</v>
      </c>
      <c r="AQ243" s="1" t="s">
        <v>3</v>
      </c>
      <c r="AR243" s="1" t="s">
        <v>3</v>
      </c>
      <c r="AS243" s="1"/>
      <c r="AT243" s="1"/>
      <c r="AU243" s="1"/>
      <c r="AV243" s="1"/>
      <c r="AW243" s="1"/>
      <c r="AX243" s="1"/>
      <c r="AY243" s="1"/>
      <c r="AZ243" s="1" t="s">
        <v>3</v>
      </c>
      <c r="BA243" s="1"/>
      <c r="BB243" s="1" t="s">
        <v>3</v>
      </c>
      <c r="BC243" s="1" t="s">
        <v>3</v>
      </c>
      <c r="BD243" s="1" t="s">
        <v>3</v>
      </c>
      <c r="BE243" s="1" t="s">
        <v>3</v>
      </c>
      <c r="BF243" s="1" t="s">
        <v>3</v>
      </c>
      <c r="BG243" s="1" t="s">
        <v>3</v>
      </c>
      <c r="BH243" s="1" t="s">
        <v>3</v>
      </c>
      <c r="BI243" s="1" t="s">
        <v>3</v>
      </c>
      <c r="BJ243" s="1" t="s">
        <v>3</v>
      </c>
      <c r="BK243" s="1" t="s">
        <v>3</v>
      </c>
      <c r="BL243" s="1" t="s">
        <v>3</v>
      </c>
      <c r="BM243" s="1" t="s">
        <v>3</v>
      </c>
      <c r="BN243" s="1" t="s">
        <v>3</v>
      </c>
      <c r="BO243" s="1" t="s">
        <v>3</v>
      </c>
      <c r="BP243" s="1" t="s">
        <v>3</v>
      </c>
      <c r="BQ243" s="1"/>
      <c r="BR243" s="1"/>
      <c r="BS243" s="1"/>
      <c r="BT243" s="1"/>
      <c r="BU243" s="1"/>
      <c r="BV243" s="1"/>
      <c r="BW243" s="1"/>
      <c r="BX243" s="1">
        <v>0</v>
      </c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>
        <v>0</v>
      </c>
    </row>
    <row r="245" spans="1:245" x14ac:dyDescent="0.2">
      <c r="A245" s="2">
        <v>52</v>
      </c>
      <c r="B245" s="2">
        <f t="shared" ref="B245:G245" si="187">B252</f>
        <v>1</v>
      </c>
      <c r="C245" s="2">
        <f t="shared" si="187"/>
        <v>5</v>
      </c>
      <c r="D245" s="2">
        <f t="shared" si="187"/>
        <v>243</v>
      </c>
      <c r="E245" s="2">
        <f t="shared" si="187"/>
        <v>0</v>
      </c>
      <c r="F245" s="2" t="str">
        <f t="shared" si="187"/>
        <v>Новый подраздел</v>
      </c>
      <c r="G245" s="2" t="str">
        <f t="shared" si="187"/>
        <v>2.2</v>
      </c>
      <c r="H245" s="2"/>
      <c r="I245" s="2"/>
      <c r="J245" s="2"/>
      <c r="K245" s="2"/>
      <c r="L245" s="2"/>
      <c r="M245" s="2"/>
      <c r="N245" s="2"/>
      <c r="O245" s="2">
        <f t="shared" ref="O245:AT245" si="188">O252</f>
        <v>58366.74</v>
      </c>
      <c r="P245" s="2">
        <f t="shared" si="188"/>
        <v>29912.560000000001</v>
      </c>
      <c r="Q245" s="2">
        <f t="shared" si="188"/>
        <v>25.32</v>
      </c>
      <c r="R245" s="2">
        <f t="shared" si="188"/>
        <v>12.89</v>
      </c>
      <c r="S245" s="2">
        <f t="shared" si="188"/>
        <v>28428.86</v>
      </c>
      <c r="T245" s="2">
        <f t="shared" si="188"/>
        <v>0</v>
      </c>
      <c r="U245" s="2">
        <f t="shared" si="188"/>
        <v>127.3152</v>
      </c>
      <c r="V245" s="2">
        <f t="shared" si="188"/>
        <v>0</v>
      </c>
      <c r="W245" s="2">
        <f t="shared" si="188"/>
        <v>0</v>
      </c>
      <c r="X245" s="2">
        <f t="shared" si="188"/>
        <v>27007.42</v>
      </c>
      <c r="Y245" s="2">
        <f t="shared" si="188"/>
        <v>13077.28</v>
      </c>
      <c r="Z245" s="2">
        <f t="shared" si="188"/>
        <v>0</v>
      </c>
      <c r="AA245" s="2">
        <f t="shared" si="188"/>
        <v>0</v>
      </c>
      <c r="AB245" s="2">
        <f t="shared" si="188"/>
        <v>58366.74</v>
      </c>
      <c r="AC245" s="2">
        <f t="shared" si="188"/>
        <v>29912.560000000001</v>
      </c>
      <c r="AD245" s="2">
        <f t="shared" si="188"/>
        <v>25.32</v>
      </c>
      <c r="AE245" s="2">
        <f t="shared" si="188"/>
        <v>12.89</v>
      </c>
      <c r="AF245" s="2">
        <f t="shared" si="188"/>
        <v>28428.86</v>
      </c>
      <c r="AG245" s="2">
        <f t="shared" si="188"/>
        <v>0</v>
      </c>
      <c r="AH245" s="2">
        <f t="shared" si="188"/>
        <v>127.3152</v>
      </c>
      <c r="AI245" s="2">
        <f t="shared" si="188"/>
        <v>0</v>
      </c>
      <c r="AJ245" s="2">
        <f t="shared" si="188"/>
        <v>0</v>
      </c>
      <c r="AK245" s="2">
        <f t="shared" si="188"/>
        <v>27007.42</v>
      </c>
      <c r="AL245" s="2">
        <f t="shared" si="188"/>
        <v>13077.28</v>
      </c>
      <c r="AM245" s="2">
        <f t="shared" si="188"/>
        <v>0</v>
      </c>
      <c r="AN245" s="2">
        <f t="shared" si="188"/>
        <v>0</v>
      </c>
      <c r="AO245" s="2">
        <f t="shared" si="188"/>
        <v>0</v>
      </c>
      <c r="AP245" s="2">
        <f t="shared" si="188"/>
        <v>0</v>
      </c>
      <c r="AQ245" s="2">
        <f t="shared" si="188"/>
        <v>0</v>
      </c>
      <c r="AR245" s="2">
        <f t="shared" si="188"/>
        <v>98472.97</v>
      </c>
      <c r="AS245" s="2">
        <f t="shared" si="188"/>
        <v>0</v>
      </c>
      <c r="AT245" s="2">
        <f t="shared" si="188"/>
        <v>98472.97</v>
      </c>
      <c r="AU245" s="2">
        <f t="shared" ref="AU245:BZ245" si="189">AU252</f>
        <v>0</v>
      </c>
      <c r="AV245" s="2">
        <f t="shared" si="189"/>
        <v>29912.560000000001</v>
      </c>
      <c r="AW245" s="2">
        <f t="shared" si="189"/>
        <v>29912.560000000001</v>
      </c>
      <c r="AX245" s="2">
        <f t="shared" si="189"/>
        <v>0</v>
      </c>
      <c r="AY245" s="2">
        <f t="shared" si="189"/>
        <v>29912.560000000001</v>
      </c>
      <c r="AZ245" s="2">
        <f t="shared" si="189"/>
        <v>0</v>
      </c>
      <c r="BA245" s="2">
        <f t="shared" si="189"/>
        <v>0</v>
      </c>
      <c r="BB245" s="2">
        <f t="shared" si="189"/>
        <v>0</v>
      </c>
      <c r="BC245" s="2">
        <f t="shared" si="189"/>
        <v>0</v>
      </c>
      <c r="BD245" s="2">
        <f t="shared" si="189"/>
        <v>0</v>
      </c>
      <c r="BE245" s="2">
        <f t="shared" si="189"/>
        <v>0</v>
      </c>
      <c r="BF245" s="2">
        <f t="shared" si="189"/>
        <v>0</v>
      </c>
      <c r="BG245" s="2">
        <f t="shared" si="189"/>
        <v>0</v>
      </c>
      <c r="BH245" s="2">
        <f t="shared" si="189"/>
        <v>0</v>
      </c>
      <c r="BI245" s="2">
        <f t="shared" si="189"/>
        <v>0</v>
      </c>
      <c r="BJ245" s="2">
        <f t="shared" si="189"/>
        <v>0</v>
      </c>
      <c r="BK245" s="2">
        <f t="shared" si="189"/>
        <v>0</v>
      </c>
      <c r="BL245" s="2">
        <f t="shared" si="189"/>
        <v>0</v>
      </c>
      <c r="BM245" s="2">
        <f t="shared" si="189"/>
        <v>0</v>
      </c>
      <c r="BN245" s="2">
        <f t="shared" si="189"/>
        <v>0</v>
      </c>
      <c r="BO245" s="2">
        <f t="shared" si="189"/>
        <v>0</v>
      </c>
      <c r="BP245" s="2">
        <f t="shared" si="189"/>
        <v>0</v>
      </c>
      <c r="BQ245" s="2">
        <f t="shared" si="189"/>
        <v>0</v>
      </c>
      <c r="BR245" s="2">
        <f t="shared" si="189"/>
        <v>0</v>
      </c>
      <c r="BS245" s="2">
        <f t="shared" si="189"/>
        <v>0</v>
      </c>
      <c r="BT245" s="2">
        <f t="shared" si="189"/>
        <v>0</v>
      </c>
      <c r="BU245" s="2">
        <f t="shared" si="189"/>
        <v>0</v>
      </c>
      <c r="BV245" s="2">
        <f t="shared" si="189"/>
        <v>0</v>
      </c>
      <c r="BW245" s="2">
        <f t="shared" si="189"/>
        <v>0</v>
      </c>
      <c r="BX245" s="2">
        <f t="shared" si="189"/>
        <v>0</v>
      </c>
      <c r="BY245" s="2">
        <f t="shared" si="189"/>
        <v>0</v>
      </c>
      <c r="BZ245" s="2">
        <f t="shared" si="189"/>
        <v>0</v>
      </c>
      <c r="CA245" s="2">
        <f t="shared" ref="CA245:DF245" si="190">CA252</f>
        <v>98472.97</v>
      </c>
      <c r="CB245" s="2">
        <f t="shared" si="190"/>
        <v>0</v>
      </c>
      <c r="CC245" s="2">
        <f t="shared" si="190"/>
        <v>98472.97</v>
      </c>
      <c r="CD245" s="2">
        <f t="shared" si="190"/>
        <v>0</v>
      </c>
      <c r="CE245" s="2">
        <f t="shared" si="190"/>
        <v>29912.560000000001</v>
      </c>
      <c r="CF245" s="2">
        <f t="shared" si="190"/>
        <v>29912.560000000001</v>
      </c>
      <c r="CG245" s="2">
        <f t="shared" si="190"/>
        <v>0</v>
      </c>
      <c r="CH245" s="2">
        <f t="shared" si="190"/>
        <v>29912.560000000001</v>
      </c>
      <c r="CI245" s="2">
        <f t="shared" si="190"/>
        <v>0</v>
      </c>
      <c r="CJ245" s="2">
        <f t="shared" si="190"/>
        <v>0</v>
      </c>
      <c r="CK245" s="2">
        <f t="shared" si="190"/>
        <v>0</v>
      </c>
      <c r="CL245" s="2">
        <f t="shared" si="190"/>
        <v>0</v>
      </c>
      <c r="CM245" s="2">
        <f t="shared" si="190"/>
        <v>0</v>
      </c>
      <c r="CN245" s="2">
        <f t="shared" si="190"/>
        <v>0</v>
      </c>
      <c r="CO245" s="2">
        <f t="shared" si="190"/>
        <v>0</v>
      </c>
      <c r="CP245" s="2">
        <f t="shared" si="190"/>
        <v>0</v>
      </c>
      <c r="CQ245" s="2">
        <f t="shared" si="190"/>
        <v>0</v>
      </c>
      <c r="CR245" s="2">
        <f t="shared" si="190"/>
        <v>0</v>
      </c>
      <c r="CS245" s="2">
        <f t="shared" si="190"/>
        <v>0</v>
      </c>
      <c r="CT245" s="2">
        <f t="shared" si="190"/>
        <v>0</v>
      </c>
      <c r="CU245" s="2">
        <f t="shared" si="190"/>
        <v>0</v>
      </c>
      <c r="CV245" s="2">
        <f t="shared" si="190"/>
        <v>0</v>
      </c>
      <c r="CW245" s="2">
        <f t="shared" si="190"/>
        <v>0</v>
      </c>
      <c r="CX245" s="2">
        <f t="shared" si="190"/>
        <v>0</v>
      </c>
      <c r="CY245" s="2">
        <f t="shared" si="190"/>
        <v>0</v>
      </c>
      <c r="CZ245" s="2">
        <f t="shared" si="190"/>
        <v>0</v>
      </c>
      <c r="DA245" s="2">
        <f t="shared" si="190"/>
        <v>0</v>
      </c>
      <c r="DB245" s="2">
        <f t="shared" si="190"/>
        <v>0</v>
      </c>
      <c r="DC245" s="2">
        <f t="shared" si="190"/>
        <v>0</v>
      </c>
      <c r="DD245" s="2">
        <f t="shared" si="190"/>
        <v>0</v>
      </c>
      <c r="DE245" s="2">
        <f t="shared" si="190"/>
        <v>0</v>
      </c>
      <c r="DF245" s="2">
        <f t="shared" si="190"/>
        <v>0</v>
      </c>
      <c r="DG245" s="3">
        <f t="shared" ref="DG245:EL245" si="191">DG252</f>
        <v>0</v>
      </c>
      <c r="DH245" s="3">
        <f t="shared" si="191"/>
        <v>0</v>
      </c>
      <c r="DI245" s="3">
        <f t="shared" si="191"/>
        <v>0</v>
      </c>
      <c r="DJ245" s="3">
        <f t="shared" si="191"/>
        <v>0</v>
      </c>
      <c r="DK245" s="3">
        <f t="shared" si="191"/>
        <v>0</v>
      </c>
      <c r="DL245" s="3">
        <f t="shared" si="191"/>
        <v>0</v>
      </c>
      <c r="DM245" s="3">
        <f t="shared" si="191"/>
        <v>0</v>
      </c>
      <c r="DN245" s="3">
        <f t="shared" si="191"/>
        <v>0</v>
      </c>
      <c r="DO245" s="3">
        <f t="shared" si="191"/>
        <v>0</v>
      </c>
      <c r="DP245" s="3">
        <f t="shared" si="191"/>
        <v>0</v>
      </c>
      <c r="DQ245" s="3">
        <f t="shared" si="191"/>
        <v>0</v>
      </c>
      <c r="DR245" s="3">
        <f t="shared" si="191"/>
        <v>0</v>
      </c>
      <c r="DS245" s="3">
        <f t="shared" si="191"/>
        <v>0</v>
      </c>
      <c r="DT245" s="3">
        <f t="shared" si="191"/>
        <v>0</v>
      </c>
      <c r="DU245" s="3">
        <f t="shared" si="191"/>
        <v>0</v>
      </c>
      <c r="DV245" s="3">
        <f t="shared" si="191"/>
        <v>0</v>
      </c>
      <c r="DW245" s="3">
        <f t="shared" si="191"/>
        <v>0</v>
      </c>
      <c r="DX245" s="3">
        <f t="shared" si="191"/>
        <v>0</v>
      </c>
      <c r="DY245" s="3">
        <f t="shared" si="191"/>
        <v>0</v>
      </c>
      <c r="DZ245" s="3">
        <f t="shared" si="191"/>
        <v>0</v>
      </c>
      <c r="EA245" s="3">
        <f t="shared" si="191"/>
        <v>0</v>
      </c>
      <c r="EB245" s="3">
        <f t="shared" si="191"/>
        <v>0</v>
      </c>
      <c r="EC245" s="3">
        <f t="shared" si="191"/>
        <v>0</v>
      </c>
      <c r="ED245" s="3">
        <f t="shared" si="191"/>
        <v>0</v>
      </c>
      <c r="EE245" s="3">
        <f t="shared" si="191"/>
        <v>0</v>
      </c>
      <c r="EF245" s="3">
        <f t="shared" si="191"/>
        <v>0</v>
      </c>
      <c r="EG245" s="3">
        <f t="shared" si="191"/>
        <v>0</v>
      </c>
      <c r="EH245" s="3">
        <f t="shared" si="191"/>
        <v>0</v>
      </c>
      <c r="EI245" s="3">
        <f t="shared" si="191"/>
        <v>0</v>
      </c>
      <c r="EJ245" s="3">
        <f t="shared" si="191"/>
        <v>0</v>
      </c>
      <c r="EK245" s="3">
        <f t="shared" si="191"/>
        <v>0</v>
      </c>
      <c r="EL245" s="3">
        <f t="shared" si="191"/>
        <v>0</v>
      </c>
      <c r="EM245" s="3">
        <f t="shared" ref="EM245:FR245" si="192">EM252</f>
        <v>0</v>
      </c>
      <c r="EN245" s="3">
        <f t="shared" si="192"/>
        <v>0</v>
      </c>
      <c r="EO245" s="3">
        <f t="shared" si="192"/>
        <v>0</v>
      </c>
      <c r="EP245" s="3">
        <f t="shared" si="192"/>
        <v>0</v>
      </c>
      <c r="EQ245" s="3">
        <f t="shared" si="192"/>
        <v>0</v>
      </c>
      <c r="ER245" s="3">
        <f t="shared" si="192"/>
        <v>0</v>
      </c>
      <c r="ES245" s="3">
        <f t="shared" si="192"/>
        <v>0</v>
      </c>
      <c r="ET245" s="3">
        <f t="shared" si="192"/>
        <v>0</v>
      </c>
      <c r="EU245" s="3">
        <f t="shared" si="192"/>
        <v>0</v>
      </c>
      <c r="EV245" s="3">
        <f t="shared" si="192"/>
        <v>0</v>
      </c>
      <c r="EW245" s="3">
        <f t="shared" si="192"/>
        <v>0</v>
      </c>
      <c r="EX245" s="3">
        <f t="shared" si="192"/>
        <v>0</v>
      </c>
      <c r="EY245" s="3">
        <f t="shared" si="192"/>
        <v>0</v>
      </c>
      <c r="EZ245" s="3">
        <f t="shared" si="192"/>
        <v>0</v>
      </c>
      <c r="FA245" s="3">
        <f t="shared" si="192"/>
        <v>0</v>
      </c>
      <c r="FB245" s="3">
        <f t="shared" si="192"/>
        <v>0</v>
      </c>
      <c r="FC245" s="3">
        <f t="shared" si="192"/>
        <v>0</v>
      </c>
      <c r="FD245" s="3">
        <f t="shared" si="192"/>
        <v>0</v>
      </c>
      <c r="FE245" s="3">
        <f t="shared" si="192"/>
        <v>0</v>
      </c>
      <c r="FF245" s="3">
        <f t="shared" si="192"/>
        <v>0</v>
      </c>
      <c r="FG245" s="3">
        <f t="shared" si="192"/>
        <v>0</v>
      </c>
      <c r="FH245" s="3">
        <f t="shared" si="192"/>
        <v>0</v>
      </c>
      <c r="FI245" s="3">
        <f t="shared" si="192"/>
        <v>0</v>
      </c>
      <c r="FJ245" s="3">
        <f t="shared" si="192"/>
        <v>0</v>
      </c>
      <c r="FK245" s="3">
        <f t="shared" si="192"/>
        <v>0</v>
      </c>
      <c r="FL245" s="3">
        <f t="shared" si="192"/>
        <v>0</v>
      </c>
      <c r="FM245" s="3">
        <f t="shared" si="192"/>
        <v>0</v>
      </c>
      <c r="FN245" s="3">
        <f t="shared" si="192"/>
        <v>0</v>
      </c>
      <c r="FO245" s="3">
        <f t="shared" si="192"/>
        <v>0</v>
      </c>
      <c r="FP245" s="3">
        <f t="shared" si="192"/>
        <v>0</v>
      </c>
      <c r="FQ245" s="3">
        <f t="shared" si="192"/>
        <v>0</v>
      </c>
      <c r="FR245" s="3">
        <f t="shared" si="192"/>
        <v>0</v>
      </c>
      <c r="FS245" s="3">
        <f t="shared" ref="FS245:GX245" si="193">FS252</f>
        <v>0</v>
      </c>
      <c r="FT245" s="3">
        <f t="shared" si="193"/>
        <v>0</v>
      </c>
      <c r="FU245" s="3">
        <f t="shared" si="193"/>
        <v>0</v>
      </c>
      <c r="FV245" s="3">
        <f t="shared" si="193"/>
        <v>0</v>
      </c>
      <c r="FW245" s="3">
        <f t="shared" si="193"/>
        <v>0</v>
      </c>
      <c r="FX245" s="3">
        <f t="shared" si="193"/>
        <v>0</v>
      </c>
      <c r="FY245" s="3">
        <f t="shared" si="193"/>
        <v>0</v>
      </c>
      <c r="FZ245" s="3">
        <f t="shared" si="193"/>
        <v>0</v>
      </c>
      <c r="GA245" s="3">
        <f t="shared" si="193"/>
        <v>0</v>
      </c>
      <c r="GB245" s="3">
        <f t="shared" si="193"/>
        <v>0</v>
      </c>
      <c r="GC245" s="3">
        <f t="shared" si="193"/>
        <v>0</v>
      </c>
      <c r="GD245" s="3">
        <f t="shared" si="193"/>
        <v>0</v>
      </c>
      <c r="GE245" s="3">
        <f t="shared" si="193"/>
        <v>0</v>
      </c>
      <c r="GF245" s="3">
        <f t="shared" si="193"/>
        <v>0</v>
      </c>
      <c r="GG245" s="3">
        <f t="shared" si="193"/>
        <v>0</v>
      </c>
      <c r="GH245" s="3">
        <f t="shared" si="193"/>
        <v>0</v>
      </c>
      <c r="GI245" s="3">
        <f t="shared" si="193"/>
        <v>0</v>
      </c>
      <c r="GJ245" s="3">
        <f t="shared" si="193"/>
        <v>0</v>
      </c>
      <c r="GK245" s="3">
        <f t="shared" si="193"/>
        <v>0</v>
      </c>
      <c r="GL245" s="3">
        <f t="shared" si="193"/>
        <v>0</v>
      </c>
      <c r="GM245" s="3">
        <f t="shared" si="193"/>
        <v>0</v>
      </c>
      <c r="GN245" s="3">
        <f t="shared" si="193"/>
        <v>0</v>
      </c>
      <c r="GO245" s="3">
        <f t="shared" si="193"/>
        <v>0</v>
      </c>
      <c r="GP245" s="3">
        <f t="shared" si="193"/>
        <v>0</v>
      </c>
      <c r="GQ245" s="3">
        <f t="shared" si="193"/>
        <v>0</v>
      </c>
      <c r="GR245" s="3">
        <f t="shared" si="193"/>
        <v>0</v>
      </c>
      <c r="GS245" s="3">
        <f t="shared" si="193"/>
        <v>0</v>
      </c>
      <c r="GT245" s="3">
        <f t="shared" si="193"/>
        <v>0</v>
      </c>
      <c r="GU245" s="3">
        <f t="shared" si="193"/>
        <v>0</v>
      </c>
      <c r="GV245" s="3">
        <f t="shared" si="193"/>
        <v>0</v>
      </c>
      <c r="GW245" s="3">
        <f t="shared" si="193"/>
        <v>0</v>
      </c>
      <c r="GX245" s="3">
        <f t="shared" si="193"/>
        <v>0</v>
      </c>
    </row>
    <row r="247" spans="1:245" x14ac:dyDescent="0.2">
      <c r="A247">
        <v>17</v>
      </c>
      <c r="B247">
        <v>1</v>
      </c>
      <c r="C247">
        <f>ROW(SmtRes!A48)</f>
        <v>48</v>
      </c>
      <c r="D247">
        <f>ROW(EtalonRes!A51)</f>
        <v>51</v>
      </c>
      <c r="E247" t="s">
        <v>226</v>
      </c>
      <c r="F247" t="s">
        <v>227</v>
      </c>
      <c r="G247" t="s">
        <v>228</v>
      </c>
      <c r="H247" t="s">
        <v>229</v>
      </c>
      <c r="I247">
        <v>2</v>
      </c>
      <c r="J247">
        <v>0</v>
      </c>
      <c r="O247">
        <f>ROUND(CP247,2)</f>
        <v>7932.27</v>
      </c>
      <c r="P247">
        <f>ROUND(CQ247*I247,2)</f>
        <v>69.56</v>
      </c>
      <c r="Q247">
        <f>ROUND(CR247*I247,2)</f>
        <v>7.48</v>
      </c>
      <c r="R247">
        <f>ROUND(CS247*I247,2)</f>
        <v>3.79</v>
      </c>
      <c r="S247">
        <f>ROUND(CT247*I247,2)</f>
        <v>7855.23</v>
      </c>
      <c r="T247">
        <f>ROUND(CU247*I247,2)</f>
        <v>0</v>
      </c>
      <c r="U247">
        <f>CV247*I247</f>
        <v>35.179200000000002</v>
      </c>
      <c r="V247">
        <f>CW247*I247</f>
        <v>0</v>
      </c>
      <c r="W247">
        <f>ROUND(CX247*I247,2)</f>
        <v>0</v>
      </c>
      <c r="X247">
        <f t="shared" ref="X247:Y250" si="194">ROUND(CY247,2)</f>
        <v>7462.47</v>
      </c>
      <c r="Y247">
        <f t="shared" si="194"/>
        <v>3613.41</v>
      </c>
      <c r="AA247">
        <v>42446460</v>
      </c>
      <c r="AB247">
        <f>ROUND((AC247+AD247+AF247),6)</f>
        <v>214.42</v>
      </c>
      <c r="AC247">
        <f>ROUND((ES247),6)</f>
        <v>6.86</v>
      </c>
      <c r="AD247">
        <f>ROUND((((ET247)-(EU247))+AE247),6)</f>
        <v>0.42</v>
      </c>
      <c r="AE247">
        <f t="shared" ref="AE247:AF250" si="195">ROUND((EU247),6)</f>
        <v>0.1</v>
      </c>
      <c r="AF247">
        <f t="shared" si="195"/>
        <v>207.14</v>
      </c>
      <c r="AG247">
        <f>ROUND((AP247),6)</f>
        <v>0</v>
      </c>
      <c r="AH247">
        <f t="shared" ref="AH247:AI250" si="196">(EW247)</f>
        <v>16.8</v>
      </c>
      <c r="AI247">
        <f t="shared" si="196"/>
        <v>0</v>
      </c>
      <c r="AJ247">
        <f>ROUND((AS247),6)</f>
        <v>0</v>
      </c>
      <c r="AK247">
        <v>214.42</v>
      </c>
      <c r="AL247">
        <v>6.86</v>
      </c>
      <c r="AM247">
        <v>0.42</v>
      </c>
      <c r="AN247">
        <v>0.1</v>
      </c>
      <c r="AO247">
        <v>207.14</v>
      </c>
      <c r="AP247">
        <v>0</v>
      </c>
      <c r="AQ247">
        <v>16.8</v>
      </c>
      <c r="AR247">
        <v>0</v>
      </c>
      <c r="AS247">
        <v>0</v>
      </c>
      <c r="AT247">
        <v>95</v>
      </c>
      <c r="AU247">
        <v>46</v>
      </c>
      <c r="AV247">
        <v>1.0469999999999999</v>
      </c>
      <c r="AW247">
        <v>1</v>
      </c>
      <c r="AZ247">
        <v>1</v>
      </c>
      <c r="BA247">
        <v>18.11</v>
      </c>
      <c r="BB247">
        <v>8.5</v>
      </c>
      <c r="BC247">
        <v>5.07</v>
      </c>
      <c r="BD247" t="s">
        <v>3</v>
      </c>
      <c r="BE247" t="s">
        <v>3</v>
      </c>
      <c r="BF247" t="s">
        <v>3</v>
      </c>
      <c r="BG247" t="s">
        <v>3</v>
      </c>
      <c r="BH247">
        <v>0</v>
      </c>
      <c r="BI247">
        <v>2</v>
      </c>
      <c r="BJ247" t="s">
        <v>230</v>
      </c>
      <c r="BM247">
        <v>324</v>
      </c>
      <c r="BN247">
        <v>0</v>
      </c>
      <c r="BO247" t="s">
        <v>227</v>
      </c>
      <c r="BP247">
        <v>1</v>
      </c>
      <c r="BQ247">
        <v>40</v>
      </c>
      <c r="BR247">
        <v>0</v>
      </c>
      <c r="BS247">
        <v>18.11</v>
      </c>
      <c r="BT247">
        <v>1</v>
      </c>
      <c r="BU247">
        <v>1</v>
      </c>
      <c r="BV247">
        <v>1</v>
      </c>
      <c r="BW247">
        <v>1</v>
      </c>
      <c r="BX247">
        <v>1</v>
      </c>
      <c r="BY247" t="s">
        <v>3</v>
      </c>
      <c r="BZ247">
        <v>95</v>
      </c>
      <c r="CA247">
        <v>46</v>
      </c>
      <c r="CF247">
        <v>0</v>
      </c>
      <c r="CG247">
        <v>0</v>
      </c>
      <c r="CM247">
        <v>0</v>
      </c>
      <c r="CN247" t="s">
        <v>3</v>
      </c>
      <c r="CO247">
        <v>0</v>
      </c>
      <c r="CP247">
        <f>(P247+Q247+S247)</f>
        <v>7932.2699999999995</v>
      </c>
      <c r="CQ247">
        <f>(AC247*BC247*AW247)</f>
        <v>34.780200000000001</v>
      </c>
      <c r="CR247">
        <f>((((ET247)*BB247-(EU247)*BS247)+AE247*BS247)*AV247)</f>
        <v>3.7377899999999995</v>
      </c>
      <c r="CS247">
        <f>(AE247*BS247*AV247)</f>
        <v>1.8961169999999998</v>
      </c>
      <c r="CT247">
        <f>(AF247*BA247*AV247)</f>
        <v>3927.6167537999995</v>
      </c>
      <c r="CU247">
        <f>AG247</f>
        <v>0</v>
      </c>
      <c r="CV247">
        <f>(AH247*AV247)</f>
        <v>17.589600000000001</v>
      </c>
      <c r="CW247">
        <f t="shared" ref="CW247:CX250" si="197">AI247</f>
        <v>0</v>
      </c>
      <c r="CX247">
        <f t="shared" si="197"/>
        <v>0</v>
      </c>
      <c r="CY247">
        <f>S247*(BZ247/100)</f>
        <v>7462.468499999999</v>
      </c>
      <c r="CZ247">
        <f>S247*(CA247/100)</f>
        <v>3613.4058</v>
      </c>
      <c r="DC247" t="s">
        <v>3</v>
      </c>
      <c r="DD247" t="s">
        <v>3</v>
      </c>
      <c r="DE247" t="s">
        <v>3</v>
      </c>
      <c r="DF247" t="s">
        <v>3</v>
      </c>
      <c r="DG247" t="s">
        <v>3</v>
      </c>
      <c r="DH247" t="s">
        <v>3</v>
      </c>
      <c r="DI247" t="s">
        <v>3</v>
      </c>
      <c r="DJ247" t="s">
        <v>3</v>
      </c>
      <c r="DK247" t="s">
        <v>3</v>
      </c>
      <c r="DL247" t="s">
        <v>3</v>
      </c>
      <c r="DM247" t="s">
        <v>3</v>
      </c>
      <c r="DN247">
        <v>112</v>
      </c>
      <c r="DO247">
        <v>70</v>
      </c>
      <c r="DP247">
        <v>1.0469999999999999</v>
      </c>
      <c r="DQ247">
        <v>1</v>
      </c>
      <c r="DU247">
        <v>1013</v>
      </c>
      <c r="DV247" t="s">
        <v>229</v>
      </c>
      <c r="DW247" t="s">
        <v>229</v>
      </c>
      <c r="DX247">
        <v>1</v>
      </c>
      <c r="EE247">
        <v>42186371</v>
      </c>
      <c r="EF247">
        <v>40</v>
      </c>
      <c r="EG247" t="s">
        <v>39</v>
      </c>
      <c r="EH247">
        <v>0</v>
      </c>
      <c r="EI247" t="s">
        <v>3</v>
      </c>
      <c r="EJ247">
        <v>2</v>
      </c>
      <c r="EK247">
        <v>324</v>
      </c>
      <c r="EL247" t="s">
        <v>231</v>
      </c>
      <c r="EM247" t="s">
        <v>232</v>
      </c>
      <c r="EO247" t="s">
        <v>3</v>
      </c>
      <c r="EQ247">
        <v>0</v>
      </c>
      <c r="ER247">
        <v>214.42</v>
      </c>
      <c r="ES247">
        <v>6.86</v>
      </c>
      <c r="ET247">
        <v>0.42</v>
      </c>
      <c r="EU247">
        <v>0.1</v>
      </c>
      <c r="EV247">
        <v>207.14</v>
      </c>
      <c r="EW247">
        <v>16.8</v>
      </c>
      <c r="EX247">
        <v>0</v>
      </c>
      <c r="EY247">
        <v>0</v>
      </c>
      <c r="FQ247">
        <v>0</v>
      </c>
      <c r="FR247">
        <f>ROUND(IF(AND(BH247=3,BI247=3),P247,0),2)</f>
        <v>0</v>
      </c>
      <c r="FS247">
        <v>0</v>
      </c>
      <c r="FX247">
        <v>112</v>
      </c>
      <c r="FY247">
        <v>70</v>
      </c>
      <c r="GA247" t="s">
        <v>3</v>
      </c>
      <c r="GD247">
        <v>0</v>
      </c>
      <c r="GF247">
        <v>1416255630</v>
      </c>
      <c r="GG247">
        <v>2</v>
      </c>
      <c r="GH247">
        <v>1</v>
      </c>
      <c r="GI247">
        <v>2</v>
      </c>
      <c r="GJ247">
        <v>0</v>
      </c>
      <c r="GK247">
        <f>ROUND(R247*(R12)/100,2)</f>
        <v>6.33</v>
      </c>
      <c r="GL247">
        <f>ROUND(IF(AND(BH247=3,BI247=3,FS247&lt;&gt;0),P247,0),2)</f>
        <v>0</v>
      </c>
      <c r="GM247">
        <f>ROUND(O247+X247+Y247+GK247,2)+GX247</f>
        <v>19014.48</v>
      </c>
      <c r="GN247">
        <f>IF(OR(BI247=0,BI247=1),ROUND(O247+X247+Y247+GK247,2),0)</f>
        <v>0</v>
      </c>
      <c r="GO247">
        <f>IF(BI247=2,ROUND(O247+X247+Y247+GK247,2),0)</f>
        <v>19014.48</v>
      </c>
      <c r="GP247">
        <f>IF(BI247=4,ROUND(O247+X247+Y247+GK247,2)+GX247,0)</f>
        <v>0</v>
      </c>
      <c r="GR247">
        <v>0</v>
      </c>
      <c r="GS247">
        <v>3</v>
      </c>
      <c r="GT247">
        <v>0</v>
      </c>
      <c r="GU247" t="s">
        <v>3</v>
      </c>
      <c r="GV247">
        <f>ROUND(GT247,6)</f>
        <v>0</v>
      </c>
      <c r="GW247">
        <v>1</v>
      </c>
      <c r="GX247">
        <f>ROUND(GV247*GW247*I247,2)</f>
        <v>0</v>
      </c>
      <c r="HA247">
        <v>0</v>
      </c>
      <c r="HB247">
        <v>0</v>
      </c>
      <c r="IK247">
        <v>0</v>
      </c>
    </row>
    <row r="248" spans="1:245" x14ac:dyDescent="0.2">
      <c r="A248">
        <v>17</v>
      </c>
      <c r="B248">
        <v>1</v>
      </c>
      <c r="E248" t="s">
        <v>233</v>
      </c>
      <c r="F248" t="s">
        <v>234</v>
      </c>
      <c r="G248" t="s">
        <v>235</v>
      </c>
      <c r="H248" t="s">
        <v>236</v>
      </c>
      <c r="I248">
        <v>2</v>
      </c>
      <c r="J248">
        <v>0</v>
      </c>
      <c r="O248">
        <f>ROUND(CP248,2)</f>
        <v>7545.21</v>
      </c>
      <c r="P248">
        <f>ROUND(CQ248*I248,2)</f>
        <v>7545.21</v>
      </c>
      <c r="Q248">
        <f>ROUND(CR248*I248,2)</f>
        <v>0</v>
      </c>
      <c r="R248">
        <f>ROUND(CS248*I248,2)</f>
        <v>0</v>
      </c>
      <c r="S248">
        <f>ROUND(CT248*I248,2)</f>
        <v>0</v>
      </c>
      <c r="T248">
        <f>ROUND(CU248*I248,2)</f>
        <v>0</v>
      </c>
      <c r="U248">
        <f>CV248*I248</f>
        <v>0</v>
      </c>
      <c r="V248">
        <f>CW248*I248</f>
        <v>0</v>
      </c>
      <c r="W248">
        <f>ROUND(CX248*I248,2)</f>
        <v>0</v>
      </c>
      <c r="X248">
        <f t="shared" si="194"/>
        <v>0</v>
      </c>
      <c r="Y248">
        <f t="shared" si="194"/>
        <v>0</v>
      </c>
      <c r="AA248">
        <v>42446460</v>
      </c>
      <c r="AB248">
        <f>ROUND((AC248+AD248+AF248),6)</f>
        <v>857.41</v>
      </c>
      <c r="AC248">
        <f>ROUND((ES248),6)</f>
        <v>857.41</v>
      </c>
      <c r="AD248">
        <f>ROUND((((ET248)-(EU248))+AE248),6)</f>
        <v>0</v>
      </c>
      <c r="AE248">
        <f t="shared" si="195"/>
        <v>0</v>
      </c>
      <c r="AF248">
        <f t="shared" si="195"/>
        <v>0</v>
      </c>
      <c r="AG248">
        <f>ROUND((AP248),6)</f>
        <v>0</v>
      </c>
      <c r="AH248">
        <f t="shared" si="196"/>
        <v>0</v>
      </c>
      <c r="AI248">
        <f t="shared" si="196"/>
        <v>0</v>
      </c>
      <c r="AJ248">
        <f>ROUND((AS248),6)</f>
        <v>0</v>
      </c>
      <c r="AK248">
        <v>857.41</v>
      </c>
      <c r="AL248">
        <v>857.41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  <c r="AS248">
        <v>0</v>
      </c>
      <c r="AT248">
        <v>0</v>
      </c>
      <c r="AU248">
        <v>0</v>
      </c>
      <c r="AV248">
        <v>1</v>
      </c>
      <c r="AW248">
        <v>1</v>
      </c>
      <c r="AZ248">
        <v>1</v>
      </c>
      <c r="BA248">
        <v>1</v>
      </c>
      <c r="BB248">
        <v>1</v>
      </c>
      <c r="BC248">
        <v>4.4000000000000004</v>
      </c>
      <c r="BD248" t="s">
        <v>3</v>
      </c>
      <c r="BE248" t="s">
        <v>3</v>
      </c>
      <c r="BF248" t="s">
        <v>3</v>
      </c>
      <c r="BG248" t="s">
        <v>3</v>
      </c>
      <c r="BH248">
        <v>3</v>
      </c>
      <c r="BI248">
        <v>2</v>
      </c>
      <c r="BJ248" t="s">
        <v>237</v>
      </c>
      <c r="BM248">
        <v>1608</v>
      </c>
      <c r="BN248">
        <v>0</v>
      </c>
      <c r="BO248" t="s">
        <v>234</v>
      </c>
      <c r="BP248">
        <v>1</v>
      </c>
      <c r="BQ248">
        <v>40</v>
      </c>
      <c r="BR248">
        <v>0</v>
      </c>
      <c r="BS248">
        <v>1</v>
      </c>
      <c r="BT248">
        <v>1</v>
      </c>
      <c r="BU248">
        <v>1</v>
      </c>
      <c r="BV248">
        <v>1</v>
      </c>
      <c r="BW248">
        <v>1</v>
      </c>
      <c r="BX248">
        <v>1</v>
      </c>
      <c r="BY248" t="s">
        <v>3</v>
      </c>
      <c r="BZ248">
        <v>0</v>
      </c>
      <c r="CA248">
        <v>0</v>
      </c>
      <c r="CF248">
        <v>0</v>
      </c>
      <c r="CG248">
        <v>0</v>
      </c>
      <c r="CM248">
        <v>0</v>
      </c>
      <c r="CN248" t="s">
        <v>3</v>
      </c>
      <c r="CO248">
        <v>0</v>
      </c>
      <c r="CP248">
        <f>(P248+Q248+S248)</f>
        <v>7545.21</v>
      </c>
      <c r="CQ248">
        <f>(AC248*BC248*AW248)</f>
        <v>3772.6040000000003</v>
      </c>
      <c r="CR248">
        <f>((((ET248)*BB248-(EU248)*BS248)+AE248*BS248)*AV248)</f>
        <v>0</v>
      </c>
      <c r="CS248">
        <f>(AE248*BS248*AV248)</f>
        <v>0</v>
      </c>
      <c r="CT248">
        <f>(AF248*BA248*AV248)</f>
        <v>0</v>
      </c>
      <c r="CU248">
        <f>AG248</f>
        <v>0</v>
      </c>
      <c r="CV248">
        <f>(AH248*AV248)</f>
        <v>0</v>
      </c>
      <c r="CW248">
        <f t="shared" si="197"/>
        <v>0</v>
      </c>
      <c r="CX248">
        <f t="shared" si="197"/>
        <v>0</v>
      </c>
      <c r="CY248">
        <f>S248*(BZ248/100)</f>
        <v>0</v>
      </c>
      <c r="CZ248">
        <f>S248*(CA248/100)</f>
        <v>0</v>
      </c>
      <c r="DC248" t="s">
        <v>3</v>
      </c>
      <c r="DD248" t="s">
        <v>3</v>
      </c>
      <c r="DE248" t="s">
        <v>3</v>
      </c>
      <c r="DF248" t="s">
        <v>3</v>
      </c>
      <c r="DG248" t="s">
        <v>3</v>
      </c>
      <c r="DH248" t="s">
        <v>3</v>
      </c>
      <c r="DI248" t="s">
        <v>3</v>
      </c>
      <c r="DJ248" t="s">
        <v>3</v>
      </c>
      <c r="DK248" t="s">
        <v>3</v>
      </c>
      <c r="DL248" t="s">
        <v>3</v>
      </c>
      <c r="DM248" t="s">
        <v>3</v>
      </c>
      <c r="DN248">
        <v>112</v>
      </c>
      <c r="DO248">
        <v>70</v>
      </c>
      <c r="DP248">
        <v>1.0669999999999999</v>
      </c>
      <c r="DQ248">
        <v>1.081</v>
      </c>
      <c r="DU248">
        <v>1013</v>
      </c>
      <c r="DV248" t="s">
        <v>236</v>
      </c>
      <c r="DW248" t="s">
        <v>236</v>
      </c>
      <c r="DX248">
        <v>1</v>
      </c>
      <c r="EE248">
        <v>42187655</v>
      </c>
      <c r="EF248">
        <v>40</v>
      </c>
      <c r="EG248" t="s">
        <v>39</v>
      </c>
      <c r="EH248">
        <v>0</v>
      </c>
      <c r="EI248" t="s">
        <v>3</v>
      </c>
      <c r="EJ248">
        <v>2</v>
      </c>
      <c r="EK248">
        <v>1608</v>
      </c>
      <c r="EL248" t="s">
        <v>238</v>
      </c>
      <c r="EM248" t="s">
        <v>239</v>
      </c>
      <c r="EO248" t="s">
        <v>3</v>
      </c>
      <c r="EQ248">
        <v>0</v>
      </c>
      <c r="ER248">
        <v>857.41</v>
      </c>
      <c r="ES248">
        <v>857.41</v>
      </c>
      <c r="ET248">
        <v>0</v>
      </c>
      <c r="EU248">
        <v>0</v>
      </c>
      <c r="EV248">
        <v>0</v>
      </c>
      <c r="EW248">
        <v>0</v>
      </c>
      <c r="EX248">
        <v>0</v>
      </c>
      <c r="EY248">
        <v>0</v>
      </c>
      <c r="FQ248">
        <v>0</v>
      </c>
      <c r="FR248">
        <f>ROUND(IF(AND(BH248=3,BI248=3),P248,0),2)</f>
        <v>0</v>
      </c>
      <c r="FS248">
        <v>0</v>
      </c>
      <c r="FX248">
        <v>112</v>
      </c>
      <c r="FY248">
        <v>70</v>
      </c>
      <c r="GA248" t="s">
        <v>3</v>
      </c>
      <c r="GD248">
        <v>0</v>
      </c>
      <c r="GF248">
        <v>609190083</v>
      </c>
      <c r="GG248">
        <v>2</v>
      </c>
      <c r="GH248">
        <v>1</v>
      </c>
      <c r="GI248">
        <v>2</v>
      </c>
      <c r="GJ248">
        <v>0</v>
      </c>
      <c r="GK248">
        <f>ROUND(R248*(R12)/100,2)</f>
        <v>0</v>
      </c>
      <c r="GL248">
        <f>ROUND(IF(AND(BH248=3,BI248=3,FS248&lt;&gt;0),P248,0),2)</f>
        <v>0</v>
      </c>
      <c r="GM248">
        <f>ROUND(O248+X248+Y248+GK248,2)+GX248</f>
        <v>7545.21</v>
      </c>
      <c r="GN248">
        <f>IF(OR(BI248=0,BI248=1),ROUND(O248+X248+Y248+GK248,2),0)</f>
        <v>0</v>
      </c>
      <c r="GO248">
        <f>IF(BI248=2,ROUND(O248+X248+Y248+GK248,2),0)</f>
        <v>7545.21</v>
      </c>
      <c r="GP248">
        <f>IF(BI248=4,ROUND(O248+X248+Y248+GK248,2)+GX248,0)</f>
        <v>0</v>
      </c>
      <c r="GR248">
        <v>0</v>
      </c>
      <c r="GS248">
        <v>3</v>
      </c>
      <c r="GT248">
        <v>0</v>
      </c>
      <c r="GU248" t="s">
        <v>3</v>
      </c>
      <c r="GV248">
        <f>ROUND(GT248,6)</f>
        <v>0</v>
      </c>
      <c r="GW248">
        <v>1</v>
      </c>
      <c r="GX248">
        <f>ROUND(GV248*GW248*I248,2)</f>
        <v>0</v>
      </c>
      <c r="HA248">
        <v>0</v>
      </c>
      <c r="HB248">
        <v>0</v>
      </c>
      <c r="IK248">
        <v>0</v>
      </c>
    </row>
    <row r="249" spans="1:245" x14ac:dyDescent="0.2">
      <c r="A249">
        <v>17</v>
      </c>
      <c r="B249">
        <v>1</v>
      </c>
      <c r="C249">
        <f>ROW(SmtRes!A49)</f>
        <v>49</v>
      </c>
      <c r="D249">
        <f>ROW(EtalonRes!A52)</f>
        <v>52</v>
      </c>
      <c r="E249" t="s">
        <v>240</v>
      </c>
      <c r="F249" t="s">
        <v>241</v>
      </c>
      <c r="G249" t="s">
        <v>242</v>
      </c>
      <c r="H249" t="s">
        <v>229</v>
      </c>
      <c r="I249">
        <v>8</v>
      </c>
      <c r="J249">
        <v>0</v>
      </c>
      <c r="O249">
        <f>ROUND(CP249,2)</f>
        <v>20844.16</v>
      </c>
      <c r="P249">
        <f>ROUND(CQ249*I249,2)</f>
        <v>252.69</v>
      </c>
      <c r="Q249">
        <f>ROUND(CR249*I249,2)</f>
        <v>17.84</v>
      </c>
      <c r="R249">
        <f>ROUND(CS249*I249,2)</f>
        <v>9.1</v>
      </c>
      <c r="S249">
        <f>ROUND(CT249*I249,2)</f>
        <v>20573.63</v>
      </c>
      <c r="T249">
        <f>ROUND(CU249*I249,2)</f>
        <v>0</v>
      </c>
      <c r="U249">
        <f>CV249*I249</f>
        <v>92.135999999999996</v>
      </c>
      <c r="V249">
        <f>CW249*I249</f>
        <v>0</v>
      </c>
      <c r="W249">
        <f>ROUND(CX249*I249,2)</f>
        <v>0</v>
      </c>
      <c r="X249">
        <f t="shared" si="194"/>
        <v>19544.95</v>
      </c>
      <c r="Y249">
        <f t="shared" si="194"/>
        <v>9463.8700000000008</v>
      </c>
      <c r="AA249">
        <v>42446460</v>
      </c>
      <c r="AB249">
        <f>ROUND((AC249+AD249+AF249),6)</f>
        <v>142.11000000000001</v>
      </c>
      <c r="AC249">
        <f>ROUND((ES249),6)</f>
        <v>6.23</v>
      </c>
      <c r="AD249">
        <f>ROUND((((ET249)-(EU249))+AE249),6)</f>
        <v>0.25</v>
      </c>
      <c r="AE249">
        <f t="shared" si="195"/>
        <v>0.06</v>
      </c>
      <c r="AF249">
        <f t="shared" si="195"/>
        <v>135.63</v>
      </c>
      <c r="AG249">
        <f>ROUND((AP249),6)</f>
        <v>0</v>
      </c>
      <c r="AH249">
        <f t="shared" si="196"/>
        <v>11</v>
      </c>
      <c r="AI249">
        <f t="shared" si="196"/>
        <v>0</v>
      </c>
      <c r="AJ249">
        <f>ROUND((AS249),6)</f>
        <v>0</v>
      </c>
      <c r="AK249">
        <v>142.11000000000001</v>
      </c>
      <c r="AL249">
        <v>6.23</v>
      </c>
      <c r="AM249">
        <v>0.25</v>
      </c>
      <c r="AN249">
        <v>0.06</v>
      </c>
      <c r="AO249">
        <v>135.63</v>
      </c>
      <c r="AP249">
        <v>0</v>
      </c>
      <c r="AQ249">
        <v>11</v>
      </c>
      <c r="AR249">
        <v>0</v>
      </c>
      <c r="AS249">
        <v>0</v>
      </c>
      <c r="AT249">
        <v>95</v>
      </c>
      <c r="AU249">
        <v>46</v>
      </c>
      <c r="AV249">
        <v>1.0469999999999999</v>
      </c>
      <c r="AW249">
        <v>1</v>
      </c>
      <c r="AZ249">
        <v>1</v>
      </c>
      <c r="BA249">
        <v>18.11</v>
      </c>
      <c r="BB249">
        <v>8.52</v>
      </c>
      <c r="BC249">
        <v>5.07</v>
      </c>
      <c r="BD249" t="s">
        <v>3</v>
      </c>
      <c r="BE249" t="s">
        <v>3</v>
      </c>
      <c r="BF249" t="s">
        <v>3</v>
      </c>
      <c r="BG249" t="s">
        <v>3</v>
      </c>
      <c r="BH249">
        <v>0</v>
      </c>
      <c r="BI249">
        <v>2</v>
      </c>
      <c r="BJ249" t="s">
        <v>243</v>
      </c>
      <c r="BM249">
        <v>324</v>
      </c>
      <c r="BN249">
        <v>0</v>
      </c>
      <c r="BO249" t="s">
        <v>241</v>
      </c>
      <c r="BP249">
        <v>1</v>
      </c>
      <c r="BQ249">
        <v>40</v>
      </c>
      <c r="BR249">
        <v>0</v>
      </c>
      <c r="BS249">
        <v>18.11</v>
      </c>
      <c r="BT249">
        <v>1</v>
      </c>
      <c r="BU249">
        <v>1</v>
      </c>
      <c r="BV249">
        <v>1</v>
      </c>
      <c r="BW249">
        <v>1</v>
      </c>
      <c r="BX249">
        <v>1</v>
      </c>
      <c r="BY249" t="s">
        <v>3</v>
      </c>
      <c r="BZ249">
        <v>95</v>
      </c>
      <c r="CA249">
        <v>46</v>
      </c>
      <c r="CF249">
        <v>0</v>
      </c>
      <c r="CG249">
        <v>0</v>
      </c>
      <c r="CM249">
        <v>0</v>
      </c>
      <c r="CN249" t="s">
        <v>3</v>
      </c>
      <c r="CO249">
        <v>0</v>
      </c>
      <c r="CP249">
        <f>(P249+Q249+S249)</f>
        <v>20844.16</v>
      </c>
      <c r="CQ249">
        <f>(AC249*BC249*AW249)</f>
        <v>31.586100000000005</v>
      </c>
      <c r="CR249">
        <f>((((ET249)*BB249-(EU249)*BS249)+AE249*BS249)*AV249)</f>
        <v>2.2301099999999998</v>
      </c>
      <c r="CS249">
        <f>(AE249*BS249*AV249)</f>
        <v>1.1376701999999999</v>
      </c>
      <c r="CT249">
        <f>(AF249*BA249*AV249)</f>
        <v>2571.7034870999996</v>
      </c>
      <c r="CU249">
        <f>AG249</f>
        <v>0</v>
      </c>
      <c r="CV249">
        <f>(AH249*AV249)</f>
        <v>11.516999999999999</v>
      </c>
      <c r="CW249">
        <f t="shared" si="197"/>
        <v>0</v>
      </c>
      <c r="CX249">
        <f t="shared" si="197"/>
        <v>0</v>
      </c>
      <c r="CY249">
        <f>S249*(BZ249/100)</f>
        <v>19544.948499999999</v>
      </c>
      <c r="CZ249">
        <f>S249*(CA249/100)</f>
        <v>9463.8698000000004</v>
      </c>
      <c r="DC249" t="s">
        <v>3</v>
      </c>
      <c r="DD249" t="s">
        <v>3</v>
      </c>
      <c r="DE249" t="s">
        <v>3</v>
      </c>
      <c r="DF249" t="s">
        <v>3</v>
      </c>
      <c r="DG249" t="s">
        <v>3</v>
      </c>
      <c r="DH249" t="s">
        <v>3</v>
      </c>
      <c r="DI249" t="s">
        <v>3</v>
      </c>
      <c r="DJ249" t="s">
        <v>3</v>
      </c>
      <c r="DK249" t="s">
        <v>3</v>
      </c>
      <c r="DL249" t="s">
        <v>3</v>
      </c>
      <c r="DM249" t="s">
        <v>3</v>
      </c>
      <c r="DN249">
        <v>112</v>
      </c>
      <c r="DO249">
        <v>70</v>
      </c>
      <c r="DP249">
        <v>1.0469999999999999</v>
      </c>
      <c r="DQ249">
        <v>1</v>
      </c>
      <c r="DU249">
        <v>1013</v>
      </c>
      <c r="DV249" t="s">
        <v>229</v>
      </c>
      <c r="DW249" t="s">
        <v>229</v>
      </c>
      <c r="DX249">
        <v>1</v>
      </c>
      <c r="EE249">
        <v>42186371</v>
      </c>
      <c r="EF249">
        <v>40</v>
      </c>
      <c r="EG249" t="s">
        <v>39</v>
      </c>
      <c r="EH249">
        <v>0</v>
      </c>
      <c r="EI249" t="s">
        <v>3</v>
      </c>
      <c r="EJ249">
        <v>2</v>
      </c>
      <c r="EK249">
        <v>324</v>
      </c>
      <c r="EL249" t="s">
        <v>231</v>
      </c>
      <c r="EM249" t="s">
        <v>232</v>
      </c>
      <c r="EO249" t="s">
        <v>3</v>
      </c>
      <c r="EQ249">
        <v>0</v>
      </c>
      <c r="ER249">
        <v>142.11000000000001</v>
      </c>
      <c r="ES249">
        <v>6.23</v>
      </c>
      <c r="ET249">
        <v>0.25</v>
      </c>
      <c r="EU249">
        <v>0.06</v>
      </c>
      <c r="EV249">
        <v>135.63</v>
      </c>
      <c r="EW249">
        <v>11</v>
      </c>
      <c r="EX249">
        <v>0</v>
      </c>
      <c r="EY249">
        <v>0</v>
      </c>
      <c r="FQ249">
        <v>0</v>
      </c>
      <c r="FR249">
        <f>ROUND(IF(AND(BH249=3,BI249=3),P249,0),2)</f>
        <v>0</v>
      </c>
      <c r="FS249">
        <v>0</v>
      </c>
      <c r="FX249">
        <v>112</v>
      </c>
      <c r="FY249">
        <v>70</v>
      </c>
      <c r="GA249" t="s">
        <v>3</v>
      </c>
      <c r="GD249">
        <v>0</v>
      </c>
      <c r="GF249">
        <v>75449539</v>
      </c>
      <c r="GG249">
        <v>2</v>
      </c>
      <c r="GH249">
        <v>1</v>
      </c>
      <c r="GI249">
        <v>2</v>
      </c>
      <c r="GJ249">
        <v>0</v>
      </c>
      <c r="GK249">
        <f>ROUND(R249*(R12)/100,2)</f>
        <v>15.2</v>
      </c>
      <c r="GL249">
        <f>ROUND(IF(AND(BH249=3,BI249=3,FS249&lt;&gt;0),P249,0),2)</f>
        <v>0</v>
      </c>
      <c r="GM249">
        <f>ROUND(O249+X249+Y249+GK249,2)+GX249</f>
        <v>49868.18</v>
      </c>
      <c r="GN249">
        <f>IF(OR(BI249=0,BI249=1),ROUND(O249+X249+Y249+GK249,2),0)</f>
        <v>0</v>
      </c>
      <c r="GO249">
        <f>IF(BI249=2,ROUND(O249+X249+Y249+GK249,2),0)</f>
        <v>49868.18</v>
      </c>
      <c r="GP249">
        <f>IF(BI249=4,ROUND(O249+X249+Y249+GK249,2)+GX249,0)</f>
        <v>0</v>
      </c>
      <c r="GR249">
        <v>0</v>
      </c>
      <c r="GS249">
        <v>3</v>
      </c>
      <c r="GT249">
        <v>0</v>
      </c>
      <c r="GU249" t="s">
        <v>3</v>
      </c>
      <c r="GV249">
        <f>ROUND(GT249,6)</f>
        <v>0</v>
      </c>
      <c r="GW249">
        <v>1</v>
      </c>
      <c r="GX249">
        <f>ROUND(GV249*GW249*I249,2)</f>
        <v>0</v>
      </c>
      <c r="HA249">
        <v>0</v>
      </c>
      <c r="HB249">
        <v>0</v>
      </c>
      <c r="IK249">
        <v>0</v>
      </c>
    </row>
    <row r="250" spans="1:245" x14ac:dyDescent="0.2">
      <c r="A250">
        <v>17</v>
      </c>
      <c r="B250">
        <v>1</v>
      </c>
      <c r="E250" t="s">
        <v>244</v>
      </c>
      <c r="F250" t="s">
        <v>245</v>
      </c>
      <c r="G250" t="s">
        <v>246</v>
      </c>
      <c r="H250" t="s">
        <v>236</v>
      </c>
      <c r="I250">
        <v>8</v>
      </c>
      <c r="J250">
        <v>0</v>
      </c>
      <c r="O250">
        <f>ROUND(CP250,2)</f>
        <v>22045.1</v>
      </c>
      <c r="P250">
        <f>ROUND(CQ250*I250,2)</f>
        <v>22045.1</v>
      </c>
      <c r="Q250">
        <f>ROUND(CR250*I250,2)</f>
        <v>0</v>
      </c>
      <c r="R250">
        <f>ROUND(CS250*I250,2)</f>
        <v>0</v>
      </c>
      <c r="S250">
        <f>ROUND(CT250*I250,2)</f>
        <v>0</v>
      </c>
      <c r="T250">
        <f>ROUND(CU250*I250,2)</f>
        <v>0</v>
      </c>
      <c r="U250">
        <f>CV250*I250</f>
        <v>0</v>
      </c>
      <c r="V250">
        <f>CW250*I250</f>
        <v>0</v>
      </c>
      <c r="W250">
        <f>ROUND(CX250*I250,2)</f>
        <v>0</v>
      </c>
      <c r="X250">
        <f t="shared" si="194"/>
        <v>0</v>
      </c>
      <c r="Y250">
        <f t="shared" si="194"/>
        <v>0</v>
      </c>
      <c r="AA250">
        <v>42446460</v>
      </c>
      <c r="AB250">
        <f>ROUND((AC250+AD250+AF250),6)</f>
        <v>673.75</v>
      </c>
      <c r="AC250">
        <f>ROUND((ES250),6)</f>
        <v>673.75</v>
      </c>
      <c r="AD250">
        <f>ROUND((((ET250)-(EU250))+AE250),6)</f>
        <v>0</v>
      </c>
      <c r="AE250">
        <f t="shared" si="195"/>
        <v>0</v>
      </c>
      <c r="AF250">
        <f t="shared" si="195"/>
        <v>0</v>
      </c>
      <c r="AG250">
        <f>ROUND((AP250),6)</f>
        <v>0</v>
      </c>
      <c r="AH250">
        <f t="shared" si="196"/>
        <v>0</v>
      </c>
      <c r="AI250">
        <f t="shared" si="196"/>
        <v>0</v>
      </c>
      <c r="AJ250">
        <f>ROUND((AS250),6)</f>
        <v>0</v>
      </c>
      <c r="AK250">
        <v>673.75</v>
      </c>
      <c r="AL250">
        <v>673.75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  <c r="AS250">
        <v>0</v>
      </c>
      <c r="AT250">
        <v>0</v>
      </c>
      <c r="AU250">
        <v>0</v>
      </c>
      <c r="AV250">
        <v>1</v>
      </c>
      <c r="AW250">
        <v>1</v>
      </c>
      <c r="AZ250">
        <v>1</v>
      </c>
      <c r="BA250">
        <v>1</v>
      </c>
      <c r="BB250">
        <v>1</v>
      </c>
      <c r="BC250">
        <v>4.09</v>
      </c>
      <c r="BD250" t="s">
        <v>3</v>
      </c>
      <c r="BE250" t="s">
        <v>3</v>
      </c>
      <c r="BF250" t="s">
        <v>3</v>
      </c>
      <c r="BG250" t="s">
        <v>3</v>
      </c>
      <c r="BH250">
        <v>3</v>
      </c>
      <c r="BI250">
        <v>2</v>
      </c>
      <c r="BJ250" t="s">
        <v>247</v>
      </c>
      <c r="BM250">
        <v>323</v>
      </c>
      <c r="BN250">
        <v>0</v>
      </c>
      <c r="BO250" t="s">
        <v>245</v>
      </c>
      <c r="BP250">
        <v>1</v>
      </c>
      <c r="BQ250">
        <v>40</v>
      </c>
      <c r="BR250">
        <v>0</v>
      </c>
      <c r="BS250">
        <v>1</v>
      </c>
      <c r="BT250">
        <v>1</v>
      </c>
      <c r="BU250">
        <v>1</v>
      </c>
      <c r="BV250">
        <v>1</v>
      </c>
      <c r="BW250">
        <v>1</v>
      </c>
      <c r="BX250">
        <v>1</v>
      </c>
      <c r="BY250" t="s">
        <v>3</v>
      </c>
      <c r="BZ250">
        <v>0</v>
      </c>
      <c r="CA250">
        <v>0</v>
      </c>
      <c r="CF250">
        <v>0</v>
      </c>
      <c r="CG250">
        <v>0</v>
      </c>
      <c r="CM250">
        <v>0</v>
      </c>
      <c r="CN250" t="s">
        <v>3</v>
      </c>
      <c r="CO250">
        <v>0</v>
      </c>
      <c r="CP250">
        <f>(P250+Q250+S250)</f>
        <v>22045.1</v>
      </c>
      <c r="CQ250">
        <f>(AC250*BC250*AW250)</f>
        <v>2755.6374999999998</v>
      </c>
      <c r="CR250">
        <f>((((ET250)*BB250-(EU250)*BS250)+AE250*BS250)*AV250)</f>
        <v>0</v>
      </c>
      <c r="CS250">
        <f>(AE250*BS250*AV250)</f>
        <v>0</v>
      </c>
      <c r="CT250">
        <f>(AF250*BA250*AV250)</f>
        <v>0</v>
      </c>
      <c r="CU250">
        <f>AG250</f>
        <v>0</v>
      </c>
      <c r="CV250">
        <f>(AH250*AV250)</f>
        <v>0</v>
      </c>
      <c r="CW250">
        <f t="shared" si="197"/>
        <v>0</v>
      </c>
      <c r="CX250">
        <f t="shared" si="197"/>
        <v>0</v>
      </c>
      <c r="CY250">
        <f>S250*(BZ250/100)</f>
        <v>0</v>
      </c>
      <c r="CZ250">
        <f>S250*(CA250/100)</f>
        <v>0</v>
      </c>
      <c r="DC250" t="s">
        <v>3</v>
      </c>
      <c r="DD250" t="s">
        <v>3</v>
      </c>
      <c r="DE250" t="s">
        <v>3</v>
      </c>
      <c r="DF250" t="s">
        <v>3</v>
      </c>
      <c r="DG250" t="s">
        <v>3</v>
      </c>
      <c r="DH250" t="s">
        <v>3</v>
      </c>
      <c r="DI250" t="s">
        <v>3</v>
      </c>
      <c r="DJ250" t="s">
        <v>3</v>
      </c>
      <c r="DK250" t="s">
        <v>3</v>
      </c>
      <c r="DL250" t="s">
        <v>3</v>
      </c>
      <c r="DM250" t="s">
        <v>3</v>
      </c>
      <c r="DN250">
        <v>112</v>
      </c>
      <c r="DO250">
        <v>70</v>
      </c>
      <c r="DP250">
        <v>1.0669999999999999</v>
      </c>
      <c r="DQ250">
        <v>1.081</v>
      </c>
      <c r="DU250">
        <v>1013</v>
      </c>
      <c r="DV250" t="s">
        <v>236</v>
      </c>
      <c r="DW250" t="s">
        <v>236</v>
      </c>
      <c r="DX250">
        <v>1</v>
      </c>
      <c r="EE250">
        <v>42186370</v>
      </c>
      <c r="EF250">
        <v>40</v>
      </c>
      <c r="EG250" t="s">
        <v>39</v>
      </c>
      <c r="EH250">
        <v>0</v>
      </c>
      <c r="EI250" t="s">
        <v>3</v>
      </c>
      <c r="EJ250">
        <v>2</v>
      </c>
      <c r="EK250">
        <v>323</v>
      </c>
      <c r="EL250" t="s">
        <v>248</v>
      </c>
      <c r="EM250" t="s">
        <v>249</v>
      </c>
      <c r="EO250" t="s">
        <v>3</v>
      </c>
      <c r="EQ250">
        <v>0</v>
      </c>
      <c r="ER250">
        <v>673.75</v>
      </c>
      <c r="ES250">
        <v>673.75</v>
      </c>
      <c r="ET250">
        <v>0</v>
      </c>
      <c r="EU250">
        <v>0</v>
      </c>
      <c r="EV250">
        <v>0</v>
      </c>
      <c r="EW250">
        <v>0</v>
      </c>
      <c r="EX250">
        <v>0</v>
      </c>
      <c r="EY250">
        <v>0</v>
      </c>
      <c r="FQ250">
        <v>0</v>
      </c>
      <c r="FR250">
        <f>ROUND(IF(AND(BH250=3,BI250=3),P250,0),2)</f>
        <v>0</v>
      </c>
      <c r="FS250">
        <v>0</v>
      </c>
      <c r="FX250">
        <v>112</v>
      </c>
      <c r="FY250">
        <v>70</v>
      </c>
      <c r="GA250" t="s">
        <v>3</v>
      </c>
      <c r="GD250">
        <v>0</v>
      </c>
      <c r="GF250">
        <v>-1137745060</v>
      </c>
      <c r="GG250">
        <v>2</v>
      </c>
      <c r="GH250">
        <v>0</v>
      </c>
      <c r="GI250">
        <v>0</v>
      </c>
      <c r="GJ250">
        <v>0</v>
      </c>
      <c r="GK250">
        <f>ROUND(R250*(R12)/100,2)</f>
        <v>0</v>
      </c>
      <c r="GL250">
        <f>ROUND(IF(AND(BH250=3,BI250=3,FS250&lt;&gt;0),P250,0),2)</f>
        <v>0</v>
      </c>
      <c r="GM250">
        <f>ROUND(O250+X250+Y250+GK250,2)+GX250</f>
        <v>22045.1</v>
      </c>
      <c r="GN250">
        <f>IF(OR(BI250=0,BI250=1),ROUND(O250+X250+Y250+GK250,2),0)</f>
        <v>0</v>
      </c>
      <c r="GO250">
        <f>IF(BI250=2,ROUND(O250+X250+Y250+GK250,2),0)</f>
        <v>22045.1</v>
      </c>
      <c r="GP250">
        <f>IF(BI250=4,ROUND(O250+X250+Y250+GK250,2)+GX250,0)</f>
        <v>0</v>
      </c>
      <c r="GR250">
        <v>0</v>
      </c>
      <c r="GS250">
        <v>0</v>
      </c>
      <c r="GT250">
        <v>0</v>
      </c>
      <c r="GU250" t="s">
        <v>3</v>
      </c>
      <c r="GV250">
        <f>ROUND(GT250,6)</f>
        <v>0</v>
      </c>
      <c r="GW250">
        <v>1</v>
      </c>
      <c r="GX250">
        <f>ROUND(GV250*GW250*I250,2)</f>
        <v>0</v>
      </c>
      <c r="HA250">
        <v>0</v>
      </c>
      <c r="HB250">
        <v>0</v>
      </c>
      <c r="IK250">
        <v>0</v>
      </c>
    </row>
    <row r="252" spans="1:245" x14ac:dyDescent="0.2">
      <c r="A252" s="2">
        <v>51</v>
      </c>
      <c r="B252" s="2">
        <f>B243</f>
        <v>1</v>
      </c>
      <c r="C252" s="2">
        <f>A243</f>
        <v>5</v>
      </c>
      <c r="D252" s="2">
        <f>ROW(A243)</f>
        <v>243</v>
      </c>
      <c r="E252" s="2"/>
      <c r="F252" s="2" t="str">
        <f>IF(F243&lt;&gt;"",F243,"")</f>
        <v>Новый подраздел</v>
      </c>
      <c r="G252" s="2" t="str">
        <f>IF(G243&lt;&gt;"",G243,"")</f>
        <v>2.2</v>
      </c>
      <c r="H252" s="2">
        <v>0</v>
      </c>
      <c r="I252" s="2"/>
      <c r="J252" s="2"/>
      <c r="K252" s="2"/>
      <c r="L252" s="2"/>
      <c r="M252" s="2"/>
      <c r="N252" s="2"/>
      <c r="O252" s="2">
        <f t="shared" ref="O252:T252" si="198">ROUND(AB252,2)</f>
        <v>58366.74</v>
      </c>
      <c r="P252" s="2">
        <f t="shared" si="198"/>
        <v>29912.560000000001</v>
      </c>
      <c r="Q252" s="2">
        <f t="shared" si="198"/>
        <v>25.32</v>
      </c>
      <c r="R252" s="2">
        <f t="shared" si="198"/>
        <v>12.89</v>
      </c>
      <c r="S252" s="2">
        <f t="shared" si="198"/>
        <v>28428.86</v>
      </c>
      <c r="T252" s="2">
        <f t="shared" si="198"/>
        <v>0</v>
      </c>
      <c r="U252" s="2">
        <f>AH252</f>
        <v>127.3152</v>
      </c>
      <c r="V252" s="2">
        <f>AI252</f>
        <v>0</v>
      </c>
      <c r="W252" s="2">
        <f>ROUND(AJ252,2)</f>
        <v>0</v>
      </c>
      <c r="X252" s="2">
        <f>ROUND(AK252,2)</f>
        <v>27007.42</v>
      </c>
      <c r="Y252" s="2">
        <f>ROUND(AL252,2)</f>
        <v>13077.28</v>
      </c>
      <c r="Z252" s="2"/>
      <c r="AA252" s="2"/>
      <c r="AB252" s="2">
        <f>ROUND(SUMIF(AA247:AA250,"=42446460",O247:O250),2)</f>
        <v>58366.74</v>
      </c>
      <c r="AC252" s="2">
        <f>ROUND(SUMIF(AA247:AA250,"=42446460",P247:P250),2)</f>
        <v>29912.560000000001</v>
      </c>
      <c r="AD252" s="2">
        <f>ROUND(SUMIF(AA247:AA250,"=42446460",Q247:Q250),2)</f>
        <v>25.32</v>
      </c>
      <c r="AE252" s="2">
        <f>ROUND(SUMIF(AA247:AA250,"=42446460",R247:R250),2)</f>
        <v>12.89</v>
      </c>
      <c r="AF252" s="2">
        <f>ROUND(SUMIF(AA247:AA250,"=42446460",S247:S250),2)</f>
        <v>28428.86</v>
      </c>
      <c r="AG252" s="2">
        <f>ROUND(SUMIF(AA247:AA250,"=42446460",T247:T250),2)</f>
        <v>0</v>
      </c>
      <c r="AH252" s="2">
        <f>SUMIF(AA247:AA250,"=42446460",U247:U250)</f>
        <v>127.3152</v>
      </c>
      <c r="AI252" s="2">
        <f>SUMIF(AA247:AA250,"=42446460",V247:V250)</f>
        <v>0</v>
      </c>
      <c r="AJ252" s="2">
        <f>ROUND(SUMIF(AA247:AA250,"=42446460",W247:W250),2)</f>
        <v>0</v>
      </c>
      <c r="AK252" s="2">
        <f>ROUND(SUMIF(AA247:AA250,"=42446460",X247:X250),2)</f>
        <v>27007.42</v>
      </c>
      <c r="AL252" s="2">
        <f>ROUND(SUMIF(AA247:AA250,"=42446460",Y247:Y250),2)</f>
        <v>13077.28</v>
      </c>
      <c r="AM252" s="2"/>
      <c r="AN252" s="2"/>
      <c r="AO252" s="2">
        <f t="shared" ref="AO252:BC252" si="199">ROUND(BX252,2)</f>
        <v>0</v>
      </c>
      <c r="AP252" s="2">
        <f t="shared" si="199"/>
        <v>0</v>
      </c>
      <c r="AQ252" s="2">
        <f t="shared" si="199"/>
        <v>0</v>
      </c>
      <c r="AR252" s="2">
        <f t="shared" si="199"/>
        <v>98472.97</v>
      </c>
      <c r="AS252" s="2">
        <f t="shared" si="199"/>
        <v>0</v>
      </c>
      <c r="AT252" s="2">
        <f t="shared" si="199"/>
        <v>98472.97</v>
      </c>
      <c r="AU252" s="2">
        <f t="shared" si="199"/>
        <v>0</v>
      </c>
      <c r="AV252" s="2">
        <f t="shared" si="199"/>
        <v>29912.560000000001</v>
      </c>
      <c r="AW252" s="2">
        <f t="shared" si="199"/>
        <v>29912.560000000001</v>
      </c>
      <c r="AX252" s="2">
        <f t="shared" si="199"/>
        <v>0</v>
      </c>
      <c r="AY252" s="2">
        <f t="shared" si="199"/>
        <v>29912.560000000001</v>
      </c>
      <c r="AZ252" s="2">
        <f t="shared" si="199"/>
        <v>0</v>
      </c>
      <c r="BA252" s="2">
        <f t="shared" si="199"/>
        <v>0</v>
      </c>
      <c r="BB252" s="2">
        <f t="shared" si="199"/>
        <v>0</v>
      </c>
      <c r="BC252" s="2">
        <f t="shared" si="199"/>
        <v>0</v>
      </c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>
        <f>ROUND(SUMIF(AA247:AA250,"=42446460",FQ247:FQ250),2)</f>
        <v>0</v>
      </c>
      <c r="BY252" s="2">
        <f>ROUND(SUMIF(AA247:AA250,"=42446460",FR247:FR250),2)</f>
        <v>0</v>
      </c>
      <c r="BZ252" s="2">
        <f>ROUND(SUMIF(AA247:AA250,"=42446460",GL247:GL250),2)</f>
        <v>0</v>
      </c>
      <c r="CA252" s="2">
        <f>ROUND(SUMIF(AA247:AA250,"=42446460",GM247:GM250),2)</f>
        <v>98472.97</v>
      </c>
      <c r="CB252" s="2">
        <f>ROUND(SUMIF(AA247:AA250,"=42446460",GN247:GN250),2)</f>
        <v>0</v>
      </c>
      <c r="CC252" s="2">
        <f>ROUND(SUMIF(AA247:AA250,"=42446460",GO247:GO250),2)</f>
        <v>98472.97</v>
      </c>
      <c r="CD252" s="2">
        <f>ROUND(SUMIF(AA247:AA250,"=42446460",GP247:GP250),2)</f>
        <v>0</v>
      </c>
      <c r="CE252" s="2">
        <f>AC252-BX252</f>
        <v>29912.560000000001</v>
      </c>
      <c r="CF252" s="2">
        <f>AC252-BY252</f>
        <v>29912.560000000001</v>
      </c>
      <c r="CG252" s="2">
        <f>BX252-BZ252</f>
        <v>0</v>
      </c>
      <c r="CH252" s="2">
        <f>AC252-BX252-BY252+BZ252</f>
        <v>29912.560000000001</v>
      </c>
      <c r="CI252" s="2">
        <f>BY252-BZ252</f>
        <v>0</v>
      </c>
      <c r="CJ252" s="2">
        <f>ROUND(SUMIF(AA247:AA250,"=42446460",GX247:GX250),2)</f>
        <v>0</v>
      </c>
      <c r="CK252" s="2">
        <f>ROUND(SUMIF(AA247:AA250,"=42446460",GY247:GY250),2)</f>
        <v>0</v>
      </c>
      <c r="CL252" s="2">
        <f>ROUND(SUMIF(AA247:AA250,"=42446460",GZ247:GZ250),2)</f>
        <v>0</v>
      </c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  <c r="FS252" s="3"/>
      <c r="FT252" s="3"/>
      <c r="FU252" s="3"/>
      <c r="FV252" s="3"/>
      <c r="FW252" s="3"/>
      <c r="FX252" s="3"/>
      <c r="FY252" s="3"/>
      <c r="FZ252" s="3"/>
      <c r="GA252" s="3"/>
      <c r="GB252" s="3"/>
      <c r="GC252" s="3"/>
      <c r="GD252" s="3"/>
      <c r="GE252" s="3"/>
      <c r="GF252" s="3"/>
      <c r="GG252" s="3"/>
      <c r="GH252" s="3"/>
      <c r="GI252" s="3"/>
      <c r="GJ252" s="3"/>
      <c r="GK252" s="3"/>
      <c r="GL252" s="3"/>
      <c r="GM252" s="3"/>
      <c r="GN252" s="3"/>
      <c r="GO252" s="3"/>
      <c r="GP252" s="3"/>
      <c r="GQ252" s="3"/>
      <c r="GR252" s="3"/>
      <c r="GS252" s="3"/>
      <c r="GT252" s="3"/>
      <c r="GU252" s="3"/>
      <c r="GV252" s="3"/>
      <c r="GW252" s="3"/>
      <c r="GX252" s="3">
        <v>0</v>
      </c>
    </row>
    <row r="254" spans="1:245" x14ac:dyDescent="0.2">
      <c r="A254" s="4">
        <v>50</v>
      </c>
      <c r="B254" s="4">
        <v>0</v>
      </c>
      <c r="C254" s="4">
        <v>0</v>
      </c>
      <c r="D254" s="4">
        <v>1</v>
      </c>
      <c r="E254" s="4">
        <v>201</v>
      </c>
      <c r="F254" s="4">
        <f>ROUND(Source!O252,O254)</f>
        <v>58366.74</v>
      </c>
      <c r="G254" s="4" t="s">
        <v>74</v>
      </c>
      <c r="H254" s="4" t="s">
        <v>75</v>
      </c>
      <c r="I254" s="4"/>
      <c r="J254" s="4"/>
      <c r="K254" s="4">
        <v>201</v>
      </c>
      <c r="L254" s="4">
        <v>1</v>
      </c>
      <c r="M254" s="4">
        <v>3</v>
      </c>
      <c r="N254" s="4" t="s">
        <v>3</v>
      </c>
      <c r="O254" s="4">
        <v>2</v>
      </c>
      <c r="P254" s="4"/>
      <c r="Q254" s="4"/>
      <c r="R254" s="4"/>
      <c r="S254" s="4"/>
      <c r="T254" s="4"/>
      <c r="U254" s="4"/>
      <c r="V254" s="4"/>
      <c r="W254" s="4"/>
    </row>
    <row r="255" spans="1:245" x14ac:dyDescent="0.2">
      <c r="A255" s="4">
        <v>50</v>
      </c>
      <c r="B255" s="4">
        <v>0</v>
      </c>
      <c r="C255" s="4">
        <v>0</v>
      </c>
      <c r="D255" s="4">
        <v>1</v>
      </c>
      <c r="E255" s="4">
        <v>202</v>
      </c>
      <c r="F255" s="4">
        <f>ROUND(Source!P252,O255)</f>
        <v>29912.560000000001</v>
      </c>
      <c r="G255" s="4" t="s">
        <v>76</v>
      </c>
      <c r="H255" s="4" t="s">
        <v>77</v>
      </c>
      <c r="I255" s="4"/>
      <c r="J255" s="4"/>
      <c r="K255" s="4">
        <v>202</v>
      </c>
      <c r="L255" s="4">
        <v>2</v>
      </c>
      <c r="M255" s="4">
        <v>3</v>
      </c>
      <c r="N255" s="4" t="s">
        <v>3</v>
      </c>
      <c r="O255" s="4">
        <v>2</v>
      </c>
      <c r="P255" s="4"/>
      <c r="Q255" s="4"/>
      <c r="R255" s="4"/>
      <c r="S255" s="4"/>
      <c r="T255" s="4"/>
      <c r="U255" s="4"/>
      <c r="V255" s="4"/>
      <c r="W255" s="4"/>
    </row>
    <row r="256" spans="1:245" x14ac:dyDescent="0.2">
      <c r="A256" s="4">
        <v>50</v>
      </c>
      <c r="B256" s="4">
        <v>0</v>
      </c>
      <c r="C256" s="4">
        <v>0</v>
      </c>
      <c r="D256" s="4">
        <v>1</v>
      </c>
      <c r="E256" s="4">
        <v>222</v>
      </c>
      <c r="F256" s="4">
        <f>ROUND(Source!AO252,O256)</f>
        <v>0</v>
      </c>
      <c r="G256" s="4" t="s">
        <v>78</v>
      </c>
      <c r="H256" s="4" t="s">
        <v>79</v>
      </c>
      <c r="I256" s="4"/>
      <c r="J256" s="4"/>
      <c r="K256" s="4">
        <v>222</v>
      </c>
      <c r="L256" s="4">
        <v>3</v>
      </c>
      <c r="M256" s="4">
        <v>3</v>
      </c>
      <c r="N256" s="4" t="s">
        <v>3</v>
      </c>
      <c r="O256" s="4">
        <v>2</v>
      </c>
      <c r="P256" s="4"/>
      <c r="Q256" s="4"/>
      <c r="R256" s="4"/>
      <c r="S256" s="4"/>
      <c r="T256" s="4"/>
      <c r="U256" s="4"/>
      <c r="V256" s="4"/>
      <c r="W256" s="4"/>
    </row>
    <row r="257" spans="1:23" x14ac:dyDescent="0.2">
      <c r="A257" s="4">
        <v>50</v>
      </c>
      <c r="B257" s="4">
        <v>0</v>
      </c>
      <c r="C257" s="4">
        <v>0</v>
      </c>
      <c r="D257" s="4">
        <v>1</v>
      </c>
      <c r="E257" s="4">
        <v>225</v>
      </c>
      <c r="F257" s="4">
        <f>ROUND(Source!AV252,O257)</f>
        <v>29912.560000000001</v>
      </c>
      <c r="G257" s="4" t="s">
        <v>80</v>
      </c>
      <c r="H257" s="4" t="s">
        <v>81</v>
      </c>
      <c r="I257" s="4"/>
      <c r="J257" s="4"/>
      <c r="K257" s="4">
        <v>225</v>
      </c>
      <c r="L257" s="4">
        <v>4</v>
      </c>
      <c r="M257" s="4">
        <v>3</v>
      </c>
      <c r="N257" s="4" t="s">
        <v>3</v>
      </c>
      <c r="O257" s="4">
        <v>2</v>
      </c>
      <c r="P257" s="4"/>
      <c r="Q257" s="4"/>
      <c r="R257" s="4"/>
      <c r="S257" s="4"/>
      <c r="T257" s="4"/>
      <c r="U257" s="4"/>
      <c r="V257" s="4"/>
      <c r="W257" s="4"/>
    </row>
    <row r="258" spans="1:23" x14ac:dyDescent="0.2">
      <c r="A258" s="4">
        <v>50</v>
      </c>
      <c r="B258" s="4">
        <v>0</v>
      </c>
      <c r="C258" s="4">
        <v>0</v>
      </c>
      <c r="D258" s="4">
        <v>1</v>
      </c>
      <c r="E258" s="4">
        <v>226</v>
      </c>
      <c r="F258" s="4">
        <f>ROUND(Source!AW252,O258)</f>
        <v>29912.560000000001</v>
      </c>
      <c r="G258" s="4" t="s">
        <v>82</v>
      </c>
      <c r="H258" s="4" t="s">
        <v>83</v>
      </c>
      <c r="I258" s="4"/>
      <c r="J258" s="4"/>
      <c r="K258" s="4">
        <v>226</v>
      </c>
      <c r="L258" s="4">
        <v>5</v>
      </c>
      <c r="M258" s="4">
        <v>3</v>
      </c>
      <c r="N258" s="4" t="s">
        <v>3</v>
      </c>
      <c r="O258" s="4">
        <v>2</v>
      </c>
      <c r="P258" s="4"/>
      <c r="Q258" s="4"/>
      <c r="R258" s="4"/>
      <c r="S258" s="4"/>
      <c r="T258" s="4"/>
      <c r="U258" s="4"/>
      <c r="V258" s="4"/>
      <c r="W258" s="4"/>
    </row>
    <row r="259" spans="1:23" x14ac:dyDescent="0.2">
      <c r="A259" s="4">
        <v>50</v>
      </c>
      <c r="B259" s="4">
        <v>0</v>
      </c>
      <c r="C259" s="4">
        <v>0</v>
      </c>
      <c r="D259" s="4">
        <v>1</v>
      </c>
      <c r="E259" s="4">
        <v>227</v>
      </c>
      <c r="F259" s="4">
        <f>ROUND(Source!AX252,O259)</f>
        <v>0</v>
      </c>
      <c r="G259" s="4" t="s">
        <v>84</v>
      </c>
      <c r="H259" s="4" t="s">
        <v>85</v>
      </c>
      <c r="I259" s="4"/>
      <c r="J259" s="4"/>
      <c r="K259" s="4">
        <v>227</v>
      </c>
      <c r="L259" s="4">
        <v>6</v>
      </c>
      <c r="M259" s="4">
        <v>3</v>
      </c>
      <c r="N259" s="4" t="s">
        <v>3</v>
      </c>
      <c r="O259" s="4">
        <v>2</v>
      </c>
      <c r="P259" s="4"/>
      <c r="Q259" s="4"/>
      <c r="R259" s="4"/>
      <c r="S259" s="4"/>
      <c r="T259" s="4"/>
      <c r="U259" s="4"/>
      <c r="V259" s="4"/>
      <c r="W259" s="4"/>
    </row>
    <row r="260" spans="1:23" x14ac:dyDescent="0.2">
      <c r="A260" s="4">
        <v>50</v>
      </c>
      <c r="B260" s="4">
        <v>0</v>
      </c>
      <c r="C260" s="4">
        <v>0</v>
      </c>
      <c r="D260" s="4">
        <v>1</v>
      </c>
      <c r="E260" s="4">
        <v>228</v>
      </c>
      <c r="F260" s="4">
        <f>ROUND(Source!AY252,O260)</f>
        <v>29912.560000000001</v>
      </c>
      <c r="G260" s="4" t="s">
        <v>86</v>
      </c>
      <c r="H260" s="4" t="s">
        <v>87</v>
      </c>
      <c r="I260" s="4"/>
      <c r="J260" s="4"/>
      <c r="K260" s="4">
        <v>228</v>
      </c>
      <c r="L260" s="4">
        <v>7</v>
      </c>
      <c r="M260" s="4">
        <v>3</v>
      </c>
      <c r="N260" s="4" t="s">
        <v>3</v>
      </c>
      <c r="O260" s="4">
        <v>2</v>
      </c>
      <c r="P260" s="4"/>
      <c r="Q260" s="4"/>
      <c r="R260" s="4"/>
      <c r="S260" s="4"/>
      <c r="T260" s="4"/>
      <c r="U260" s="4"/>
      <c r="V260" s="4"/>
      <c r="W260" s="4"/>
    </row>
    <row r="261" spans="1:23" x14ac:dyDescent="0.2">
      <c r="A261" s="4">
        <v>50</v>
      </c>
      <c r="B261" s="4">
        <v>0</v>
      </c>
      <c r="C261" s="4">
        <v>0</v>
      </c>
      <c r="D261" s="4">
        <v>1</v>
      </c>
      <c r="E261" s="4">
        <v>216</v>
      </c>
      <c r="F261" s="4">
        <f>ROUND(Source!AP252,O261)</f>
        <v>0</v>
      </c>
      <c r="G261" s="4" t="s">
        <v>88</v>
      </c>
      <c r="H261" s="4" t="s">
        <v>89</v>
      </c>
      <c r="I261" s="4"/>
      <c r="J261" s="4"/>
      <c r="K261" s="4">
        <v>216</v>
      </c>
      <c r="L261" s="4">
        <v>8</v>
      </c>
      <c r="M261" s="4">
        <v>3</v>
      </c>
      <c r="N261" s="4" t="s">
        <v>3</v>
      </c>
      <c r="O261" s="4">
        <v>2</v>
      </c>
      <c r="P261" s="4"/>
      <c r="Q261" s="4"/>
      <c r="R261" s="4"/>
      <c r="S261" s="4"/>
      <c r="T261" s="4"/>
      <c r="U261" s="4"/>
      <c r="V261" s="4"/>
      <c r="W261" s="4"/>
    </row>
    <row r="262" spans="1:23" x14ac:dyDescent="0.2">
      <c r="A262" s="4">
        <v>50</v>
      </c>
      <c r="B262" s="4">
        <v>0</v>
      </c>
      <c r="C262" s="4">
        <v>0</v>
      </c>
      <c r="D262" s="4">
        <v>1</v>
      </c>
      <c r="E262" s="4">
        <v>223</v>
      </c>
      <c r="F262" s="4">
        <f>ROUND(Source!AQ252,O262)</f>
        <v>0</v>
      </c>
      <c r="G262" s="4" t="s">
        <v>90</v>
      </c>
      <c r="H262" s="4" t="s">
        <v>91</v>
      </c>
      <c r="I262" s="4"/>
      <c r="J262" s="4"/>
      <c r="K262" s="4">
        <v>223</v>
      </c>
      <c r="L262" s="4">
        <v>9</v>
      </c>
      <c r="M262" s="4">
        <v>3</v>
      </c>
      <c r="N262" s="4" t="s">
        <v>3</v>
      </c>
      <c r="O262" s="4">
        <v>2</v>
      </c>
      <c r="P262" s="4"/>
      <c r="Q262" s="4"/>
      <c r="R262" s="4"/>
      <c r="S262" s="4"/>
      <c r="T262" s="4"/>
      <c r="U262" s="4"/>
      <c r="V262" s="4"/>
      <c r="W262" s="4"/>
    </row>
    <row r="263" spans="1:23" x14ac:dyDescent="0.2">
      <c r="A263" s="4">
        <v>50</v>
      </c>
      <c r="B263" s="4">
        <v>0</v>
      </c>
      <c r="C263" s="4">
        <v>0</v>
      </c>
      <c r="D263" s="4">
        <v>1</v>
      </c>
      <c r="E263" s="4">
        <v>229</v>
      </c>
      <c r="F263" s="4">
        <f>ROUND(Source!AZ252,O263)</f>
        <v>0</v>
      </c>
      <c r="G263" s="4" t="s">
        <v>92</v>
      </c>
      <c r="H263" s="4" t="s">
        <v>93</v>
      </c>
      <c r="I263" s="4"/>
      <c r="J263" s="4"/>
      <c r="K263" s="4">
        <v>229</v>
      </c>
      <c r="L263" s="4">
        <v>10</v>
      </c>
      <c r="M263" s="4">
        <v>3</v>
      </c>
      <c r="N263" s="4" t="s">
        <v>3</v>
      </c>
      <c r="O263" s="4">
        <v>2</v>
      </c>
      <c r="P263" s="4"/>
      <c r="Q263" s="4"/>
      <c r="R263" s="4"/>
      <c r="S263" s="4"/>
      <c r="T263" s="4"/>
      <c r="U263" s="4"/>
      <c r="V263" s="4"/>
      <c r="W263" s="4"/>
    </row>
    <row r="264" spans="1:23" x14ac:dyDescent="0.2">
      <c r="A264" s="4">
        <v>50</v>
      </c>
      <c r="B264" s="4">
        <v>0</v>
      </c>
      <c r="C264" s="4">
        <v>0</v>
      </c>
      <c r="D264" s="4">
        <v>1</v>
      </c>
      <c r="E264" s="4">
        <v>203</v>
      </c>
      <c r="F264" s="4">
        <f>ROUND(Source!Q252,O264)</f>
        <v>25.32</v>
      </c>
      <c r="G264" s="4" t="s">
        <v>94</v>
      </c>
      <c r="H264" s="4" t="s">
        <v>95</v>
      </c>
      <c r="I264" s="4"/>
      <c r="J264" s="4"/>
      <c r="K264" s="4">
        <v>203</v>
      </c>
      <c r="L264" s="4">
        <v>11</v>
      </c>
      <c r="M264" s="4">
        <v>3</v>
      </c>
      <c r="N264" s="4" t="s">
        <v>3</v>
      </c>
      <c r="O264" s="4">
        <v>2</v>
      </c>
      <c r="P264" s="4"/>
      <c r="Q264" s="4"/>
      <c r="R264" s="4"/>
      <c r="S264" s="4"/>
      <c r="T264" s="4"/>
      <c r="U264" s="4"/>
      <c r="V264" s="4"/>
      <c r="W264" s="4"/>
    </row>
    <row r="265" spans="1:23" x14ac:dyDescent="0.2">
      <c r="A265" s="4">
        <v>50</v>
      </c>
      <c r="B265" s="4">
        <v>0</v>
      </c>
      <c r="C265" s="4">
        <v>0</v>
      </c>
      <c r="D265" s="4">
        <v>1</v>
      </c>
      <c r="E265" s="4">
        <v>231</v>
      </c>
      <c r="F265" s="4">
        <f>ROUND(Source!BB252,O265)</f>
        <v>0</v>
      </c>
      <c r="G265" s="4" t="s">
        <v>96</v>
      </c>
      <c r="H265" s="4" t="s">
        <v>97</v>
      </c>
      <c r="I265" s="4"/>
      <c r="J265" s="4"/>
      <c r="K265" s="4">
        <v>231</v>
      </c>
      <c r="L265" s="4">
        <v>12</v>
      </c>
      <c r="M265" s="4">
        <v>3</v>
      </c>
      <c r="N265" s="4" t="s">
        <v>3</v>
      </c>
      <c r="O265" s="4">
        <v>2</v>
      </c>
      <c r="P265" s="4"/>
      <c r="Q265" s="4"/>
      <c r="R265" s="4"/>
      <c r="S265" s="4"/>
      <c r="T265" s="4"/>
      <c r="U265" s="4"/>
      <c r="V265" s="4"/>
      <c r="W265" s="4"/>
    </row>
    <row r="266" spans="1:23" x14ac:dyDescent="0.2">
      <c r="A266" s="4">
        <v>50</v>
      </c>
      <c r="B266" s="4">
        <v>0</v>
      </c>
      <c r="C266" s="4">
        <v>0</v>
      </c>
      <c r="D266" s="4">
        <v>1</v>
      </c>
      <c r="E266" s="4">
        <v>204</v>
      </c>
      <c r="F266" s="4">
        <f>ROUND(Source!R252,O266)</f>
        <v>12.89</v>
      </c>
      <c r="G266" s="4" t="s">
        <v>98</v>
      </c>
      <c r="H266" s="4" t="s">
        <v>99</v>
      </c>
      <c r="I266" s="4"/>
      <c r="J266" s="4"/>
      <c r="K266" s="4">
        <v>204</v>
      </c>
      <c r="L266" s="4">
        <v>13</v>
      </c>
      <c r="M266" s="4">
        <v>3</v>
      </c>
      <c r="N266" s="4" t="s">
        <v>3</v>
      </c>
      <c r="O266" s="4">
        <v>2</v>
      </c>
      <c r="P266" s="4"/>
      <c r="Q266" s="4"/>
      <c r="R266" s="4"/>
      <c r="S266" s="4"/>
      <c r="T266" s="4"/>
      <c r="U266" s="4"/>
      <c r="V266" s="4"/>
      <c r="W266" s="4"/>
    </row>
    <row r="267" spans="1:23" x14ac:dyDescent="0.2">
      <c r="A267" s="4">
        <v>50</v>
      </c>
      <c r="B267" s="4">
        <v>0</v>
      </c>
      <c r="C267" s="4">
        <v>0</v>
      </c>
      <c r="D267" s="4">
        <v>1</v>
      </c>
      <c r="E267" s="4">
        <v>205</v>
      </c>
      <c r="F267" s="4">
        <f>ROUND(Source!S252,O267)</f>
        <v>28428.86</v>
      </c>
      <c r="G267" s="4" t="s">
        <v>100</v>
      </c>
      <c r="H267" s="4" t="s">
        <v>101</v>
      </c>
      <c r="I267" s="4"/>
      <c r="J267" s="4"/>
      <c r="K267" s="4">
        <v>205</v>
      </c>
      <c r="L267" s="4">
        <v>14</v>
      </c>
      <c r="M267" s="4">
        <v>3</v>
      </c>
      <c r="N267" s="4" t="s">
        <v>3</v>
      </c>
      <c r="O267" s="4">
        <v>2</v>
      </c>
      <c r="P267" s="4"/>
      <c r="Q267" s="4"/>
      <c r="R267" s="4"/>
      <c r="S267" s="4"/>
      <c r="T267" s="4"/>
      <c r="U267" s="4"/>
      <c r="V267" s="4"/>
      <c r="W267" s="4"/>
    </row>
    <row r="268" spans="1:23" x14ac:dyDescent="0.2">
      <c r="A268" s="4">
        <v>50</v>
      </c>
      <c r="B268" s="4">
        <v>0</v>
      </c>
      <c r="C268" s="4">
        <v>0</v>
      </c>
      <c r="D268" s="4">
        <v>1</v>
      </c>
      <c r="E268" s="4">
        <v>232</v>
      </c>
      <c r="F268" s="4">
        <f>ROUND(Source!BC252,O268)</f>
        <v>0</v>
      </c>
      <c r="G268" s="4" t="s">
        <v>102</v>
      </c>
      <c r="H268" s="4" t="s">
        <v>103</v>
      </c>
      <c r="I268" s="4"/>
      <c r="J268" s="4"/>
      <c r="K268" s="4">
        <v>232</v>
      </c>
      <c r="L268" s="4">
        <v>15</v>
      </c>
      <c r="M268" s="4">
        <v>3</v>
      </c>
      <c r="N268" s="4" t="s">
        <v>3</v>
      </c>
      <c r="O268" s="4">
        <v>2</v>
      </c>
      <c r="P268" s="4"/>
      <c r="Q268" s="4"/>
      <c r="R268" s="4"/>
      <c r="S268" s="4"/>
      <c r="T268" s="4"/>
      <c r="U268" s="4"/>
      <c r="V268" s="4"/>
      <c r="W268" s="4"/>
    </row>
    <row r="269" spans="1:23" x14ac:dyDescent="0.2">
      <c r="A269" s="4">
        <v>50</v>
      </c>
      <c r="B269" s="4">
        <v>0</v>
      </c>
      <c r="C269" s="4">
        <v>0</v>
      </c>
      <c r="D269" s="4">
        <v>1</v>
      </c>
      <c r="E269" s="4">
        <v>214</v>
      </c>
      <c r="F269" s="4">
        <f>ROUND(Source!AS252,O269)</f>
        <v>0</v>
      </c>
      <c r="G269" s="4" t="s">
        <v>104</v>
      </c>
      <c r="H269" s="4" t="s">
        <v>105</v>
      </c>
      <c r="I269" s="4"/>
      <c r="J269" s="4"/>
      <c r="K269" s="4">
        <v>214</v>
      </c>
      <c r="L269" s="4">
        <v>16</v>
      </c>
      <c r="M269" s="4">
        <v>3</v>
      </c>
      <c r="N269" s="4" t="s">
        <v>3</v>
      </c>
      <c r="O269" s="4">
        <v>2</v>
      </c>
      <c r="P269" s="4"/>
      <c r="Q269" s="4"/>
      <c r="R269" s="4"/>
      <c r="S269" s="4"/>
      <c r="T269" s="4"/>
      <c r="U269" s="4"/>
      <c r="V269" s="4"/>
      <c r="W269" s="4"/>
    </row>
    <row r="270" spans="1:23" x14ac:dyDescent="0.2">
      <c r="A270" s="4">
        <v>50</v>
      </c>
      <c r="B270" s="4">
        <v>0</v>
      </c>
      <c r="C270" s="4">
        <v>0</v>
      </c>
      <c r="D270" s="4">
        <v>1</v>
      </c>
      <c r="E270" s="4">
        <v>215</v>
      </c>
      <c r="F270" s="4">
        <f>ROUND(Source!AT252,O270)</f>
        <v>98472.97</v>
      </c>
      <c r="G270" s="4" t="s">
        <v>106</v>
      </c>
      <c r="H270" s="4" t="s">
        <v>107</v>
      </c>
      <c r="I270" s="4"/>
      <c r="J270" s="4"/>
      <c r="K270" s="4">
        <v>215</v>
      </c>
      <c r="L270" s="4">
        <v>17</v>
      </c>
      <c r="M270" s="4">
        <v>3</v>
      </c>
      <c r="N270" s="4" t="s">
        <v>3</v>
      </c>
      <c r="O270" s="4">
        <v>2</v>
      </c>
      <c r="P270" s="4"/>
      <c r="Q270" s="4"/>
      <c r="R270" s="4"/>
      <c r="S270" s="4"/>
      <c r="T270" s="4"/>
      <c r="U270" s="4"/>
      <c r="V270" s="4"/>
      <c r="W270" s="4"/>
    </row>
    <row r="271" spans="1:23" x14ac:dyDescent="0.2">
      <c r="A271" s="4">
        <v>50</v>
      </c>
      <c r="B271" s="4">
        <v>0</v>
      </c>
      <c r="C271" s="4">
        <v>0</v>
      </c>
      <c r="D271" s="4">
        <v>1</v>
      </c>
      <c r="E271" s="4">
        <v>217</v>
      </c>
      <c r="F271" s="4">
        <f>ROUND(Source!AU252,O271)</f>
        <v>0</v>
      </c>
      <c r="G271" s="4" t="s">
        <v>108</v>
      </c>
      <c r="H271" s="4" t="s">
        <v>109</v>
      </c>
      <c r="I271" s="4"/>
      <c r="J271" s="4"/>
      <c r="K271" s="4">
        <v>217</v>
      </c>
      <c r="L271" s="4">
        <v>18</v>
      </c>
      <c r="M271" s="4">
        <v>3</v>
      </c>
      <c r="N271" s="4" t="s">
        <v>3</v>
      </c>
      <c r="O271" s="4">
        <v>2</v>
      </c>
      <c r="P271" s="4"/>
      <c r="Q271" s="4"/>
      <c r="R271" s="4"/>
      <c r="S271" s="4"/>
      <c r="T271" s="4"/>
      <c r="U271" s="4"/>
      <c r="V271" s="4"/>
      <c r="W271" s="4"/>
    </row>
    <row r="272" spans="1:23" x14ac:dyDescent="0.2">
      <c r="A272" s="4">
        <v>50</v>
      </c>
      <c r="B272" s="4">
        <v>0</v>
      </c>
      <c r="C272" s="4">
        <v>0</v>
      </c>
      <c r="D272" s="4">
        <v>1</v>
      </c>
      <c r="E272" s="4">
        <v>230</v>
      </c>
      <c r="F272" s="4">
        <f>ROUND(Source!BA252,O272)</f>
        <v>0</v>
      </c>
      <c r="G272" s="4" t="s">
        <v>110</v>
      </c>
      <c r="H272" s="4" t="s">
        <v>111</v>
      </c>
      <c r="I272" s="4"/>
      <c r="J272" s="4"/>
      <c r="K272" s="4">
        <v>230</v>
      </c>
      <c r="L272" s="4">
        <v>19</v>
      </c>
      <c r="M272" s="4">
        <v>3</v>
      </c>
      <c r="N272" s="4" t="s">
        <v>3</v>
      </c>
      <c r="O272" s="4">
        <v>2</v>
      </c>
      <c r="P272" s="4"/>
      <c r="Q272" s="4"/>
      <c r="R272" s="4"/>
      <c r="S272" s="4"/>
      <c r="T272" s="4"/>
      <c r="U272" s="4"/>
      <c r="V272" s="4"/>
      <c r="W272" s="4"/>
    </row>
    <row r="273" spans="1:245" x14ac:dyDescent="0.2">
      <c r="A273" s="4">
        <v>50</v>
      </c>
      <c r="B273" s="4">
        <v>0</v>
      </c>
      <c r="C273" s="4">
        <v>0</v>
      </c>
      <c r="D273" s="4">
        <v>1</v>
      </c>
      <c r="E273" s="4">
        <v>206</v>
      </c>
      <c r="F273" s="4">
        <f>ROUND(Source!T252,O273)</f>
        <v>0</v>
      </c>
      <c r="G273" s="4" t="s">
        <v>112</v>
      </c>
      <c r="H273" s="4" t="s">
        <v>113</v>
      </c>
      <c r="I273" s="4"/>
      <c r="J273" s="4"/>
      <c r="K273" s="4">
        <v>206</v>
      </c>
      <c r="L273" s="4">
        <v>20</v>
      </c>
      <c r="M273" s="4">
        <v>3</v>
      </c>
      <c r="N273" s="4" t="s">
        <v>3</v>
      </c>
      <c r="O273" s="4">
        <v>2</v>
      </c>
      <c r="P273" s="4"/>
      <c r="Q273" s="4"/>
      <c r="R273" s="4"/>
      <c r="S273" s="4"/>
      <c r="T273" s="4"/>
      <c r="U273" s="4"/>
      <c r="V273" s="4"/>
      <c r="W273" s="4"/>
    </row>
    <row r="274" spans="1:245" x14ac:dyDescent="0.2">
      <c r="A274" s="4">
        <v>50</v>
      </c>
      <c r="B274" s="4">
        <v>0</v>
      </c>
      <c r="C274" s="4">
        <v>0</v>
      </c>
      <c r="D274" s="4">
        <v>1</v>
      </c>
      <c r="E274" s="4">
        <v>207</v>
      </c>
      <c r="F274" s="4">
        <f>Source!U252</f>
        <v>127.3152</v>
      </c>
      <c r="G274" s="4" t="s">
        <v>114</v>
      </c>
      <c r="H274" s="4" t="s">
        <v>115</v>
      </c>
      <c r="I274" s="4"/>
      <c r="J274" s="4"/>
      <c r="K274" s="4">
        <v>207</v>
      </c>
      <c r="L274" s="4">
        <v>21</v>
      </c>
      <c r="M274" s="4">
        <v>3</v>
      </c>
      <c r="N274" s="4" t="s">
        <v>3</v>
      </c>
      <c r="O274" s="4">
        <v>-1</v>
      </c>
      <c r="P274" s="4"/>
      <c r="Q274" s="4"/>
      <c r="R274" s="4"/>
      <c r="S274" s="4"/>
      <c r="T274" s="4"/>
      <c r="U274" s="4"/>
      <c r="V274" s="4"/>
      <c r="W274" s="4"/>
    </row>
    <row r="275" spans="1:245" x14ac:dyDescent="0.2">
      <c r="A275" s="4">
        <v>50</v>
      </c>
      <c r="B275" s="4">
        <v>0</v>
      </c>
      <c r="C275" s="4">
        <v>0</v>
      </c>
      <c r="D275" s="4">
        <v>1</v>
      </c>
      <c r="E275" s="4">
        <v>208</v>
      </c>
      <c r="F275" s="4">
        <f>Source!V252</f>
        <v>0</v>
      </c>
      <c r="G275" s="4" t="s">
        <v>116</v>
      </c>
      <c r="H275" s="4" t="s">
        <v>117</v>
      </c>
      <c r="I275" s="4"/>
      <c r="J275" s="4"/>
      <c r="K275" s="4">
        <v>208</v>
      </c>
      <c r="L275" s="4">
        <v>22</v>
      </c>
      <c r="M275" s="4">
        <v>3</v>
      </c>
      <c r="N275" s="4" t="s">
        <v>3</v>
      </c>
      <c r="O275" s="4">
        <v>-1</v>
      </c>
      <c r="P275" s="4"/>
      <c r="Q275" s="4"/>
      <c r="R275" s="4"/>
      <c r="S275" s="4"/>
      <c r="T275" s="4"/>
      <c r="U275" s="4"/>
      <c r="V275" s="4"/>
      <c r="W275" s="4"/>
    </row>
    <row r="276" spans="1:245" x14ac:dyDescent="0.2">
      <c r="A276" s="4">
        <v>50</v>
      </c>
      <c r="B276" s="4">
        <v>0</v>
      </c>
      <c r="C276" s="4">
        <v>0</v>
      </c>
      <c r="D276" s="4">
        <v>1</v>
      </c>
      <c r="E276" s="4">
        <v>209</v>
      </c>
      <c r="F276" s="4">
        <f>ROUND(Source!W252,O276)</f>
        <v>0</v>
      </c>
      <c r="G276" s="4" t="s">
        <v>118</v>
      </c>
      <c r="H276" s="4" t="s">
        <v>119</v>
      </c>
      <c r="I276" s="4"/>
      <c r="J276" s="4"/>
      <c r="K276" s="4">
        <v>209</v>
      </c>
      <c r="L276" s="4">
        <v>23</v>
      </c>
      <c r="M276" s="4">
        <v>3</v>
      </c>
      <c r="N276" s="4" t="s">
        <v>3</v>
      </c>
      <c r="O276" s="4">
        <v>2</v>
      </c>
      <c r="P276" s="4"/>
      <c r="Q276" s="4"/>
      <c r="R276" s="4"/>
      <c r="S276" s="4"/>
      <c r="T276" s="4"/>
      <c r="U276" s="4"/>
      <c r="V276" s="4"/>
      <c r="W276" s="4"/>
    </row>
    <row r="277" spans="1:245" x14ac:dyDescent="0.2">
      <c r="A277" s="4">
        <v>50</v>
      </c>
      <c r="B277" s="4">
        <v>0</v>
      </c>
      <c r="C277" s="4">
        <v>0</v>
      </c>
      <c r="D277" s="4">
        <v>1</v>
      </c>
      <c r="E277" s="4">
        <v>210</v>
      </c>
      <c r="F277" s="4">
        <f>ROUND(Source!X252,O277)</f>
        <v>27007.42</v>
      </c>
      <c r="G277" s="4" t="s">
        <v>120</v>
      </c>
      <c r="H277" s="4" t="s">
        <v>121</v>
      </c>
      <c r="I277" s="4"/>
      <c r="J277" s="4"/>
      <c r="K277" s="4">
        <v>210</v>
      </c>
      <c r="L277" s="4">
        <v>24</v>
      </c>
      <c r="M277" s="4">
        <v>3</v>
      </c>
      <c r="N277" s="4" t="s">
        <v>3</v>
      </c>
      <c r="O277" s="4">
        <v>2</v>
      </c>
      <c r="P277" s="4"/>
      <c r="Q277" s="4"/>
      <c r="R277" s="4"/>
      <c r="S277" s="4"/>
      <c r="T277" s="4"/>
      <c r="U277" s="4"/>
      <c r="V277" s="4"/>
      <c r="W277" s="4"/>
    </row>
    <row r="278" spans="1:245" x14ac:dyDescent="0.2">
      <c r="A278" s="4">
        <v>50</v>
      </c>
      <c r="B278" s="4">
        <v>0</v>
      </c>
      <c r="C278" s="4">
        <v>0</v>
      </c>
      <c r="D278" s="4">
        <v>1</v>
      </c>
      <c r="E278" s="4">
        <v>211</v>
      </c>
      <c r="F278" s="4">
        <f>ROUND(Source!Y252,O278)</f>
        <v>13077.28</v>
      </c>
      <c r="G278" s="4" t="s">
        <v>122</v>
      </c>
      <c r="H278" s="4" t="s">
        <v>123</v>
      </c>
      <c r="I278" s="4"/>
      <c r="J278" s="4"/>
      <c r="K278" s="4">
        <v>211</v>
      </c>
      <c r="L278" s="4">
        <v>25</v>
      </c>
      <c r="M278" s="4">
        <v>3</v>
      </c>
      <c r="N278" s="4" t="s">
        <v>3</v>
      </c>
      <c r="O278" s="4">
        <v>2</v>
      </c>
      <c r="P278" s="4"/>
      <c r="Q278" s="4"/>
      <c r="R278" s="4"/>
      <c r="S278" s="4"/>
      <c r="T278" s="4"/>
      <c r="U278" s="4"/>
      <c r="V278" s="4"/>
      <c r="W278" s="4"/>
    </row>
    <row r="279" spans="1:245" x14ac:dyDescent="0.2">
      <c r="A279" s="4">
        <v>50</v>
      </c>
      <c r="B279" s="4">
        <v>0</v>
      </c>
      <c r="C279" s="4">
        <v>0</v>
      </c>
      <c r="D279" s="4">
        <v>1</v>
      </c>
      <c r="E279" s="4">
        <v>224</v>
      </c>
      <c r="F279" s="4">
        <f>ROUND(Source!AR252,O279)</f>
        <v>98472.97</v>
      </c>
      <c r="G279" s="4" t="s">
        <v>124</v>
      </c>
      <c r="H279" s="4" t="s">
        <v>125</v>
      </c>
      <c r="I279" s="4"/>
      <c r="J279" s="4"/>
      <c r="K279" s="4">
        <v>224</v>
      </c>
      <c r="L279" s="4">
        <v>26</v>
      </c>
      <c r="M279" s="4">
        <v>3</v>
      </c>
      <c r="N279" s="4" t="s">
        <v>3</v>
      </c>
      <c r="O279" s="4">
        <v>2</v>
      </c>
      <c r="P279" s="4"/>
      <c r="Q279" s="4"/>
      <c r="R279" s="4"/>
      <c r="S279" s="4"/>
      <c r="T279" s="4"/>
      <c r="U279" s="4"/>
      <c r="V279" s="4"/>
      <c r="W279" s="4"/>
    </row>
    <row r="281" spans="1:245" x14ac:dyDescent="0.2">
      <c r="A281" s="1">
        <v>5</v>
      </c>
      <c r="B281" s="1">
        <v>1</v>
      </c>
      <c r="C281" s="1"/>
      <c r="D281" s="1">
        <f>ROW(A289)</f>
        <v>289</v>
      </c>
      <c r="E281" s="1"/>
      <c r="F281" s="1" t="s">
        <v>15</v>
      </c>
      <c r="G281" s="1" t="s">
        <v>250</v>
      </c>
      <c r="H281" s="1" t="s">
        <v>3</v>
      </c>
      <c r="I281" s="1">
        <v>0</v>
      </c>
      <c r="J281" s="1"/>
      <c r="K281" s="1">
        <v>-1</v>
      </c>
      <c r="L281" s="1"/>
      <c r="M281" s="1"/>
      <c r="N281" s="1"/>
      <c r="O281" s="1"/>
      <c r="P281" s="1"/>
      <c r="Q281" s="1"/>
      <c r="R281" s="1"/>
      <c r="S281" s="1"/>
      <c r="T281" s="1"/>
      <c r="U281" s="1" t="s">
        <v>3</v>
      </c>
      <c r="V281" s="1">
        <v>0</v>
      </c>
      <c r="W281" s="1"/>
      <c r="X281" s="1"/>
      <c r="Y281" s="1"/>
      <c r="Z281" s="1"/>
      <c r="AA281" s="1"/>
      <c r="AB281" s="1" t="s">
        <v>3</v>
      </c>
      <c r="AC281" s="1" t="s">
        <v>3</v>
      </c>
      <c r="AD281" s="1" t="s">
        <v>3</v>
      </c>
      <c r="AE281" s="1" t="s">
        <v>3</v>
      </c>
      <c r="AF281" s="1" t="s">
        <v>3</v>
      </c>
      <c r="AG281" s="1" t="s">
        <v>3</v>
      </c>
      <c r="AH281" s="1"/>
      <c r="AI281" s="1"/>
      <c r="AJ281" s="1"/>
      <c r="AK281" s="1"/>
      <c r="AL281" s="1"/>
      <c r="AM281" s="1"/>
      <c r="AN281" s="1"/>
      <c r="AO281" s="1"/>
      <c r="AP281" s="1" t="s">
        <v>3</v>
      </c>
      <c r="AQ281" s="1" t="s">
        <v>3</v>
      </c>
      <c r="AR281" s="1" t="s">
        <v>3</v>
      </c>
      <c r="AS281" s="1"/>
      <c r="AT281" s="1"/>
      <c r="AU281" s="1"/>
      <c r="AV281" s="1"/>
      <c r="AW281" s="1"/>
      <c r="AX281" s="1"/>
      <c r="AY281" s="1"/>
      <c r="AZ281" s="1" t="s">
        <v>3</v>
      </c>
      <c r="BA281" s="1"/>
      <c r="BB281" s="1" t="s">
        <v>3</v>
      </c>
      <c r="BC281" s="1" t="s">
        <v>3</v>
      </c>
      <c r="BD281" s="1" t="s">
        <v>3</v>
      </c>
      <c r="BE281" s="1" t="s">
        <v>3</v>
      </c>
      <c r="BF281" s="1" t="s">
        <v>3</v>
      </c>
      <c r="BG281" s="1" t="s">
        <v>3</v>
      </c>
      <c r="BH281" s="1" t="s">
        <v>3</v>
      </c>
      <c r="BI281" s="1" t="s">
        <v>3</v>
      </c>
      <c r="BJ281" s="1" t="s">
        <v>3</v>
      </c>
      <c r="BK281" s="1" t="s">
        <v>3</v>
      </c>
      <c r="BL281" s="1" t="s">
        <v>3</v>
      </c>
      <c r="BM281" s="1" t="s">
        <v>3</v>
      </c>
      <c r="BN281" s="1" t="s">
        <v>3</v>
      </c>
      <c r="BO281" s="1" t="s">
        <v>3</v>
      </c>
      <c r="BP281" s="1" t="s">
        <v>3</v>
      </c>
      <c r="BQ281" s="1"/>
      <c r="BR281" s="1"/>
      <c r="BS281" s="1"/>
      <c r="BT281" s="1"/>
      <c r="BU281" s="1"/>
      <c r="BV281" s="1"/>
      <c r="BW281" s="1"/>
      <c r="BX281" s="1">
        <v>0</v>
      </c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>
        <v>0</v>
      </c>
    </row>
    <row r="283" spans="1:245" x14ac:dyDescent="0.2">
      <c r="A283" s="2">
        <v>52</v>
      </c>
      <c r="B283" s="2">
        <f t="shared" ref="B283:G283" si="200">B289</f>
        <v>1</v>
      </c>
      <c r="C283" s="2">
        <f t="shared" si="200"/>
        <v>5</v>
      </c>
      <c r="D283" s="2">
        <f t="shared" si="200"/>
        <v>281</v>
      </c>
      <c r="E283" s="2">
        <f t="shared" si="200"/>
        <v>0</v>
      </c>
      <c r="F283" s="2" t="str">
        <f t="shared" si="200"/>
        <v>Новый подраздел</v>
      </c>
      <c r="G283" s="2" t="str">
        <f t="shared" si="200"/>
        <v>2.3</v>
      </c>
      <c r="H283" s="2"/>
      <c r="I283" s="2"/>
      <c r="J283" s="2"/>
      <c r="K283" s="2"/>
      <c r="L283" s="2"/>
      <c r="M283" s="2"/>
      <c r="N283" s="2"/>
      <c r="O283" s="2">
        <f t="shared" ref="O283:AT283" si="201">O289</f>
        <v>1916294.76</v>
      </c>
      <c r="P283" s="2">
        <f t="shared" si="201"/>
        <v>1812282.42</v>
      </c>
      <c r="Q283" s="2">
        <f t="shared" si="201"/>
        <v>0</v>
      </c>
      <c r="R283" s="2">
        <f t="shared" si="201"/>
        <v>0</v>
      </c>
      <c r="S283" s="2">
        <f t="shared" si="201"/>
        <v>104012.34</v>
      </c>
      <c r="T283" s="2">
        <f t="shared" si="201"/>
        <v>0</v>
      </c>
      <c r="U283" s="2">
        <f t="shared" si="201"/>
        <v>513.71782000000007</v>
      </c>
      <c r="V283" s="2">
        <f t="shared" si="201"/>
        <v>0</v>
      </c>
      <c r="W283" s="2">
        <f t="shared" si="201"/>
        <v>0</v>
      </c>
      <c r="X283" s="2">
        <f t="shared" si="201"/>
        <v>98811.72</v>
      </c>
      <c r="Y283" s="2">
        <f t="shared" si="201"/>
        <v>45765.43</v>
      </c>
      <c r="Z283" s="2">
        <f t="shared" si="201"/>
        <v>0</v>
      </c>
      <c r="AA283" s="2">
        <f t="shared" si="201"/>
        <v>0</v>
      </c>
      <c r="AB283" s="2">
        <f t="shared" si="201"/>
        <v>1916294.76</v>
      </c>
      <c r="AC283" s="2">
        <f t="shared" si="201"/>
        <v>1812282.42</v>
      </c>
      <c r="AD283" s="2">
        <f t="shared" si="201"/>
        <v>0</v>
      </c>
      <c r="AE283" s="2">
        <f t="shared" si="201"/>
        <v>0</v>
      </c>
      <c r="AF283" s="2">
        <f t="shared" si="201"/>
        <v>104012.34</v>
      </c>
      <c r="AG283" s="2">
        <f t="shared" si="201"/>
        <v>0</v>
      </c>
      <c r="AH283" s="2">
        <f t="shared" si="201"/>
        <v>513.71782000000007</v>
      </c>
      <c r="AI283" s="2">
        <f t="shared" si="201"/>
        <v>0</v>
      </c>
      <c r="AJ283" s="2">
        <f t="shared" si="201"/>
        <v>0</v>
      </c>
      <c r="AK283" s="2">
        <f t="shared" si="201"/>
        <v>98811.72</v>
      </c>
      <c r="AL283" s="2">
        <f t="shared" si="201"/>
        <v>45765.43</v>
      </c>
      <c r="AM283" s="2">
        <f t="shared" si="201"/>
        <v>0</v>
      </c>
      <c r="AN283" s="2">
        <f t="shared" si="201"/>
        <v>0</v>
      </c>
      <c r="AO283" s="2">
        <f t="shared" si="201"/>
        <v>0</v>
      </c>
      <c r="AP283" s="2">
        <f t="shared" si="201"/>
        <v>0</v>
      </c>
      <c r="AQ283" s="2">
        <f t="shared" si="201"/>
        <v>0</v>
      </c>
      <c r="AR283" s="2">
        <f t="shared" si="201"/>
        <v>2060871.91</v>
      </c>
      <c r="AS283" s="2">
        <f t="shared" si="201"/>
        <v>2060871.91</v>
      </c>
      <c r="AT283" s="2">
        <f t="shared" si="201"/>
        <v>0</v>
      </c>
      <c r="AU283" s="2">
        <f t="shared" ref="AU283:BZ283" si="202">AU289</f>
        <v>0</v>
      </c>
      <c r="AV283" s="2">
        <f t="shared" si="202"/>
        <v>1812282.42</v>
      </c>
      <c r="AW283" s="2">
        <f t="shared" si="202"/>
        <v>1812282.42</v>
      </c>
      <c r="AX283" s="2">
        <f t="shared" si="202"/>
        <v>0</v>
      </c>
      <c r="AY283" s="2">
        <f t="shared" si="202"/>
        <v>1812282.42</v>
      </c>
      <c r="AZ283" s="2">
        <f t="shared" si="202"/>
        <v>0</v>
      </c>
      <c r="BA283" s="2">
        <f t="shared" si="202"/>
        <v>0</v>
      </c>
      <c r="BB283" s="2">
        <f t="shared" si="202"/>
        <v>0</v>
      </c>
      <c r="BC283" s="2">
        <f t="shared" si="202"/>
        <v>0</v>
      </c>
      <c r="BD283" s="2">
        <f t="shared" si="202"/>
        <v>0</v>
      </c>
      <c r="BE283" s="2">
        <f t="shared" si="202"/>
        <v>0</v>
      </c>
      <c r="BF283" s="2">
        <f t="shared" si="202"/>
        <v>0</v>
      </c>
      <c r="BG283" s="2">
        <f t="shared" si="202"/>
        <v>0</v>
      </c>
      <c r="BH283" s="2">
        <f t="shared" si="202"/>
        <v>0</v>
      </c>
      <c r="BI283" s="2">
        <f t="shared" si="202"/>
        <v>0</v>
      </c>
      <c r="BJ283" s="2">
        <f t="shared" si="202"/>
        <v>0</v>
      </c>
      <c r="BK283" s="2">
        <f t="shared" si="202"/>
        <v>0</v>
      </c>
      <c r="BL283" s="2">
        <f t="shared" si="202"/>
        <v>0</v>
      </c>
      <c r="BM283" s="2">
        <f t="shared" si="202"/>
        <v>0</v>
      </c>
      <c r="BN283" s="2">
        <f t="shared" si="202"/>
        <v>0</v>
      </c>
      <c r="BO283" s="2">
        <f t="shared" si="202"/>
        <v>0</v>
      </c>
      <c r="BP283" s="2">
        <f t="shared" si="202"/>
        <v>0</v>
      </c>
      <c r="BQ283" s="2">
        <f t="shared" si="202"/>
        <v>0</v>
      </c>
      <c r="BR283" s="2">
        <f t="shared" si="202"/>
        <v>0</v>
      </c>
      <c r="BS283" s="2">
        <f t="shared" si="202"/>
        <v>0</v>
      </c>
      <c r="BT283" s="2">
        <f t="shared" si="202"/>
        <v>0</v>
      </c>
      <c r="BU283" s="2">
        <f t="shared" si="202"/>
        <v>0</v>
      </c>
      <c r="BV283" s="2">
        <f t="shared" si="202"/>
        <v>0</v>
      </c>
      <c r="BW283" s="2">
        <f t="shared" si="202"/>
        <v>0</v>
      </c>
      <c r="BX283" s="2">
        <f t="shared" si="202"/>
        <v>0</v>
      </c>
      <c r="BY283" s="2">
        <f t="shared" si="202"/>
        <v>0</v>
      </c>
      <c r="BZ283" s="2">
        <f t="shared" si="202"/>
        <v>0</v>
      </c>
      <c r="CA283" s="2">
        <f t="shared" ref="CA283:DF283" si="203">CA289</f>
        <v>2060871.91</v>
      </c>
      <c r="CB283" s="2">
        <f t="shared" si="203"/>
        <v>2060871.91</v>
      </c>
      <c r="CC283" s="2">
        <f t="shared" si="203"/>
        <v>0</v>
      </c>
      <c r="CD283" s="2">
        <f t="shared" si="203"/>
        <v>0</v>
      </c>
      <c r="CE283" s="2">
        <f t="shared" si="203"/>
        <v>1812282.42</v>
      </c>
      <c r="CF283" s="2">
        <f t="shared" si="203"/>
        <v>1812282.42</v>
      </c>
      <c r="CG283" s="2">
        <f t="shared" si="203"/>
        <v>0</v>
      </c>
      <c r="CH283" s="2">
        <f t="shared" si="203"/>
        <v>1812282.42</v>
      </c>
      <c r="CI283" s="2">
        <f t="shared" si="203"/>
        <v>0</v>
      </c>
      <c r="CJ283" s="2">
        <f t="shared" si="203"/>
        <v>0</v>
      </c>
      <c r="CK283" s="2">
        <f t="shared" si="203"/>
        <v>0</v>
      </c>
      <c r="CL283" s="2">
        <f t="shared" si="203"/>
        <v>0</v>
      </c>
      <c r="CM283" s="2">
        <f t="shared" si="203"/>
        <v>0</v>
      </c>
      <c r="CN283" s="2">
        <f t="shared" si="203"/>
        <v>0</v>
      </c>
      <c r="CO283" s="2">
        <f t="shared" si="203"/>
        <v>0</v>
      </c>
      <c r="CP283" s="2">
        <f t="shared" si="203"/>
        <v>0</v>
      </c>
      <c r="CQ283" s="2">
        <f t="shared" si="203"/>
        <v>0</v>
      </c>
      <c r="CR283" s="2">
        <f t="shared" si="203"/>
        <v>0</v>
      </c>
      <c r="CS283" s="2">
        <f t="shared" si="203"/>
        <v>0</v>
      </c>
      <c r="CT283" s="2">
        <f t="shared" si="203"/>
        <v>0</v>
      </c>
      <c r="CU283" s="2">
        <f t="shared" si="203"/>
        <v>0</v>
      </c>
      <c r="CV283" s="2">
        <f t="shared" si="203"/>
        <v>0</v>
      </c>
      <c r="CW283" s="2">
        <f t="shared" si="203"/>
        <v>0</v>
      </c>
      <c r="CX283" s="2">
        <f t="shared" si="203"/>
        <v>0</v>
      </c>
      <c r="CY283" s="2">
        <f t="shared" si="203"/>
        <v>0</v>
      </c>
      <c r="CZ283" s="2">
        <f t="shared" si="203"/>
        <v>0</v>
      </c>
      <c r="DA283" s="2">
        <f t="shared" si="203"/>
        <v>0</v>
      </c>
      <c r="DB283" s="2">
        <f t="shared" si="203"/>
        <v>0</v>
      </c>
      <c r="DC283" s="2">
        <f t="shared" si="203"/>
        <v>0</v>
      </c>
      <c r="DD283" s="2">
        <f t="shared" si="203"/>
        <v>0</v>
      </c>
      <c r="DE283" s="2">
        <f t="shared" si="203"/>
        <v>0</v>
      </c>
      <c r="DF283" s="2">
        <f t="shared" si="203"/>
        <v>0</v>
      </c>
      <c r="DG283" s="3">
        <f t="shared" ref="DG283:EL283" si="204">DG289</f>
        <v>0</v>
      </c>
      <c r="DH283" s="3">
        <f t="shared" si="204"/>
        <v>0</v>
      </c>
      <c r="DI283" s="3">
        <f t="shared" si="204"/>
        <v>0</v>
      </c>
      <c r="DJ283" s="3">
        <f t="shared" si="204"/>
        <v>0</v>
      </c>
      <c r="DK283" s="3">
        <f t="shared" si="204"/>
        <v>0</v>
      </c>
      <c r="DL283" s="3">
        <f t="shared" si="204"/>
        <v>0</v>
      </c>
      <c r="DM283" s="3">
        <f t="shared" si="204"/>
        <v>0</v>
      </c>
      <c r="DN283" s="3">
        <f t="shared" si="204"/>
        <v>0</v>
      </c>
      <c r="DO283" s="3">
        <f t="shared" si="204"/>
        <v>0</v>
      </c>
      <c r="DP283" s="3">
        <f t="shared" si="204"/>
        <v>0</v>
      </c>
      <c r="DQ283" s="3">
        <f t="shared" si="204"/>
        <v>0</v>
      </c>
      <c r="DR283" s="3">
        <f t="shared" si="204"/>
        <v>0</v>
      </c>
      <c r="DS283" s="3">
        <f t="shared" si="204"/>
        <v>0</v>
      </c>
      <c r="DT283" s="3">
        <f t="shared" si="204"/>
        <v>0</v>
      </c>
      <c r="DU283" s="3">
        <f t="shared" si="204"/>
        <v>0</v>
      </c>
      <c r="DV283" s="3">
        <f t="shared" si="204"/>
        <v>0</v>
      </c>
      <c r="DW283" s="3">
        <f t="shared" si="204"/>
        <v>0</v>
      </c>
      <c r="DX283" s="3">
        <f t="shared" si="204"/>
        <v>0</v>
      </c>
      <c r="DY283" s="3">
        <f t="shared" si="204"/>
        <v>0</v>
      </c>
      <c r="DZ283" s="3">
        <f t="shared" si="204"/>
        <v>0</v>
      </c>
      <c r="EA283" s="3">
        <f t="shared" si="204"/>
        <v>0</v>
      </c>
      <c r="EB283" s="3">
        <f t="shared" si="204"/>
        <v>0</v>
      </c>
      <c r="EC283" s="3">
        <f t="shared" si="204"/>
        <v>0</v>
      </c>
      <c r="ED283" s="3">
        <f t="shared" si="204"/>
        <v>0</v>
      </c>
      <c r="EE283" s="3">
        <f t="shared" si="204"/>
        <v>0</v>
      </c>
      <c r="EF283" s="3">
        <f t="shared" si="204"/>
        <v>0</v>
      </c>
      <c r="EG283" s="3">
        <f t="shared" si="204"/>
        <v>0</v>
      </c>
      <c r="EH283" s="3">
        <f t="shared" si="204"/>
        <v>0</v>
      </c>
      <c r="EI283" s="3">
        <f t="shared" si="204"/>
        <v>0</v>
      </c>
      <c r="EJ283" s="3">
        <f t="shared" si="204"/>
        <v>0</v>
      </c>
      <c r="EK283" s="3">
        <f t="shared" si="204"/>
        <v>0</v>
      </c>
      <c r="EL283" s="3">
        <f t="shared" si="204"/>
        <v>0</v>
      </c>
      <c r="EM283" s="3">
        <f t="shared" ref="EM283:FR283" si="205">EM289</f>
        <v>0</v>
      </c>
      <c r="EN283" s="3">
        <f t="shared" si="205"/>
        <v>0</v>
      </c>
      <c r="EO283" s="3">
        <f t="shared" si="205"/>
        <v>0</v>
      </c>
      <c r="EP283" s="3">
        <f t="shared" si="205"/>
        <v>0</v>
      </c>
      <c r="EQ283" s="3">
        <f t="shared" si="205"/>
        <v>0</v>
      </c>
      <c r="ER283" s="3">
        <f t="shared" si="205"/>
        <v>0</v>
      </c>
      <c r="ES283" s="3">
        <f t="shared" si="205"/>
        <v>0</v>
      </c>
      <c r="ET283" s="3">
        <f t="shared" si="205"/>
        <v>0</v>
      </c>
      <c r="EU283" s="3">
        <f t="shared" si="205"/>
        <v>0</v>
      </c>
      <c r="EV283" s="3">
        <f t="shared" si="205"/>
        <v>0</v>
      </c>
      <c r="EW283" s="3">
        <f t="shared" si="205"/>
        <v>0</v>
      </c>
      <c r="EX283" s="3">
        <f t="shared" si="205"/>
        <v>0</v>
      </c>
      <c r="EY283" s="3">
        <f t="shared" si="205"/>
        <v>0</v>
      </c>
      <c r="EZ283" s="3">
        <f t="shared" si="205"/>
        <v>0</v>
      </c>
      <c r="FA283" s="3">
        <f t="shared" si="205"/>
        <v>0</v>
      </c>
      <c r="FB283" s="3">
        <f t="shared" si="205"/>
        <v>0</v>
      </c>
      <c r="FC283" s="3">
        <f t="shared" si="205"/>
        <v>0</v>
      </c>
      <c r="FD283" s="3">
        <f t="shared" si="205"/>
        <v>0</v>
      </c>
      <c r="FE283" s="3">
        <f t="shared" si="205"/>
        <v>0</v>
      </c>
      <c r="FF283" s="3">
        <f t="shared" si="205"/>
        <v>0</v>
      </c>
      <c r="FG283" s="3">
        <f t="shared" si="205"/>
        <v>0</v>
      </c>
      <c r="FH283" s="3">
        <f t="shared" si="205"/>
        <v>0</v>
      </c>
      <c r="FI283" s="3">
        <f t="shared" si="205"/>
        <v>0</v>
      </c>
      <c r="FJ283" s="3">
        <f t="shared" si="205"/>
        <v>0</v>
      </c>
      <c r="FK283" s="3">
        <f t="shared" si="205"/>
        <v>0</v>
      </c>
      <c r="FL283" s="3">
        <f t="shared" si="205"/>
        <v>0</v>
      </c>
      <c r="FM283" s="3">
        <f t="shared" si="205"/>
        <v>0</v>
      </c>
      <c r="FN283" s="3">
        <f t="shared" si="205"/>
        <v>0</v>
      </c>
      <c r="FO283" s="3">
        <f t="shared" si="205"/>
        <v>0</v>
      </c>
      <c r="FP283" s="3">
        <f t="shared" si="205"/>
        <v>0</v>
      </c>
      <c r="FQ283" s="3">
        <f t="shared" si="205"/>
        <v>0</v>
      </c>
      <c r="FR283" s="3">
        <f t="shared" si="205"/>
        <v>0</v>
      </c>
      <c r="FS283" s="3">
        <f t="shared" ref="FS283:GX283" si="206">FS289</f>
        <v>0</v>
      </c>
      <c r="FT283" s="3">
        <f t="shared" si="206"/>
        <v>0</v>
      </c>
      <c r="FU283" s="3">
        <f t="shared" si="206"/>
        <v>0</v>
      </c>
      <c r="FV283" s="3">
        <f t="shared" si="206"/>
        <v>0</v>
      </c>
      <c r="FW283" s="3">
        <f t="shared" si="206"/>
        <v>0</v>
      </c>
      <c r="FX283" s="3">
        <f t="shared" si="206"/>
        <v>0</v>
      </c>
      <c r="FY283" s="3">
        <f t="shared" si="206"/>
        <v>0</v>
      </c>
      <c r="FZ283" s="3">
        <f t="shared" si="206"/>
        <v>0</v>
      </c>
      <c r="GA283" s="3">
        <f t="shared" si="206"/>
        <v>0</v>
      </c>
      <c r="GB283" s="3">
        <f t="shared" si="206"/>
        <v>0</v>
      </c>
      <c r="GC283" s="3">
        <f t="shared" si="206"/>
        <v>0</v>
      </c>
      <c r="GD283" s="3">
        <f t="shared" si="206"/>
        <v>0</v>
      </c>
      <c r="GE283" s="3">
        <f t="shared" si="206"/>
        <v>0</v>
      </c>
      <c r="GF283" s="3">
        <f t="shared" si="206"/>
        <v>0</v>
      </c>
      <c r="GG283" s="3">
        <f t="shared" si="206"/>
        <v>0</v>
      </c>
      <c r="GH283" s="3">
        <f t="shared" si="206"/>
        <v>0</v>
      </c>
      <c r="GI283" s="3">
        <f t="shared" si="206"/>
        <v>0</v>
      </c>
      <c r="GJ283" s="3">
        <f t="shared" si="206"/>
        <v>0</v>
      </c>
      <c r="GK283" s="3">
        <f t="shared" si="206"/>
        <v>0</v>
      </c>
      <c r="GL283" s="3">
        <f t="shared" si="206"/>
        <v>0</v>
      </c>
      <c r="GM283" s="3">
        <f t="shared" si="206"/>
        <v>0</v>
      </c>
      <c r="GN283" s="3">
        <f t="shared" si="206"/>
        <v>0</v>
      </c>
      <c r="GO283" s="3">
        <f t="shared" si="206"/>
        <v>0</v>
      </c>
      <c r="GP283" s="3">
        <f t="shared" si="206"/>
        <v>0</v>
      </c>
      <c r="GQ283" s="3">
        <f t="shared" si="206"/>
        <v>0</v>
      </c>
      <c r="GR283" s="3">
        <f t="shared" si="206"/>
        <v>0</v>
      </c>
      <c r="GS283" s="3">
        <f t="shared" si="206"/>
        <v>0</v>
      </c>
      <c r="GT283" s="3">
        <f t="shared" si="206"/>
        <v>0</v>
      </c>
      <c r="GU283" s="3">
        <f t="shared" si="206"/>
        <v>0</v>
      </c>
      <c r="GV283" s="3">
        <f t="shared" si="206"/>
        <v>0</v>
      </c>
      <c r="GW283" s="3">
        <f t="shared" si="206"/>
        <v>0</v>
      </c>
      <c r="GX283" s="3">
        <f t="shared" si="206"/>
        <v>0</v>
      </c>
    </row>
    <row r="285" spans="1:245" x14ac:dyDescent="0.2">
      <c r="A285">
        <v>17</v>
      </c>
      <c r="B285">
        <v>1</v>
      </c>
      <c r="C285">
        <f>ROW(SmtRes!A51)</f>
        <v>51</v>
      </c>
      <c r="D285">
        <f>ROW(EtalonRes!A55)</f>
        <v>55</v>
      </c>
      <c r="E285" t="s">
        <v>251</v>
      </c>
      <c r="F285" t="s">
        <v>252</v>
      </c>
      <c r="G285" t="s">
        <v>253</v>
      </c>
      <c r="H285" t="s">
        <v>254</v>
      </c>
      <c r="I285">
        <f>ROUND(1.4+2.22,9)</f>
        <v>3.62</v>
      </c>
      <c r="J285">
        <v>0</v>
      </c>
      <c r="O285">
        <f>ROUND(CP285,2)</f>
        <v>104892.84</v>
      </c>
      <c r="P285">
        <f>ROUND(CQ285*I285,2)</f>
        <v>880.5</v>
      </c>
      <c r="Q285">
        <f>ROUND(CR285*I285,2)</f>
        <v>0</v>
      </c>
      <c r="R285">
        <f>ROUND(CS285*I285,2)</f>
        <v>0</v>
      </c>
      <c r="S285">
        <f>ROUND(CT285*I285,2)</f>
        <v>104012.34</v>
      </c>
      <c r="T285">
        <f>ROUND(CU285*I285,2)</f>
        <v>0</v>
      </c>
      <c r="U285">
        <f>CV285*I285</f>
        <v>513.71782000000007</v>
      </c>
      <c r="V285">
        <f>CW285*I285</f>
        <v>0</v>
      </c>
      <c r="W285">
        <f>ROUND(CX285*I285,2)</f>
        <v>0</v>
      </c>
      <c r="X285">
        <f t="shared" ref="X285:Y287" si="207">ROUND(CY285,2)</f>
        <v>98811.72</v>
      </c>
      <c r="Y285">
        <f t="shared" si="207"/>
        <v>45765.43</v>
      </c>
      <c r="AA285">
        <v>42446460</v>
      </c>
      <c r="AB285">
        <f>ROUND((AC285+AD285+AF285),6)</f>
        <v>1531.32</v>
      </c>
      <c r="AC285">
        <f>ROUND((ES285),6)</f>
        <v>44.38</v>
      </c>
      <c r="AD285">
        <f>ROUND((((ET285)-(EU285))+AE285),6)</f>
        <v>0</v>
      </c>
      <c r="AE285">
        <f t="shared" ref="AE285:AF287" si="208">ROUND((EU285),6)</f>
        <v>0</v>
      </c>
      <c r="AF285">
        <f t="shared" si="208"/>
        <v>1486.94</v>
      </c>
      <c r="AG285">
        <f>ROUND((AP285),6)</f>
        <v>0</v>
      </c>
      <c r="AH285">
        <f t="shared" ref="AH285:AI287" si="209">(EW285)</f>
        <v>133</v>
      </c>
      <c r="AI285">
        <f t="shared" si="209"/>
        <v>0</v>
      </c>
      <c r="AJ285">
        <f>ROUND((AS285),6)</f>
        <v>0</v>
      </c>
      <c r="AK285">
        <v>1531.32</v>
      </c>
      <c r="AL285">
        <v>44.38</v>
      </c>
      <c r="AM285">
        <v>0</v>
      </c>
      <c r="AN285">
        <v>0</v>
      </c>
      <c r="AO285">
        <v>1486.94</v>
      </c>
      <c r="AP285">
        <v>0</v>
      </c>
      <c r="AQ285">
        <v>133</v>
      </c>
      <c r="AR285">
        <v>0</v>
      </c>
      <c r="AS285">
        <v>0</v>
      </c>
      <c r="AT285">
        <v>95</v>
      </c>
      <c r="AU285">
        <v>44</v>
      </c>
      <c r="AV285">
        <v>1.0669999999999999</v>
      </c>
      <c r="AW285">
        <v>1.081</v>
      </c>
      <c r="AZ285">
        <v>1</v>
      </c>
      <c r="BA285">
        <v>18.11</v>
      </c>
      <c r="BB285">
        <v>1</v>
      </c>
      <c r="BC285">
        <v>5.07</v>
      </c>
      <c r="BD285" t="s">
        <v>3</v>
      </c>
      <c r="BE285" t="s">
        <v>3</v>
      </c>
      <c r="BF285" t="s">
        <v>3</v>
      </c>
      <c r="BG285" t="s">
        <v>3</v>
      </c>
      <c r="BH285">
        <v>0</v>
      </c>
      <c r="BI285">
        <v>1</v>
      </c>
      <c r="BJ285" t="s">
        <v>255</v>
      </c>
      <c r="BM285">
        <v>242</v>
      </c>
      <c r="BN285">
        <v>0</v>
      </c>
      <c r="BO285" t="s">
        <v>252</v>
      </c>
      <c r="BP285">
        <v>1</v>
      </c>
      <c r="BQ285">
        <v>30</v>
      </c>
      <c r="BR285">
        <v>0</v>
      </c>
      <c r="BS285">
        <v>18.11</v>
      </c>
      <c r="BT285">
        <v>1</v>
      </c>
      <c r="BU285">
        <v>1</v>
      </c>
      <c r="BV285">
        <v>1</v>
      </c>
      <c r="BW285">
        <v>1</v>
      </c>
      <c r="BX285">
        <v>1</v>
      </c>
      <c r="BY285" t="s">
        <v>3</v>
      </c>
      <c r="BZ285">
        <v>95</v>
      </c>
      <c r="CA285">
        <v>44</v>
      </c>
      <c r="CF285">
        <v>0</v>
      </c>
      <c r="CG285">
        <v>0</v>
      </c>
      <c r="CM285">
        <v>0</v>
      </c>
      <c r="CN285" t="s">
        <v>3</v>
      </c>
      <c r="CO285">
        <v>0</v>
      </c>
      <c r="CP285">
        <f>(P285+Q285+S285)</f>
        <v>104892.84</v>
      </c>
      <c r="CQ285">
        <f>(AC285*BC285*AW285)</f>
        <v>243.23213460000002</v>
      </c>
      <c r="CR285">
        <f>((((ET285)*BB285-(EU285)*BS285)+AE285*BS285)*AV285)</f>
        <v>0</v>
      </c>
      <c r="CS285">
        <f>(AE285*BS285*AV285)</f>
        <v>0</v>
      </c>
      <c r="CT285">
        <f>(AF285*BA285*AV285)</f>
        <v>28732.691787799999</v>
      </c>
      <c r="CU285">
        <f>AG285</f>
        <v>0</v>
      </c>
      <c r="CV285">
        <f>(AH285*AV285)</f>
        <v>141.911</v>
      </c>
      <c r="CW285">
        <f t="shared" ref="CW285:CX287" si="210">AI285</f>
        <v>0</v>
      </c>
      <c r="CX285">
        <f t="shared" si="210"/>
        <v>0</v>
      </c>
      <c r="CY285">
        <f>S285*(BZ285/100)</f>
        <v>98811.722999999998</v>
      </c>
      <c r="CZ285">
        <f>S285*(CA285/100)</f>
        <v>45765.429599999996</v>
      </c>
      <c r="DC285" t="s">
        <v>3</v>
      </c>
      <c r="DD285" t="s">
        <v>3</v>
      </c>
      <c r="DE285" t="s">
        <v>3</v>
      </c>
      <c r="DF285" t="s">
        <v>3</v>
      </c>
      <c r="DG285" t="s">
        <v>3</v>
      </c>
      <c r="DH285" t="s">
        <v>3</v>
      </c>
      <c r="DI285" t="s">
        <v>3</v>
      </c>
      <c r="DJ285" t="s">
        <v>3</v>
      </c>
      <c r="DK285" t="s">
        <v>3</v>
      </c>
      <c r="DL285" t="s">
        <v>3</v>
      </c>
      <c r="DM285" t="s">
        <v>3</v>
      </c>
      <c r="DN285">
        <v>112</v>
      </c>
      <c r="DO285">
        <v>70</v>
      </c>
      <c r="DP285">
        <v>1.0669999999999999</v>
      </c>
      <c r="DQ285">
        <v>1.081</v>
      </c>
      <c r="DU285">
        <v>1013</v>
      </c>
      <c r="DV285" t="s">
        <v>254</v>
      </c>
      <c r="DW285" t="s">
        <v>254</v>
      </c>
      <c r="DX285">
        <v>1</v>
      </c>
      <c r="EE285">
        <v>42186289</v>
      </c>
      <c r="EF285">
        <v>30</v>
      </c>
      <c r="EG285" t="s">
        <v>14</v>
      </c>
      <c r="EH285">
        <v>0</v>
      </c>
      <c r="EI285" t="s">
        <v>3</v>
      </c>
      <c r="EJ285">
        <v>1</v>
      </c>
      <c r="EK285">
        <v>242</v>
      </c>
      <c r="EL285" t="s">
        <v>256</v>
      </c>
      <c r="EM285" t="s">
        <v>257</v>
      </c>
      <c r="EO285" t="s">
        <v>3</v>
      </c>
      <c r="EQ285">
        <v>131072</v>
      </c>
      <c r="ER285">
        <v>1531.32</v>
      </c>
      <c r="ES285">
        <v>44.38</v>
      </c>
      <c r="ET285">
        <v>0</v>
      </c>
      <c r="EU285">
        <v>0</v>
      </c>
      <c r="EV285">
        <v>1486.94</v>
      </c>
      <c r="EW285">
        <v>133</v>
      </c>
      <c r="EX285">
        <v>0</v>
      </c>
      <c r="EY285">
        <v>0</v>
      </c>
      <c r="FQ285">
        <v>0</v>
      </c>
      <c r="FR285">
        <f>ROUND(IF(AND(BH285=3,BI285=3),P285,0),2)</f>
        <v>0</v>
      </c>
      <c r="FS285">
        <v>0</v>
      </c>
      <c r="FX285">
        <v>112</v>
      </c>
      <c r="FY285">
        <v>70</v>
      </c>
      <c r="GA285" t="s">
        <v>3</v>
      </c>
      <c r="GD285">
        <v>0</v>
      </c>
      <c r="GF285">
        <v>-1576545789</v>
      </c>
      <c r="GG285">
        <v>2</v>
      </c>
      <c r="GH285">
        <v>1</v>
      </c>
      <c r="GI285">
        <v>2</v>
      </c>
      <c r="GJ285">
        <v>0</v>
      </c>
      <c r="GK285">
        <f>ROUND(R285*(R12)/100,2)</f>
        <v>0</v>
      </c>
      <c r="GL285">
        <f>ROUND(IF(AND(BH285=3,BI285=3,FS285&lt;&gt;0),P285,0),2)</f>
        <v>0</v>
      </c>
      <c r="GM285">
        <f>ROUND(O285+X285+Y285+GK285,2)+GX285</f>
        <v>249469.99</v>
      </c>
      <c r="GN285">
        <f>IF(OR(BI285=0,BI285=1),ROUND(O285+X285+Y285+GK285,2),0)</f>
        <v>249469.99</v>
      </c>
      <c r="GO285">
        <f>IF(BI285=2,ROUND(O285+X285+Y285+GK285,2),0)</f>
        <v>0</v>
      </c>
      <c r="GP285">
        <f>IF(BI285=4,ROUND(O285+X285+Y285+GK285,2)+GX285,0)</f>
        <v>0</v>
      </c>
      <c r="GR285">
        <v>0</v>
      </c>
      <c r="GS285">
        <v>3</v>
      </c>
      <c r="GT285">
        <v>0</v>
      </c>
      <c r="GU285" t="s">
        <v>3</v>
      </c>
      <c r="GV285">
        <f>ROUND(GT285,6)</f>
        <v>0</v>
      </c>
      <c r="GW285">
        <v>1</v>
      </c>
      <c r="GX285">
        <f>ROUND(GV285*GW285*I285,2)</f>
        <v>0</v>
      </c>
      <c r="HA285">
        <v>0</v>
      </c>
      <c r="HB285">
        <v>0</v>
      </c>
      <c r="IK285">
        <v>0</v>
      </c>
    </row>
    <row r="286" spans="1:245" x14ac:dyDescent="0.2">
      <c r="A286">
        <v>17</v>
      </c>
      <c r="B286">
        <v>1</v>
      </c>
      <c r="E286" t="s">
        <v>258</v>
      </c>
      <c r="F286" t="s">
        <v>259</v>
      </c>
      <c r="G286" t="s">
        <v>260</v>
      </c>
      <c r="H286" t="s">
        <v>205</v>
      </c>
      <c r="I286">
        <v>1400</v>
      </c>
      <c r="J286">
        <v>0</v>
      </c>
      <c r="O286">
        <f>ROUND(CP286,2)</f>
        <v>1421925.12</v>
      </c>
      <c r="P286">
        <f>ROUND(CQ286*I286,2)</f>
        <v>1421925.12</v>
      </c>
      <c r="Q286">
        <f>ROUND(CR286*I286,2)</f>
        <v>0</v>
      </c>
      <c r="R286">
        <f>ROUND(CS286*I286,2)</f>
        <v>0</v>
      </c>
      <c r="S286">
        <f>ROUND(CT286*I286,2)</f>
        <v>0</v>
      </c>
      <c r="T286">
        <f>ROUND(CU286*I286,2)</f>
        <v>0</v>
      </c>
      <c r="U286">
        <f>CV286*I286</f>
        <v>0</v>
      </c>
      <c r="V286">
        <f>CW286*I286</f>
        <v>0</v>
      </c>
      <c r="W286">
        <f>ROUND(CX286*I286,2)</f>
        <v>0</v>
      </c>
      <c r="X286">
        <f t="shared" si="207"/>
        <v>0</v>
      </c>
      <c r="Y286">
        <f t="shared" si="207"/>
        <v>0</v>
      </c>
      <c r="AA286">
        <v>42446460</v>
      </c>
      <c r="AB286">
        <f>ROUND((AC286+AD286+AF286),6)</f>
        <v>147.84</v>
      </c>
      <c r="AC286">
        <f>ROUND((ES286),6)</f>
        <v>147.84</v>
      </c>
      <c r="AD286">
        <f>ROUND((((ET286)-(EU286))+AE286),6)</f>
        <v>0</v>
      </c>
      <c r="AE286">
        <f t="shared" si="208"/>
        <v>0</v>
      </c>
      <c r="AF286">
        <f t="shared" si="208"/>
        <v>0</v>
      </c>
      <c r="AG286">
        <f>ROUND((AP286),6)</f>
        <v>0</v>
      </c>
      <c r="AH286">
        <f t="shared" si="209"/>
        <v>0</v>
      </c>
      <c r="AI286">
        <f t="shared" si="209"/>
        <v>0</v>
      </c>
      <c r="AJ286">
        <f>ROUND((AS286),6)</f>
        <v>0</v>
      </c>
      <c r="AK286">
        <v>147.84</v>
      </c>
      <c r="AL286">
        <v>147.84</v>
      </c>
      <c r="AM286">
        <v>0</v>
      </c>
      <c r="AN286">
        <v>0</v>
      </c>
      <c r="AO286">
        <v>0</v>
      </c>
      <c r="AP286">
        <v>0</v>
      </c>
      <c r="AQ286">
        <v>0</v>
      </c>
      <c r="AR286">
        <v>0</v>
      </c>
      <c r="AS286">
        <v>0</v>
      </c>
      <c r="AT286">
        <v>0</v>
      </c>
      <c r="AU286">
        <v>0</v>
      </c>
      <c r="AV286">
        <v>1</v>
      </c>
      <c r="AW286">
        <v>1</v>
      </c>
      <c r="AZ286">
        <v>1</v>
      </c>
      <c r="BA286">
        <v>1</v>
      </c>
      <c r="BB286">
        <v>1</v>
      </c>
      <c r="BC286">
        <v>6.87</v>
      </c>
      <c r="BD286" t="s">
        <v>3</v>
      </c>
      <c r="BE286" t="s">
        <v>3</v>
      </c>
      <c r="BF286" t="s">
        <v>3</v>
      </c>
      <c r="BG286" t="s">
        <v>3</v>
      </c>
      <c r="BH286">
        <v>3</v>
      </c>
      <c r="BI286">
        <v>1</v>
      </c>
      <c r="BJ286" t="s">
        <v>261</v>
      </c>
      <c r="BM286">
        <v>1617</v>
      </c>
      <c r="BN286">
        <v>0</v>
      </c>
      <c r="BO286" t="s">
        <v>259</v>
      </c>
      <c r="BP286">
        <v>1</v>
      </c>
      <c r="BQ286">
        <v>200</v>
      </c>
      <c r="BR286">
        <v>0</v>
      </c>
      <c r="BS286">
        <v>1</v>
      </c>
      <c r="BT286">
        <v>1</v>
      </c>
      <c r="BU286">
        <v>1</v>
      </c>
      <c r="BV286">
        <v>1</v>
      </c>
      <c r="BW286">
        <v>1</v>
      </c>
      <c r="BX286">
        <v>1</v>
      </c>
      <c r="BY286" t="s">
        <v>3</v>
      </c>
      <c r="BZ286">
        <v>0</v>
      </c>
      <c r="CA286">
        <v>0</v>
      </c>
      <c r="CF286">
        <v>0</v>
      </c>
      <c r="CG286">
        <v>0</v>
      </c>
      <c r="CM286">
        <v>0</v>
      </c>
      <c r="CN286" t="s">
        <v>3</v>
      </c>
      <c r="CO286">
        <v>0</v>
      </c>
      <c r="CP286">
        <f>(P286+Q286+S286)</f>
        <v>1421925.12</v>
      </c>
      <c r="CQ286">
        <f>(AC286*BC286*AW286)</f>
        <v>1015.6608</v>
      </c>
      <c r="CR286">
        <f>((((ET286)*BB286-(EU286)*BS286)+AE286*BS286)*AV286)</f>
        <v>0</v>
      </c>
      <c r="CS286">
        <f>(AE286*BS286*AV286)</f>
        <v>0</v>
      </c>
      <c r="CT286">
        <f>(AF286*BA286*AV286)</f>
        <v>0</v>
      </c>
      <c r="CU286">
        <f>AG286</f>
        <v>0</v>
      </c>
      <c r="CV286">
        <f>(AH286*AV286)</f>
        <v>0</v>
      </c>
      <c r="CW286">
        <f t="shared" si="210"/>
        <v>0</v>
      </c>
      <c r="CX286">
        <f t="shared" si="210"/>
        <v>0</v>
      </c>
      <c r="CY286">
        <f>S286*(BZ286/100)</f>
        <v>0</v>
      </c>
      <c r="CZ286">
        <f>S286*(CA286/100)</f>
        <v>0</v>
      </c>
      <c r="DC286" t="s">
        <v>3</v>
      </c>
      <c r="DD286" t="s">
        <v>3</v>
      </c>
      <c r="DE286" t="s">
        <v>3</v>
      </c>
      <c r="DF286" t="s">
        <v>3</v>
      </c>
      <c r="DG286" t="s">
        <v>3</v>
      </c>
      <c r="DH286" t="s">
        <v>3</v>
      </c>
      <c r="DI286" t="s">
        <v>3</v>
      </c>
      <c r="DJ286" t="s">
        <v>3</v>
      </c>
      <c r="DK286" t="s">
        <v>3</v>
      </c>
      <c r="DL286" t="s">
        <v>3</v>
      </c>
      <c r="DM286" t="s">
        <v>3</v>
      </c>
      <c r="DN286">
        <v>0</v>
      </c>
      <c r="DO286">
        <v>0</v>
      </c>
      <c r="DP286">
        <v>1</v>
      </c>
      <c r="DQ286">
        <v>1</v>
      </c>
      <c r="DU286">
        <v>1003</v>
      </c>
      <c r="DV286" t="s">
        <v>205</v>
      </c>
      <c r="DW286" t="s">
        <v>205</v>
      </c>
      <c r="DX286">
        <v>1</v>
      </c>
      <c r="EE286">
        <v>42187664</v>
      </c>
      <c r="EF286">
        <v>200</v>
      </c>
      <c r="EG286" t="s">
        <v>262</v>
      </c>
      <c r="EH286">
        <v>0</v>
      </c>
      <c r="EI286" t="s">
        <v>3</v>
      </c>
      <c r="EJ286">
        <v>1</v>
      </c>
      <c r="EK286">
        <v>1617</v>
      </c>
      <c r="EL286" t="s">
        <v>263</v>
      </c>
      <c r="EM286" t="s">
        <v>264</v>
      </c>
      <c r="EO286" t="s">
        <v>3</v>
      </c>
      <c r="EQ286">
        <v>0</v>
      </c>
      <c r="ER286">
        <v>147.84</v>
      </c>
      <c r="ES286">
        <v>147.84</v>
      </c>
      <c r="ET286">
        <v>0</v>
      </c>
      <c r="EU286">
        <v>0</v>
      </c>
      <c r="EV286">
        <v>0</v>
      </c>
      <c r="EW286">
        <v>0</v>
      </c>
      <c r="EX286">
        <v>0</v>
      </c>
      <c r="EY286">
        <v>0</v>
      </c>
      <c r="FQ286">
        <v>0</v>
      </c>
      <c r="FR286">
        <f>ROUND(IF(AND(BH286=3,BI286=3),P286,0),2)</f>
        <v>0</v>
      </c>
      <c r="FS286">
        <v>0</v>
      </c>
      <c r="FX286">
        <v>0</v>
      </c>
      <c r="FY286">
        <v>0</v>
      </c>
      <c r="GA286" t="s">
        <v>3</v>
      </c>
      <c r="GD286">
        <v>0</v>
      </c>
      <c r="GF286">
        <v>851558435</v>
      </c>
      <c r="GG286">
        <v>2</v>
      </c>
      <c r="GH286">
        <v>1</v>
      </c>
      <c r="GI286">
        <v>2</v>
      </c>
      <c r="GJ286">
        <v>0</v>
      </c>
      <c r="GK286">
        <f>ROUND(R286*(R12)/100,2)</f>
        <v>0</v>
      </c>
      <c r="GL286">
        <f>ROUND(IF(AND(BH286=3,BI286=3,FS286&lt;&gt;0),P286,0),2)</f>
        <v>0</v>
      </c>
      <c r="GM286">
        <f>ROUND(O286+X286+Y286+GK286,2)+GX286</f>
        <v>1421925.12</v>
      </c>
      <c r="GN286">
        <f>IF(OR(BI286=0,BI286=1),ROUND(O286+X286+Y286+GK286,2),0)</f>
        <v>1421925.12</v>
      </c>
      <c r="GO286">
        <f>IF(BI286=2,ROUND(O286+X286+Y286+GK286,2),0)</f>
        <v>0</v>
      </c>
      <c r="GP286">
        <f>IF(BI286=4,ROUND(O286+X286+Y286+GK286,2)+GX286,0)</f>
        <v>0</v>
      </c>
      <c r="GR286">
        <v>0</v>
      </c>
      <c r="GS286">
        <v>3</v>
      </c>
      <c r="GT286">
        <v>0</v>
      </c>
      <c r="GU286" t="s">
        <v>3</v>
      </c>
      <c r="GV286">
        <f>ROUND(GT286,6)</f>
        <v>0</v>
      </c>
      <c r="GW286">
        <v>1</v>
      </c>
      <c r="GX286">
        <f>ROUND(GV286*GW286*I286,2)</f>
        <v>0</v>
      </c>
      <c r="HA286">
        <v>0</v>
      </c>
      <c r="HB286">
        <v>0</v>
      </c>
      <c r="IK286">
        <v>0</v>
      </c>
    </row>
    <row r="287" spans="1:245" x14ac:dyDescent="0.2">
      <c r="A287">
        <v>17</v>
      </c>
      <c r="B287">
        <v>1</v>
      </c>
      <c r="E287" t="s">
        <v>265</v>
      </c>
      <c r="F287" t="s">
        <v>266</v>
      </c>
      <c r="G287" t="s">
        <v>267</v>
      </c>
      <c r="H287" t="s">
        <v>205</v>
      </c>
      <c r="I287">
        <v>2220</v>
      </c>
      <c r="J287">
        <v>0</v>
      </c>
      <c r="O287">
        <f>ROUND(CP287,2)</f>
        <v>389476.8</v>
      </c>
      <c r="P287">
        <f>ROUND(CQ287*I287,2)</f>
        <v>389476.8</v>
      </c>
      <c r="Q287">
        <f>ROUND(CR287*I287,2)</f>
        <v>0</v>
      </c>
      <c r="R287">
        <f>ROUND(CS287*I287,2)</f>
        <v>0</v>
      </c>
      <c r="S287">
        <f>ROUND(CT287*I287,2)</f>
        <v>0</v>
      </c>
      <c r="T287">
        <f>ROUND(CU287*I287,2)</f>
        <v>0</v>
      </c>
      <c r="U287">
        <f>CV287*I287</f>
        <v>0</v>
      </c>
      <c r="V287">
        <f>CW287*I287</f>
        <v>0</v>
      </c>
      <c r="W287">
        <f>ROUND(CX287*I287,2)</f>
        <v>0</v>
      </c>
      <c r="X287">
        <f t="shared" si="207"/>
        <v>0</v>
      </c>
      <c r="Y287">
        <f t="shared" si="207"/>
        <v>0</v>
      </c>
      <c r="AA287">
        <v>42446460</v>
      </c>
      <c r="AB287">
        <f>ROUND((AC287+AD287+AF287),6)</f>
        <v>24</v>
      </c>
      <c r="AC287">
        <f>ROUND((ES287),6)</f>
        <v>24</v>
      </c>
      <c r="AD287">
        <f>ROUND((((ET287)-(EU287))+AE287),6)</f>
        <v>0</v>
      </c>
      <c r="AE287">
        <f t="shared" si="208"/>
        <v>0</v>
      </c>
      <c r="AF287">
        <f t="shared" si="208"/>
        <v>0</v>
      </c>
      <c r="AG287">
        <f>ROUND((AP287),6)</f>
        <v>0</v>
      </c>
      <c r="AH287">
        <f t="shared" si="209"/>
        <v>0</v>
      </c>
      <c r="AI287">
        <f t="shared" si="209"/>
        <v>0</v>
      </c>
      <c r="AJ287">
        <f>ROUND((AS287),6)</f>
        <v>0</v>
      </c>
      <c r="AK287">
        <v>24</v>
      </c>
      <c r="AL287">
        <v>24</v>
      </c>
      <c r="AM287">
        <v>0</v>
      </c>
      <c r="AN287">
        <v>0</v>
      </c>
      <c r="AO287">
        <v>0</v>
      </c>
      <c r="AP287">
        <v>0</v>
      </c>
      <c r="AQ287">
        <v>0</v>
      </c>
      <c r="AR287">
        <v>0</v>
      </c>
      <c r="AS287">
        <v>0</v>
      </c>
      <c r="AT287">
        <v>0</v>
      </c>
      <c r="AU287">
        <v>0</v>
      </c>
      <c r="AV287">
        <v>1</v>
      </c>
      <c r="AW287">
        <v>1</v>
      </c>
      <c r="AZ287">
        <v>1</v>
      </c>
      <c r="BA287">
        <v>1</v>
      </c>
      <c r="BB287">
        <v>1</v>
      </c>
      <c r="BC287">
        <v>7.31</v>
      </c>
      <c r="BD287" t="s">
        <v>3</v>
      </c>
      <c r="BE287" t="s">
        <v>3</v>
      </c>
      <c r="BF287" t="s">
        <v>3</v>
      </c>
      <c r="BG287" t="s">
        <v>3</v>
      </c>
      <c r="BH287">
        <v>3</v>
      </c>
      <c r="BI287">
        <v>1</v>
      </c>
      <c r="BJ287" t="s">
        <v>268</v>
      </c>
      <c r="BM287">
        <v>1617</v>
      </c>
      <c r="BN287">
        <v>0</v>
      </c>
      <c r="BO287" t="s">
        <v>266</v>
      </c>
      <c r="BP287">
        <v>1</v>
      </c>
      <c r="BQ287">
        <v>200</v>
      </c>
      <c r="BR287">
        <v>0</v>
      </c>
      <c r="BS287">
        <v>1</v>
      </c>
      <c r="BT287">
        <v>1</v>
      </c>
      <c r="BU287">
        <v>1</v>
      </c>
      <c r="BV287">
        <v>1</v>
      </c>
      <c r="BW287">
        <v>1</v>
      </c>
      <c r="BX287">
        <v>1</v>
      </c>
      <c r="BY287" t="s">
        <v>3</v>
      </c>
      <c r="BZ287">
        <v>0</v>
      </c>
      <c r="CA287">
        <v>0</v>
      </c>
      <c r="CF287">
        <v>0</v>
      </c>
      <c r="CG287">
        <v>0</v>
      </c>
      <c r="CM287">
        <v>0</v>
      </c>
      <c r="CN287" t="s">
        <v>3</v>
      </c>
      <c r="CO287">
        <v>0</v>
      </c>
      <c r="CP287">
        <f>(P287+Q287+S287)</f>
        <v>389476.8</v>
      </c>
      <c r="CQ287">
        <f>(AC287*BC287*AW287)</f>
        <v>175.44</v>
      </c>
      <c r="CR287">
        <f>((((ET287)*BB287-(EU287)*BS287)+AE287*BS287)*AV287)</f>
        <v>0</v>
      </c>
      <c r="CS287">
        <f>(AE287*BS287*AV287)</f>
        <v>0</v>
      </c>
      <c r="CT287">
        <f>(AF287*BA287*AV287)</f>
        <v>0</v>
      </c>
      <c r="CU287">
        <f>AG287</f>
        <v>0</v>
      </c>
      <c r="CV287">
        <f>(AH287*AV287)</f>
        <v>0</v>
      </c>
      <c r="CW287">
        <f t="shared" si="210"/>
        <v>0</v>
      </c>
      <c r="CX287">
        <f t="shared" si="210"/>
        <v>0</v>
      </c>
      <c r="CY287">
        <f>S287*(BZ287/100)</f>
        <v>0</v>
      </c>
      <c r="CZ287">
        <f>S287*(CA287/100)</f>
        <v>0</v>
      </c>
      <c r="DC287" t="s">
        <v>3</v>
      </c>
      <c r="DD287" t="s">
        <v>3</v>
      </c>
      <c r="DE287" t="s">
        <v>3</v>
      </c>
      <c r="DF287" t="s">
        <v>3</v>
      </c>
      <c r="DG287" t="s">
        <v>3</v>
      </c>
      <c r="DH287" t="s">
        <v>3</v>
      </c>
      <c r="DI287" t="s">
        <v>3</v>
      </c>
      <c r="DJ287" t="s">
        <v>3</v>
      </c>
      <c r="DK287" t="s">
        <v>3</v>
      </c>
      <c r="DL287" t="s">
        <v>3</v>
      </c>
      <c r="DM287" t="s">
        <v>3</v>
      </c>
      <c r="DN287">
        <v>0</v>
      </c>
      <c r="DO287">
        <v>0</v>
      </c>
      <c r="DP287">
        <v>1</v>
      </c>
      <c r="DQ287">
        <v>1</v>
      </c>
      <c r="DU287">
        <v>1003</v>
      </c>
      <c r="DV287" t="s">
        <v>205</v>
      </c>
      <c r="DW287" t="s">
        <v>205</v>
      </c>
      <c r="DX287">
        <v>1</v>
      </c>
      <c r="EE287">
        <v>42187664</v>
      </c>
      <c r="EF287">
        <v>200</v>
      </c>
      <c r="EG287" t="s">
        <v>262</v>
      </c>
      <c r="EH287">
        <v>0</v>
      </c>
      <c r="EI287" t="s">
        <v>3</v>
      </c>
      <c r="EJ287">
        <v>1</v>
      </c>
      <c r="EK287">
        <v>1617</v>
      </c>
      <c r="EL287" t="s">
        <v>263</v>
      </c>
      <c r="EM287" t="s">
        <v>264</v>
      </c>
      <c r="EO287" t="s">
        <v>3</v>
      </c>
      <c r="EQ287">
        <v>131072</v>
      </c>
      <c r="ER287">
        <v>24</v>
      </c>
      <c r="ES287">
        <v>24</v>
      </c>
      <c r="ET287">
        <v>0</v>
      </c>
      <c r="EU287">
        <v>0</v>
      </c>
      <c r="EV287">
        <v>0</v>
      </c>
      <c r="EW287">
        <v>0</v>
      </c>
      <c r="EX287">
        <v>0</v>
      </c>
      <c r="EY287">
        <v>0</v>
      </c>
      <c r="FQ287">
        <v>0</v>
      </c>
      <c r="FR287">
        <f>ROUND(IF(AND(BH287=3,BI287=3),P287,0),2)</f>
        <v>0</v>
      </c>
      <c r="FS287">
        <v>0</v>
      </c>
      <c r="FX287">
        <v>0</v>
      </c>
      <c r="FY287">
        <v>0</v>
      </c>
      <c r="GA287" t="s">
        <v>3</v>
      </c>
      <c r="GD287">
        <v>0</v>
      </c>
      <c r="GF287">
        <v>916832669</v>
      </c>
      <c r="GG287">
        <v>2</v>
      </c>
      <c r="GH287">
        <v>1</v>
      </c>
      <c r="GI287">
        <v>2</v>
      </c>
      <c r="GJ287">
        <v>0</v>
      </c>
      <c r="GK287">
        <f>ROUND(R287*(R12)/100,2)</f>
        <v>0</v>
      </c>
      <c r="GL287">
        <f>ROUND(IF(AND(BH287=3,BI287=3,FS287&lt;&gt;0),P287,0),2)</f>
        <v>0</v>
      </c>
      <c r="GM287">
        <f>ROUND(O287+X287+Y287+GK287,2)+GX287</f>
        <v>389476.8</v>
      </c>
      <c r="GN287">
        <f>IF(OR(BI287=0,BI287=1),ROUND(O287+X287+Y287+GK287,2),0)</f>
        <v>389476.8</v>
      </c>
      <c r="GO287">
        <f>IF(BI287=2,ROUND(O287+X287+Y287+GK287,2),0)</f>
        <v>0</v>
      </c>
      <c r="GP287">
        <f>IF(BI287=4,ROUND(O287+X287+Y287+GK287,2)+GX287,0)</f>
        <v>0</v>
      </c>
      <c r="GR287">
        <v>0</v>
      </c>
      <c r="GS287">
        <v>3</v>
      </c>
      <c r="GT287">
        <v>0</v>
      </c>
      <c r="GU287" t="s">
        <v>3</v>
      </c>
      <c r="GV287">
        <f>ROUND(GT287,6)</f>
        <v>0</v>
      </c>
      <c r="GW287">
        <v>1</v>
      </c>
      <c r="GX287">
        <f>ROUND(GV287*GW287*I287,2)</f>
        <v>0</v>
      </c>
      <c r="HA287">
        <v>0</v>
      </c>
      <c r="HB287">
        <v>0</v>
      </c>
      <c r="IK287">
        <v>0</v>
      </c>
    </row>
    <row r="289" spans="1:206" x14ac:dyDescent="0.2">
      <c r="A289" s="2">
        <v>51</v>
      </c>
      <c r="B289" s="2">
        <f>B281</f>
        <v>1</v>
      </c>
      <c r="C289" s="2">
        <f>A281</f>
        <v>5</v>
      </c>
      <c r="D289" s="2">
        <f>ROW(A281)</f>
        <v>281</v>
      </c>
      <c r="E289" s="2"/>
      <c r="F289" s="2" t="str">
        <f>IF(F281&lt;&gt;"",F281,"")</f>
        <v>Новый подраздел</v>
      </c>
      <c r="G289" s="2" t="str">
        <f>IF(G281&lt;&gt;"",G281,"")</f>
        <v>2.3</v>
      </c>
      <c r="H289" s="2">
        <v>0</v>
      </c>
      <c r="I289" s="2"/>
      <c r="J289" s="2"/>
      <c r="K289" s="2"/>
      <c r="L289" s="2"/>
      <c r="M289" s="2"/>
      <c r="N289" s="2"/>
      <c r="O289" s="2">
        <f t="shared" ref="O289:T289" si="211">ROUND(AB289,2)</f>
        <v>1916294.76</v>
      </c>
      <c r="P289" s="2">
        <f t="shared" si="211"/>
        <v>1812282.42</v>
      </c>
      <c r="Q289" s="2">
        <f t="shared" si="211"/>
        <v>0</v>
      </c>
      <c r="R289" s="2">
        <f t="shared" si="211"/>
        <v>0</v>
      </c>
      <c r="S289" s="2">
        <f t="shared" si="211"/>
        <v>104012.34</v>
      </c>
      <c r="T289" s="2">
        <f t="shared" si="211"/>
        <v>0</v>
      </c>
      <c r="U289" s="2">
        <f>AH289</f>
        <v>513.71782000000007</v>
      </c>
      <c r="V289" s="2">
        <f>AI289</f>
        <v>0</v>
      </c>
      <c r="W289" s="2">
        <f>ROUND(AJ289,2)</f>
        <v>0</v>
      </c>
      <c r="X289" s="2">
        <f>ROUND(AK289,2)</f>
        <v>98811.72</v>
      </c>
      <c r="Y289" s="2">
        <f>ROUND(AL289,2)</f>
        <v>45765.43</v>
      </c>
      <c r="Z289" s="2"/>
      <c r="AA289" s="2"/>
      <c r="AB289" s="2">
        <f>ROUND(SUMIF(AA285:AA287,"=42446460",O285:O287),2)</f>
        <v>1916294.76</v>
      </c>
      <c r="AC289" s="2">
        <f>ROUND(SUMIF(AA285:AA287,"=42446460",P285:P287),2)</f>
        <v>1812282.42</v>
      </c>
      <c r="AD289" s="2">
        <f>ROUND(SUMIF(AA285:AA287,"=42446460",Q285:Q287),2)</f>
        <v>0</v>
      </c>
      <c r="AE289" s="2">
        <f>ROUND(SUMIF(AA285:AA287,"=42446460",R285:R287),2)</f>
        <v>0</v>
      </c>
      <c r="AF289" s="2">
        <f>ROUND(SUMIF(AA285:AA287,"=42446460",S285:S287),2)</f>
        <v>104012.34</v>
      </c>
      <c r="AG289" s="2">
        <f>ROUND(SUMIF(AA285:AA287,"=42446460",T285:T287),2)</f>
        <v>0</v>
      </c>
      <c r="AH289" s="2">
        <f>SUMIF(AA285:AA287,"=42446460",U285:U287)</f>
        <v>513.71782000000007</v>
      </c>
      <c r="AI289" s="2">
        <f>SUMIF(AA285:AA287,"=42446460",V285:V287)</f>
        <v>0</v>
      </c>
      <c r="AJ289" s="2">
        <f>ROUND(SUMIF(AA285:AA287,"=42446460",W285:W287),2)</f>
        <v>0</v>
      </c>
      <c r="AK289" s="2">
        <f>ROUND(SUMIF(AA285:AA287,"=42446460",X285:X287),2)</f>
        <v>98811.72</v>
      </c>
      <c r="AL289" s="2">
        <f>ROUND(SUMIF(AA285:AA287,"=42446460",Y285:Y287),2)</f>
        <v>45765.43</v>
      </c>
      <c r="AM289" s="2"/>
      <c r="AN289" s="2"/>
      <c r="AO289" s="2">
        <f t="shared" ref="AO289:BC289" si="212">ROUND(BX289,2)</f>
        <v>0</v>
      </c>
      <c r="AP289" s="2">
        <f t="shared" si="212"/>
        <v>0</v>
      </c>
      <c r="AQ289" s="2">
        <f t="shared" si="212"/>
        <v>0</v>
      </c>
      <c r="AR289" s="2">
        <f t="shared" si="212"/>
        <v>2060871.91</v>
      </c>
      <c r="AS289" s="2">
        <f t="shared" si="212"/>
        <v>2060871.91</v>
      </c>
      <c r="AT289" s="2">
        <f t="shared" si="212"/>
        <v>0</v>
      </c>
      <c r="AU289" s="2">
        <f t="shared" si="212"/>
        <v>0</v>
      </c>
      <c r="AV289" s="2">
        <f t="shared" si="212"/>
        <v>1812282.42</v>
      </c>
      <c r="AW289" s="2">
        <f t="shared" si="212"/>
        <v>1812282.42</v>
      </c>
      <c r="AX289" s="2">
        <f t="shared" si="212"/>
        <v>0</v>
      </c>
      <c r="AY289" s="2">
        <f t="shared" si="212"/>
        <v>1812282.42</v>
      </c>
      <c r="AZ289" s="2">
        <f t="shared" si="212"/>
        <v>0</v>
      </c>
      <c r="BA289" s="2">
        <f t="shared" si="212"/>
        <v>0</v>
      </c>
      <c r="BB289" s="2">
        <f t="shared" si="212"/>
        <v>0</v>
      </c>
      <c r="BC289" s="2">
        <f t="shared" si="212"/>
        <v>0</v>
      </c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>
        <f>ROUND(SUMIF(AA285:AA287,"=42446460",FQ285:FQ287),2)</f>
        <v>0</v>
      </c>
      <c r="BY289" s="2">
        <f>ROUND(SUMIF(AA285:AA287,"=42446460",FR285:FR287),2)</f>
        <v>0</v>
      </c>
      <c r="BZ289" s="2">
        <f>ROUND(SUMIF(AA285:AA287,"=42446460",GL285:GL287),2)</f>
        <v>0</v>
      </c>
      <c r="CA289" s="2">
        <f>ROUND(SUMIF(AA285:AA287,"=42446460",GM285:GM287),2)</f>
        <v>2060871.91</v>
      </c>
      <c r="CB289" s="2">
        <f>ROUND(SUMIF(AA285:AA287,"=42446460",GN285:GN287),2)</f>
        <v>2060871.91</v>
      </c>
      <c r="CC289" s="2">
        <f>ROUND(SUMIF(AA285:AA287,"=42446460",GO285:GO287),2)</f>
        <v>0</v>
      </c>
      <c r="CD289" s="2">
        <f>ROUND(SUMIF(AA285:AA287,"=42446460",GP285:GP287),2)</f>
        <v>0</v>
      </c>
      <c r="CE289" s="2">
        <f>AC289-BX289</f>
        <v>1812282.42</v>
      </c>
      <c r="CF289" s="2">
        <f>AC289-BY289</f>
        <v>1812282.42</v>
      </c>
      <c r="CG289" s="2">
        <f>BX289-BZ289</f>
        <v>0</v>
      </c>
      <c r="CH289" s="2">
        <f>AC289-BX289-BY289+BZ289</f>
        <v>1812282.42</v>
      </c>
      <c r="CI289" s="2">
        <f>BY289-BZ289</f>
        <v>0</v>
      </c>
      <c r="CJ289" s="2">
        <f>ROUND(SUMIF(AA285:AA287,"=42446460",GX285:GX287),2)</f>
        <v>0</v>
      </c>
      <c r="CK289" s="2">
        <f>ROUND(SUMIF(AA285:AA287,"=42446460",GY285:GY287),2)</f>
        <v>0</v>
      </c>
      <c r="CL289" s="2">
        <f>ROUND(SUMIF(AA285:AA287,"=42446460",GZ285:GZ287),2)</f>
        <v>0</v>
      </c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  <c r="FS289" s="3"/>
      <c r="FT289" s="3"/>
      <c r="FU289" s="3"/>
      <c r="FV289" s="3"/>
      <c r="FW289" s="3"/>
      <c r="FX289" s="3"/>
      <c r="FY289" s="3"/>
      <c r="FZ289" s="3"/>
      <c r="GA289" s="3"/>
      <c r="GB289" s="3"/>
      <c r="GC289" s="3"/>
      <c r="GD289" s="3"/>
      <c r="GE289" s="3"/>
      <c r="GF289" s="3"/>
      <c r="GG289" s="3"/>
      <c r="GH289" s="3"/>
      <c r="GI289" s="3"/>
      <c r="GJ289" s="3"/>
      <c r="GK289" s="3"/>
      <c r="GL289" s="3"/>
      <c r="GM289" s="3"/>
      <c r="GN289" s="3"/>
      <c r="GO289" s="3"/>
      <c r="GP289" s="3"/>
      <c r="GQ289" s="3"/>
      <c r="GR289" s="3"/>
      <c r="GS289" s="3"/>
      <c r="GT289" s="3"/>
      <c r="GU289" s="3"/>
      <c r="GV289" s="3"/>
      <c r="GW289" s="3"/>
      <c r="GX289" s="3">
        <v>0</v>
      </c>
    </row>
    <row r="291" spans="1:206" x14ac:dyDescent="0.2">
      <c r="A291" s="4">
        <v>50</v>
      </c>
      <c r="B291" s="4">
        <v>0</v>
      </c>
      <c r="C291" s="4">
        <v>0</v>
      </c>
      <c r="D291" s="4">
        <v>1</v>
      </c>
      <c r="E291" s="4">
        <v>201</v>
      </c>
      <c r="F291" s="4">
        <f>ROUND(Source!O289,O291)</f>
        <v>1916294.76</v>
      </c>
      <c r="G291" s="4" t="s">
        <v>74</v>
      </c>
      <c r="H291" s="4" t="s">
        <v>75</v>
      </c>
      <c r="I291" s="4"/>
      <c r="J291" s="4"/>
      <c r="K291" s="4">
        <v>201</v>
      </c>
      <c r="L291" s="4">
        <v>1</v>
      </c>
      <c r="M291" s="4">
        <v>3</v>
      </c>
      <c r="N291" s="4" t="s">
        <v>3</v>
      </c>
      <c r="O291" s="4">
        <v>2</v>
      </c>
      <c r="P291" s="4"/>
      <c r="Q291" s="4"/>
      <c r="R291" s="4"/>
      <c r="S291" s="4"/>
      <c r="T291" s="4"/>
      <c r="U291" s="4"/>
      <c r="V291" s="4"/>
      <c r="W291" s="4"/>
    </row>
    <row r="292" spans="1:206" x14ac:dyDescent="0.2">
      <c r="A292" s="4">
        <v>50</v>
      </c>
      <c r="B292" s="4">
        <v>0</v>
      </c>
      <c r="C292" s="4">
        <v>0</v>
      </c>
      <c r="D292" s="4">
        <v>1</v>
      </c>
      <c r="E292" s="4">
        <v>202</v>
      </c>
      <c r="F292" s="4">
        <f>ROUND(Source!P289,O292)</f>
        <v>1812282.42</v>
      </c>
      <c r="G292" s="4" t="s">
        <v>76</v>
      </c>
      <c r="H292" s="4" t="s">
        <v>77</v>
      </c>
      <c r="I292" s="4"/>
      <c r="J292" s="4"/>
      <c r="K292" s="4">
        <v>202</v>
      </c>
      <c r="L292" s="4">
        <v>2</v>
      </c>
      <c r="M292" s="4">
        <v>3</v>
      </c>
      <c r="N292" s="4" t="s">
        <v>3</v>
      </c>
      <c r="O292" s="4">
        <v>2</v>
      </c>
      <c r="P292" s="4"/>
      <c r="Q292" s="4"/>
      <c r="R292" s="4"/>
      <c r="S292" s="4"/>
      <c r="T292" s="4"/>
      <c r="U292" s="4"/>
      <c r="V292" s="4"/>
      <c r="W292" s="4"/>
    </row>
    <row r="293" spans="1:206" x14ac:dyDescent="0.2">
      <c r="A293" s="4">
        <v>50</v>
      </c>
      <c r="B293" s="4">
        <v>0</v>
      </c>
      <c r="C293" s="4">
        <v>0</v>
      </c>
      <c r="D293" s="4">
        <v>1</v>
      </c>
      <c r="E293" s="4">
        <v>222</v>
      </c>
      <c r="F293" s="4">
        <f>ROUND(Source!AO289,O293)</f>
        <v>0</v>
      </c>
      <c r="G293" s="4" t="s">
        <v>78</v>
      </c>
      <c r="H293" s="4" t="s">
        <v>79</v>
      </c>
      <c r="I293" s="4"/>
      <c r="J293" s="4"/>
      <c r="K293" s="4">
        <v>222</v>
      </c>
      <c r="L293" s="4">
        <v>3</v>
      </c>
      <c r="M293" s="4">
        <v>3</v>
      </c>
      <c r="N293" s="4" t="s">
        <v>3</v>
      </c>
      <c r="O293" s="4">
        <v>2</v>
      </c>
      <c r="P293" s="4"/>
      <c r="Q293" s="4"/>
      <c r="R293" s="4"/>
      <c r="S293" s="4"/>
      <c r="T293" s="4"/>
      <c r="U293" s="4"/>
      <c r="V293" s="4"/>
      <c r="W293" s="4"/>
    </row>
    <row r="294" spans="1:206" x14ac:dyDescent="0.2">
      <c r="A294" s="4">
        <v>50</v>
      </c>
      <c r="B294" s="4">
        <v>0</v>
      </c>
      <c r="C294" s="4">
        <v>0</v>
      </c>
      <c r="D294" s="4">
        <v>1</v>
      </c>
      <c r="E294" s="4">
        <v>225</v>
      </c>
      <c r="F294" s="4">
        <f>ROUND(Source!AV289,O294)</f>
        <v>1812282.42</v>
      </c>
      <c r="G294" s="4" t="s">
        <v>80</v>
      </c>
      <c r="H294" s="4" t="s">
        <v>81</v>
      </c>
      <c r="I294" s="4"/>
      <c r="J294" s="4"/>
      <c r="K294" s="4">
        <v>225</v>
      </c>
      <c r="L294" s="4">
        <v>4</v>
      </c>
      <c r="M294" s="4">
        <v>3</v>
      </c>
      <c r="N294" s="4" t="s">
        <v>3</v>
      </c>
      <c r="O294" s="4">
        <v>2</v>
      </c>
      <c r="P294" s="4"/>
      <c r="Q294" s="4"/>
      <c r="R294" s="4"/>
      <c r="S294" s="4"/>
      <c r="T294" s="4"/>
      <c r="U294" s="4"/>
      <c r="V294" s="4"/>
      <c r="W294" s="4"/>
    </row>
    <row r="295" spans="1:206" x14ac:dyDescent="0.2">
      <c r="A295" s="4">
        <v>50</v>
      </c>
      <c r="B295" s="4">
        <v>0</v>
      </c>
      <c r="C295" s="4">
        <v>0</v>
      </c>
      <c r="D295" s="4">
        <v>1</v>
      </c>
      <c r="E295" s="4">
        <v>226</v>
      </c>
      <c r="F295" s="4">
        <f>ROUND(Source!AW289,O295)</f>
        <v>1812282.42</v>
      </c>
      <c r="G295" s="4" t="s">
        <v>82</v>
      </c>
      <c r="H295" s="4" t="s">
        <v>83</v>
      </c>
      <c r="I295" s="4"/>
      <c r="J295" s="4"/>
      <c r="K295" s="4">
        <v>226</v>
      </c>
      <c r="L295" s="4">
        <v>5</v>
      </c>
      <c r="M295" s="4">
        <v>3</v>
      </c>
      <c r="N295" s="4" t="s">
        <v>3</v>
      </c>
      <c r="O295" s="4">
        <v>2</v>
      </c>
      <c r="P295" s="4"/>
      <c r="Q295" s="4"/>
      <c r="R295" s="4"/>
      <c r="S295" s="4"/>
      <c r="T295" s="4"/>
      <c r="U295" s="4"/>
      <c r="V295" s="4"/>
      <c r="W295" s="4"/>
    </row>
    <row r="296" spans="1:206" x14ac:dyDescent="0.2">
      <c r="A296" s="4">
        <v>50</v>
      </c>
      <c r="B296" s="4">
        <v>0</v>
      </c>
      <c r="C296" s="4">
        <v>0</v>
      </c>
      <c r="D296" s="4">
        <v>1</v>
      </c>
      <c r="E296" s="4">
        <v>227</v>
      </c>
      <c r="F296" s="4">
        <f>ROUND(Source!AX289,O296)</f>
        <v>0</v>
      </c>
      <c r="G296" s="4" t="s">
        <v>84</v>
      </c>
      <c r="H296" s="4" t="s">
        <v>85</v>
      </c>
      <c r="I296" s="4"/>
      <c r="J296" s="4"/>
      <c r="K296" s="4">
        <v>227</v>
      </c>
      <c r="L296" s="4">
        <v>6</v>
      </c>
      <c r="M296" s="4">
        <v>3</v>
      </c>
      <c r="N296" s="4" t="s">
        <v>3</v>
      </c>
      <c r="O296" s="4">
        <v>2</v>
      </c>
      <c r="P296" s="4"/>
      <c r="Q296" s="4"/>
      <c r="R296" s="4"/>
      <c r="S296" s="4"/>
      <c r="T296" s="4"/>
      <c r="U296" s="4"/>
      <c r="V296" s="4"/>
      <c r="W296" s="4"/>
    </row>
    <row r="297" spans="1:206" x14ac:dyDescent="0.2">
      <c r="A297" s="4">
        <v>50</v>
      </c>
      <c r="B297" s="4">
        <v>0</v>
      </c>
      <c r="C297" s="4">
        <v>0</v>
      </c>
      <c r="D297" s="4">
        <v>1</v>
      </c>
      <c r="E297" s="4">
        <v>228</v>
      </c>
      <c r="F297" s="4">
        <f>ROUND(Source!AY289,O297)</f>
        <v>1812282.42</v>
      </c>
      <c r="G297" s="4" t="s">
        <v>86</v>
      </c>
      <c r="H297" s="4" t="s">
        <v>87</v>
      </c>
      <c r="I297" s="4"/>
      <c r="J297" s="4"/>
      <c r="K297" s="4">
        <v>228</v>
      </c>
      <c r="L297" s="4">
        <v>7</v>
      </c>
      <c r="M297" s="4">
        <v>3</v>
      </c>
      <c r="N297" s="4" t="s">
        <v>3</v>
      </c>
      <c r="O297" s="4">
        <v>2</v>
      </c>
      <c r="P297" s="4"/>
      <c r="Q297" s="4"/>
      <c r="R297" s="4"/>
      <c r="S297" s="4"/>
      <c r="T297" s="4"/>
      <c r="U297" s="4"/>
      <c r="V297" s="4"/>
      <c r="W297" s="4"/>
    </row>
    <row r="298" spans="1:206" x14ac:dyDescent="0.2">
      <c r="A298" s="4">
        <v>50</v>
      </c>
      <c r="B298" s="4">
        <v>0</v>
      </c>
      <c r="C298" s="4">
        <v>0</v>
      </c>
      <c r="D298" s="4">
        <v>1</v>
      </c>
      <c r="E298" s="4">
        <v>216</v>
      </c>
      <c r="F298" s="4">
        <f>ROUND(Source!AP289,O298)</f>
        <v>0</v>
      </c>
      <c r="G298" s="4" t="s">
        <v>88</v>
      </c>
      <c r="H298" s="4" t="s">
        <v>89</v>
      </c>
      <c r="I298" s="4"/>
      <c r="J298" s="4"/>
      <c r="K298" s="4">
        <v>216</v>
      </c>
      <c r="L298" s="4">
        <v>8</v>
      </c>
      <c r="M298" s="4">
        <v>3</v>
      </c>
      <c r="N298" s="4" t="s">
        <v>3</v>
      </c>
      <c r="O298" s="4">
        <v>2</v>
      </c>
      <c r="P298" s="4"/>
      <c r="Q298" s="4"/>
      <c r="R298" s="4"/>
      <c r="S298" s="4"/>
      <c r="T298" s="4"/>
      <c r="U298" s="4"/>
      <c r="V298" s="4"/>
      <c r="W298" s="4"/>
    </row>
    <row r="299" spans="1:206" x14ac:dyDescent="0.2">
      <c r="A299" s="4">
        <v>50</v>
      </c>
      <c r="B299" s="4">
        <v>0</v>
      </c>
      <c r="C299" s="4">
        <v>0</v>
      </c>
      <c r="D299" s="4">
        <v>1</v>
      </c>
      <c r="E299" s="4">
        <v>223</v>
      </c>
      <c r="F299" s="4">
        <f>ROUND(Source!AQ289,O299)</f>
        <v>0</v>
      </c>
      <c r="G299" s="4" t="s">
        <v>90</v>
      </c>
      <c r="H299" s="4" t="s">
        <v>91</v>
      </c>
      <c r="I299" s="4"/>
      <c r="J299" s="4"/>
      <c r="K299" s="4">
        <v>223</v>
      </c>
      <c r="L299" s="4">
        <v>9</v>
      </c>
      <c r="M299" s="4">
        <v>3</v>
      </c>
      <c r="N299" s="4" t="s">
        <v>3</v>
      </c>
      <c r="O299" s="4">
        <v>2</v>
      </c>
      <c r="P299" s="4"/>
      <c r="Q299" s="4"/>
      <c r="R299" s="4"/>
      <c r="S299" s="4"/>
      <c r="T299" s="4"/>
      <c r="U299" s="4"/>
      <c r="V299" s="4"/>
      <c r="W299" s="4"/>
    </row>
    <row r="300" spans="1:206" x14ac:dyDescent="0.2">
      <c r="A300" s="4">
        <v>50</v>
      </c>
      <c r="B300" s="4">
        <v>0</v>
      </c>
      <c r="C300" s="4">
        <v>0</v>
      </c>
      <c r="D300" s="4">
        <v>1</v>
      </c>
      <c r="E300" s="4">
        <v>229</v>
      </c>
      <c r="F300" s="4">
        <f>ROUND(Source!AZ289,O300)</f>
        <v>0</v>
      </c>
      <c r="G300" s="4" t="s">
        <v>92</v>
      </c>
      <c r="H300" s="4" t="s">
        <v>93</v>
      </c>
      <c r="I300" s="4"/>
      <c r="J300" s="4"/>
      <c r="K300" s="4">
        <v>229</v>
      </c>
      <c r="L300" s="4">
        <v>10</v>
      </c>
      <c r="M300" s="4">
        <v>3</v>
      </c>
      <c r="N300" s="4" t="s">
        <v>3</v>
      </c>
      <c r="O300" s="4">
        <v>2</v>
      </c>
      <c r="P300" s="4"/>
      <c r="Q300" s="4"/>
      <c r="R300" s="4"/>
      <c r="S300" s="4"/>
      <c r="T300" s="4"/>
      <c r="U300" s="4"/>
      <c r="V300" s="4"/>
      <c r="W300" s="4"/>
    </row>
    <row r="301" spans="1:206" x14ac:dyDescent="0.2">
      <c r="A301" s="4">
        <v>50</v>
      </c>
      <c r="B301" s="4">
        <v>0</v>
      </c>
      <c r="C301" s="4">
        <v>0</v>
      </c>
      <c r="D301" s="4">
        <v>1</v>
      </c>
      <c r="E301" s="4">
        <v>203</v>
      </c>
      <c r="F301" s="4">
        <f>ROUND(Source!Q289,O301)</f>
        <v>0</v>
      </c>
      <c r="G301" s="4" t="s">
        <v>94</v>
      </c>
      <c r="H301" s="4" t="s">
        <v>95</v>
      </c>
      <c r="I301" s="4"/>
      <c r="J301" s="4"/>
      <c r="K301" s="4">
        <v>203</v>
      </c>
      <c r="L301" s="4">
        <v>11</v>
      </c>
      <c r="M301" s="4">
        <v>3</v>
      </c>
      <c r="N301" s="4" t="s">
        <v>3</v>
      </c>
      <c r="O301" s="4">
        <v>2</v>
      </c>
      <c r="P301" s="4"/>
      <c r="Q301" s="4"/>
      <c r="R301" s="4"/>
      <c r="S301" s="4"/>
      <c r="T301" s="4"/>
      <c r="U301" s="4"/>
      <c r="V301" s="4"/>
      <c r="W301" s="4"/>
    </row>
    <row r="302" spans="1:206" x14ac:dyDescent="0.2">
      <c r="A302" s="4">
        <v>50</v>
      </c>
      <c r="B302" s="4">
        <v>0</v>
      </c>
      <c r="C302" s="4">
        <v>0</v>
      </c>
      <c r="D302" s="4">
        <v>1</v>
      </c>
      <c r="E302" s="4">
        <v>231</v>
      </c>
      <c r="F302" s="4">
        <f>ROUND(Source!BB289,O302)</f>
        <v>0</v>
      </c>
      <c r="G302" s="4" t="s">
        <v>96</v>
      </c>
      <c r="H302" s="4" t="s">
        <v>97</v>
      </c>
      <c r="I302" s="4"/>
      <c r="J302" s="4"/>
      <c r="K302" s="4">
        <v>231</v>
      </c>
      <c r="L302" s="4">
        <v>12</v>
      </c>
      <c r="M302" s="4">
        <v>3</v>
      </c>
      <c r="N302" s="4" t="s">
        <v>3</v>
      </c>
      <c r="O302" s="4">
        <v>2</v>
      </c>
      <c r="P302" s="4"/>
      <c r="Q302" s="4"/>
      <c r="R302" s="4"/>
      <c r="S302" s="4"/>
      <c r="T302" s="4"/>
      <c r="U302" s="4"/>
      <c r="V302" s="4"/>
      <c r="W302" s="4"/>
    </row>
    <row r="303" spans="1:206" x14ac:dyDescent="0.2">
      <c r="A303" s="4">
        <v>50</v>
      </c>
      <c r="B303" s="4">
        <v>0</v>
      </c>
      <c r="C303" s="4">
        <v>0</v>
      </c>
      <c r="D303" s="4">
        <v>1</v>
      </c>
      <c r="E303" s="4">
        <v>204</v>
      </c>
      <c r="F303" s="4">
        <f>ROUND(Source!R289,O303)</f>
        <v>0</v>
      </c>
      <c r="G303" s="4" t="s">
        <v>98</v>
      </c>
      <c r="H303" s="4" t="s">
        <v>99</v>
      </c>
      <c r="I303" s="4"/>
      <c r="J303" s="4"/>
      <c r="K303" s="4">
        <v>204</v>
      </c>
      <c r="L303" s="4">
        <v>13</v>
      </c>
      <c r="M303" s="4">
        <v>3</v>
      </c>
      <c r="N303" s="4" t="s">
        <v>3</v>
      </c>
      <c r="O303" s="4">
        <v>2</v>
      </c>
      <c r="P303" s="4"/>
      <c r="Q303" s="4"/>
      <c r="R303" s="4"/>
      <c r="S303" s="4"/>
      <c r="T303" s="4"/>
      <c r="U303" s="4"/>
      <c r="V303" s="4"/>
      <c r="W303" s="4"/>
    </row>
    <row r="304" spans="1:206" x14ac:dyDescent="0.2">
      <c r="A304" s="4">
        <v>50</v>
      </c>
      <c r="B304" s="4">
        <v>0</v>
      </c>
      <c r="C304" s="4">
        <v>0</v>
      </c>
      <c r="D304" s="4">
        <v>1</v>
      </c>
      <c r="E304" s="4">
        <v>205</v>
      </c>
      <c r="F304" s="4">
        <f>ROUND(Source!S289,O304)</f>
        <v>104012.34</v>
      </c>
      <c r="G304" s="4" t="s">
        <v>100</v>
      </c>
      <c r="H304" s="4" t="s">
        <v>101</v>
      </c>
      <c r="I304" s="4"/>
      <c r="J304" s="4"/>
      <c r="K304" s="4">
        <v>205</v>
      </c>
      <c r="L304" s="4">
        <v>14</v>
      </c>
      <c r="M304" s="4">
        <v>3</v>
      </c>
      <c r="N304" s="4" t="s">
        <v>3</v>
      </c>
      <c r="O304" s="4">
        <v>2</v>
      </c>
      <c r="P304" s="4"/>
      <c r="Q304" s="4"/>
      <c r="R304" s="4"/>
      <c r="S304" s="4"/>
      <c r="T304" s="4"/>
      <c r="U304" s="4"/>
      <c r="V304" s="4"/>
      <c r="W304" s="4"/>
    </row>
    <row r="305" spans="1:206" x14ac:dyDescent="0.2">
      <c r="A305" s="4">
        <v>50</v>
      </c>
      <c r="B305" s="4">
        <v>0</v>
      </c>
      <c r="C305" s="4">
        <v>0</v>
      </c>
      <c r="D305" s="4">
        <v>1</v>
      </c>
      <c r="E305" s="4">
        <v>232</v>
      </c>
      <c r="F305" s="4">
        <f>ROUND(Source!BC289,O305)</f>
        <v>0</v>
      </c>
      <c r="G305" s="4" t="s">
        <v>102</v>
      </c>
      <c r="H305" s="4" t="s">
        <v>103</v>
      </c>
      <c r="I305" s="4"/>
      <c r="J305" s="4"/>
      <c r="K305" s="4">
        <v>232</v>
      </c>
      <c r="L305" s="4">
        <v>15</v>
      </c>
      <c r="M305" s="4">
        <v>3</v>
      </c>
      <c r="N305" s="4" t="s">
        <v>3</v>
      </c>
      <c r="O305" s="4">
        <v>2</v>
      </c>
      <c r="P305" s="4"/>
      <c r="Q305" s="4"/>
      <c r="R305" s="4"/>
      <c r="S305" s="4"/>
      <c r="T305" s="4"/>
      <c r="U305" s="4"/>
      <c r="V305" s="4"/>
      <c r="W305" s="4"/>
    </row>
    <row r="306" spans="1:206" x14ac:dyDescent="0.2">
      <c r="A306" s="4">
        <v>50</v>
      </c>
      <c r="B306" s="4">
        <v>0</v>
      </c>
      <c r="C306" s="4">
        <v>0</v>
      </c>
      <c r="D306" s="4">
        <v>1</v>
      </c>
      <c r="E306" s="4">
        <v>214</v>
      </c>
      <c r="F306" s="4">
        <f>ROUND(Source!AS289,O306)</f>
        <v>2060871.91</v>
      </c>
      <c r="G306" s="4" t="s">
        <v>104</v>
      </c>
      <c r="H306" s="4" t="s">
        <v>105</v>
      </c>
      <c r="I306" s="4"/>
      <c r="J306" s="4"/>
      <c r="K306" s="4">
        <v>214</v>
      </c>
      <c r="L306" s="4">
        <v>16</v>
      </c>
      <c r="M306" s="4">
        <v>3</v>
      </c>
      <c r="N306" s="4" t="s">
        <v>3</v>
      </c>
      <c r="O306" s="4">
        <v>2</v>
      </c>
      <c r="P306" s="4"/>
      <c r="Q306" s="4"/>
      <c r="R306" s="4"/>
      <c r="S306" s="4"/>
      <c r="T306" s="4"/>
      <c r="U306" s="4"/>
      <c r="V306" s="4"/>
      <c r="W306" s="4"/>
    </row>
    <row r="307" spans="1:206" x14ac:dyDescent="0.2">
      <c r="A307" s="4">
        <v>50</v>
      </c>
      <c r="B307" s="4">
        <v>0</v>
      </c>
      <c r="C307" s="4">
        <v>0</v>
      </c>
      <c r="D307" s="4">
        <v>1</v>
      </c>
      <c r="E307" s="4">
        <v>215</v>
      </c>
      <c r="F307" s="4">
        <f>ROUND(Source!AT289,O307)</f>
        <v>0</v>
      </c>
      <c r="G307" s="4" t="s">
        <v>106</v>
      </c>
      <c r="H307" s="4" t="s">
        <v>107</v>
      </c>
      <c r="I307" s="4"/>
      <c r="J307" s="4"/>
      <c r="K307" s="4">
        <v>215</v>
      </c>
      <c r="L307" s="4">
        <v>17</v>
      </c>
      <c r="M307" s="4">
        <v>3</v>
      </c>
      <c r="N307" s="4" t="s">
        <v>3</v>
      </c>
      <c r="O307" s="4">
        <v>2</v>
      </c>
      <c r="P307" s="4"/>
      <c r="Q307" s="4"/>
      <c r="R307" s="4"/>
      <c r="S307" s="4"/>
      <c r="T307" s="4"/>
      <c r="U307" s="4"/>
      <c r="V307" s="4"/>
      <c r="W307" s="4"/>
    </row>
    <row r="308" spans="1:206" x14ac:dyDescent="0.2">
      <c r="A308" s="4">
        <v>50</v>
      </c>
      <c r="B308" s="4">
        <v>0</v>
      </c>
      <c r="C308" s="4">
        <v>0</v>
      </c>
      <c r="D308" s="4">
        <v>1</v>
      </c>
      <c r="E308" s="4">
        <v>217</v>
      </c>
      <c r="F308" s="4">
        <f>ROUND(Source!AU289,O308)</f>
        <v>0</v>
      </c>
      <c r="G308" s="4" t="s">
        <v>108</v>
      </c>
      <c r="H308" s="4" t="s">
        <v>109</v>
      </c>
      <c r="I308" s="4"/>
      <c r="J308" s="4"/>
      <c r="K308" s="4">
        <v>217</v>
      </c>
      <c r="L308" s="4">
        <v>18</v>
      </c>
      <c r="M308" s="4">
        <v>3</v>
      </c>
      <c r="N308" s="4" t="s">
        <v>3</v>
      </c>
      <c r="O308" s="4">
        <v>2</v>
      </c>
      <c r="P308" s="4"/>
      <c r="Q308" s="4"/>
      <c r="R308" s="4"/>
      <c r="S308" s="4"/>
      <c r="T308" s="4"/>
      <c r="U308" s="4"/>
      <c r="V308" s="4"/>
      <c r="W308" s="4"/>
    </row>
    <row r="309" spans="1:206" x14ac:dyDescent="0.2">
      <c r="A309" s="4">
        <v>50</v>
      </c>
      <c r="B309" s="4">
        <v>0</v>
      </c>
      <c r="C309" s="4">
        <v>0</v>
      </c>
      <c r="D309" s="4">
        <v>1</v>
      </c>
      <c r="E309" s="4">
        <v>230</v>
      </c>
      <c r="F309" s="4">
        <f>ROUND(Source!BA289,O309)</f>
        <v>0</v>
      </c>
      <c r="G309" s="4" t="s">
        <v>110</v>
      </c>
      <c r="H309" s="4" t="s">
        <v>111</v>
      </c>
      <c r="I309" s="4"/>
      <c r="J309" s="4"/>
      <c r="K309" s="4">
        <v>230</v>
      </c>
      <c r="L309" s="4">
        <v>19</v>
      </c>
      <c r="M309" s="4">
        <v>3</v>
      </c>
      <c r="N309" s="4" t="s">
        <v>3</v>
      </c>
      <c r="O309" s="4">
        <v>2</v>
      </c>
      <c r="P309" s="4"/>
      <c r="Q309" s="4"/>
      <c r="R309" s="4"/>
      <c r="S309" s="4"/>
      <c r="T309" s="4"/>
      <c r="U309" s="4"/>
      <c r="V309" s="4"/>
      <c r="W309" s="4"/>
    </row>
    <row r="310" spans="1:206" x14ac:dyDescent="0.2">
      <c r="A310" s="4">
        <v>50</v>
      </c>
      <c r="B310" s="4">
        <v>0</v>
      </c>
      <c r="C310" s="4">
        <v>0</v>
      </c>
      <c r="D310" s="4">
        <v>1</v>
      </c>
      <c r="E310" s="4">
        <v>206</v>
      </c>
      <c r="F310" s="4">
        <f>ROUND(Source!T289,O310)</f>
        <v>0</v>
      </c>
      <c r="G310" s="4" t="s">
        <v>112</v>
      </c>
      <c r="H310" s="4" t="s">
        <v>113</v>
      </c>
      <c r="I310" s="4"/>
      <c r="J310" s="4"/>
      <c r="K310" s="4">
        <v>206</v>
      </c>
      <c r="L310" s="4">
        <v>20</v>
      </c>
      <c r="M310" s="4">
        <v>3</v>
      </c>
      <c r="N310" s="4" t="s">
        <v>3</v>
      </c>
      <c r="O310" s="4">
        <v>2</v>
      </c>
      <c r="P310" s="4"/>
      <c r="Q310" s="4"/>
      <c r="R310" s="4"/>
      <c r="S310" s="4"/>
      <c r="T310" s="4"/>
      <c r="U310" s="4"/>
      <c r="V310" s="4"/>
      <c r="W310" s="4"/>
    </row>
    <row r="311" spans="1:206" x14ac:dyDescent="0.2">
      <c r="A311" s="4">
        <v>50</v>
      </c>
      <c r="B311" s="4">
        <v>0</v>
      </c>
      <c r="C311" s="4">
        <v>0</v>
      </c>
      <c r="D311" s="4">
        <v>1</v>
      </c>
      <c r="E311" s="4">
        <v>207</v>
      </c>
      <c r="F311" s="4">
        <f>Source!U289</f>
        <v>513.71782000000007</v>
      </c>
      <c r="G311" s="4" t="s">
        <v>114</v>
      </c>
      <c r="H311" s="4" t="s">
        <v>115</v>
      </c>
      <c r="I311" s="4"/>
      <c r="J311" s="4"/>
      <c r="K311" s="4">
        <v>207</v>
      </c>
      <c r="L311" s="4">
        <v>21</v>
      </c>
      <c r="M311" s="4">
        <v>3</v>
      </c>
      <c r="N311" s="4" t="s">
        <v>3</v>
      </c>
      <c r="O311" s="4">
        <v>-1</v>
      </c>
      <c r="P311" s="4"/>
      <c r="Q311" s="4"/>
      <c r="R311" s="4"/>
      <c r="S311" s="4"/>
      <c r="T311" s="4"/>
      <c r="U311" s="4"/>
      <c r="V311" s="4"/>
      <c r="W311" s="4"/>
    </row>
    <row r="312" spans="1:206" x14ac:dyDescent="0.2">
      <c r="A312" s="4">
        <v>50</v>
      </c>
      <c r="B312" s="4">
        <v>0</v>
      </c>
      <c r="C312" s="4">
        <v>0</v>
      </c>
      <c r="D312" s="4">
        <v>1</v>
      </c>
      <c r="E312" s="4">
        <v>208</v>
      </c>
      <c r="F312" s="4">
        <f>Source!V289</f>
        <v>0</v>
      </c>
      <c r="G312" s="4" t="s">
        <v>116</v>
      </c>
      <c r="H312" s="4" t="s">
        <v>117</v>
      </c>
      <c r="I312" s="4"/>
      <c r="J312" s="4"/>
      <c r="K312" s="4">
        <v>208</v>
      </c>
      <c r="L312" s="4">
        <v>22</v>
      </c>
      <c r="M312" s="4">
        <v>3</v>
      </c>
      <c r="N312" s="4" t="s">
        <v>3</v>
      </c>
      <c r="O312" s="4">
        <v>-1</v>
      </c>
      <c r="P312" s="4"/>
      <c r="Q312" s="4"/>
      <c r="R312" s="4"/>
      <c r="S312" s="4"/>
      <c r="T312" s="4"/>
      <c r="U312" s="4"/>
      <c r="V312" s="4"/>
      <c r="W312" s="4"/>
    </row>
    <row r="313" spans="1:206" x14ac:dyDescent="0.2">
      <c r="A313" s="4">
        <v>50</v>
      </c>
      <c r="B313" s="4">
        <v>0</v>
      </c>
      <c r="C313" s="4">
        <v>0</v>
      </c>
      <c r="D313" s="4">
        <v>1</v>
      </c>
      <c r="E313" s="4">
        <v>209</v>
      </c>
      <c r="F313" s="4">
        <f>ROUND(Source!W289,O313)</f>
        <v>0</v>
      </c>
      <c r="G313" s="4" t="s">
        <v>118</v>
      </c>
      <c r="H313" s="4" t="s">
        <v>119</v>
      </c>
      <c r="I313" s="4"/>
      <c r="J313" s="4"/>
      <c r="K313" s="4">
        <v>209</v>
      </c>
      <c r="L313" s="4">
        <v>23</v>
      </c>
      <c r="M313" s="4">
        <v>3</v>
      </c>
      <c r="N313" s="4" t="s">
        <v>3</v>
      </c>
      <c r="O313" s="4">
        <v>2</v>
      </c>
      <c r="P313" s="4"/>
      <c r="Q313" s="4"/>
      <c r="R313" s="4"/>
      <c r="S313" s="4"/>
      <c r="T313" s="4"/>
      <c r="U313" s="4"/>
      <c r="V313" s="4"/>
      <c r="W313" s="4"/>
    </row>
    <row r="314" spans="1:206" x14ac:dyDescent="0.2">
      <c r="A314" s="4">
        <v>50</v>
      </c>
      <c r="B314" s="4">
        <v>0</v>
      </c>
      <c r="C314" s="4">
        <v>0</v>
      </c>
      <c r="D314" s="4">
        <v>1</v>
      </c>
      <c r="E314" s="4">
        <v>210</v>
      </c>
      <c r="F314" s="4">
        <f>ROUND(Source!X289,O314)</f>
        <v>98811.72</v>
      </c>
      <c r="G314" s="4" t="s">
        <v>120</v>
      </c>
      <c r="H314" s="4" t="s">
        <v>121</v>
      </c>
      <c r="I314" s="4"/>
      <c r="J314" s="4"/>
      <c r="K314" s="4">
        <v>210</v>
      </c>
      <c r="L314" s="4">
        <v>24</v>
      </c>
      <c r="M314" s="4">
        <v>3</v>
      </c>
      <c r="N314" s="4" t="s">
        <v>3</v>
      </c>
      <c r="O314" s="4">
        <v>2</v>
      </c>
      <c r="P314" s="4"/>
      <c r="Q314" s="4"/>
      <c r="R314" s="4"/>
      <c r="S314" s="4"/>
      <c r="T314" s="4"/>
      <c r="U314" s="4"/>
      <c r="V314" s="4"/>
      <c r="W314" s="4"/>
    </row>
    <row r="315" spans="1:206" x14ac:dyDescent="0.2">
      <c r="A315" s="4">
        <v>50</v>
      </c>
      <c r="B315" s="4">
        <v>0</v>
      </c>
      <c r="C315" s="4">
        <v>0</v>
      </c>
      <c r="D315" s="4">
        <v>1</v>
      </c>
      <c r="E315" s="4">
        <v>211</v>
      </c>
      <c r="F315" s="4">
        <f>ROUND(Source!Y289,O315)</f>
        <v>45765.43</v>
      </c>
      <c r="G315" s="4" t="s">
        <v>122</v>
      </c>
      <c r="H315" s="4" t="s">
        <v>123</v>
      </c>
      <c r="I315" s="4"/>
      <c r="J315" s="4"/>
      <c r="K315" s="4">
        <v>211</v>
      </c>
      <c r="L315" s="4">
        <v>25</v>
      </c>
      <c r="M315" s="4">
        <v>3</v>
      </c>
      <c r="N315" s="4" t="s">
        <v>3</v>
      </c>
      <c r="O315" s="4">
        <v>2</v>
      </c>
      <c r="P315" s="4"/>
      <c r="Q315" s="4"/>
      <c r="R315" s="4"/>
      <c r="S315" s="4"/>
      <c r="T315" s="4"/>
      <c r="U315" s="4"/>
      <c r="V315" s="4"/>
      <c r="W315" s="4"/>
    </row>
    <row r="316" spans="1:206" x14ac:dyDescent="0.2">
      <c r="A316" s="4">
        <v>50</v>
      </c>
      <c r="B316" s="4">
        <v>0</v>
      </c>
      <c r="C316" s="4">
        <v>0</v>
      </c>
      <c r="D316" s="4">
        <v>1</v>
      </c>
      <c r="E316" s="4">
        <v>224</v>
      </c>
      <c r="F316" s="4">
        <f>ROUND(Source!AR289,O316)</f>
        <v>2060871.91</v>
      </c>
      <c r="G316" s="4" t="s">
        <v>124</v>
      </c>
      <c r="H316" s="4" t="s">
        <v>125</v>
      </c>
      <c r="I316" s="4"/>
      <c r="J316" s="4"/>
      <c r="K316" s="4">
        <v>224</v>
      </c>
      <c r="L316" s="4">
        <v>26</v>
      </c>
      <c r="M316" s="4">
        <v>3</v>
      </c>
      <c r="N316" s="4" t="s">
        <v>3</v>
      </c>
      <c r="O316" s="4">
        <v>2</v>
      </c>
      <c r="P316" s="4"/>
      <c r="Q316" s="4"/>
      <c r="R316" s="4"/>
      <c r="S316" s="4"/>
      <c r="T316" s="4"/>
      <c r="U316" s="4"/>
      <c r="V316" s="4"/>
      <c r="W316" s="4"/>
    </row>
    <row r="318" spans="1:206" x14ac:dyDescent="0.2">
      <c r="A318" s="1">
        <v>5</v>
      </c>
      <c r="B318" s="1">
        <v>1</v>
      </c>
      <c r="C318" s="1"/>
      <c r="D318" s="1">
        <f>ROW(A339)</f>
        <v>339</v>
      </c>
      <c r="E318" s="1"/>
      <c r="F318" s="1" t="s">
        <v>15</v>
      </c>
      <c r="G318" s="1" t="s">
        <v>269</v>
      </c>
      <c r="H318" s="1" t="s">
        <v>3</v>
      </c>
      <c r="I318" s="1">
        <v>0</v>
      </c>
      <c r="J318" s="1"/>
      <c r="K318" s="1">
        <v>-1</v>
      </c>
      <c r="L318" s="1"/>
      <c r="M318" s="1"/>
      <c r="N318" s="1"/>
      <c r="O318" s="1"/>
      <c r="P318" s="1"/>
      <c r="Q318" s="1"/>
      <c r="R318" s="1"/>
      <c r="S318" s="1"/>
      <c r="T318" s="1"/>
      <c r="U318" s="1" t="s">
        <v>3</v>
      </c>
      <c r="V318" s="1">
        <v>0</v>
      </c>
      <c r="W318" s="1"/>
      <c r="X318" s="1"/>
      <c r="Y318" s="1"/>
      <c r="Z318" s="1"/>
      <c r="AA318" s="1"/>
      <c r="AB318" s="1" t="s">
        <v>3</v>
      </c>
      <c r="AC318" s="1" t="s">
        <v>3</v>
      </c>
      <c r="AD318" s="1" t="s">
        <v>3</v>
      </c>
      <c r="AE318" s="1" t="s">
        <v>3</v>
      </c>
      <c r="AF318" s="1" t="s">
        <v>3</v>
      </c>
      <c r="AG318" s="1" t="s">
        <v>3</v>
      </c>
      <c r="AH318" s="1"/>
      <c r="AI318" s="1"/>
      <c r="AJ318" s="1"/>
      <c r="AK318" s="1"/>
      <c r="AL318" s="1"/>
      <c r="AM318" s="1"/>
      <c r="AN318" s="1"/>
      <c r="AO318" s="1"/>
      <c r="AP318" s="1" t="s">
        <v>3</v>
      </c>
      <c r="AQ318" s="1" t="s">
        <v>3</v>
      </c>
      <c r="AR318" s="1" t="s">
        <v>3</v>
      </c>
      <c r="AS318" s="1"/>
      <c r="AT318" s="1"/>
      <c r="AU318" s="1"/>
      <c r="AV318" s="1"/>
      <c r="AW318" s="1"/>
      <c r="AX318" s="1"/>
      <c r="AY318" s="1"/>
      <c r="AZ318" s="1" t="s">
        <v>3</v>
      </c>
      <c r="BA318" s="1"/>
      <c r="BB318" s="1" t="s">
        <v>3</v>
      </c>
      <c r="BC318" s="1" t="s">
        <v>3</v>
      </c>
      <c r="BD318" s="1" t="s">
        <v>3</v>
      </c>
      <c r="BE318" s="1" t="s">
        <v>3</v>
      </c>
      <c r="BF318" s="1" t="s">
        <v>3</v>
      </c>
      <c r="BG318" s="1" t="s">
        <v>3</v>
      </c>
      <c r="BH318" s="1" t="s">
        <v>3</v>
      </c>
      <c r="BI318" s="1" t="s">
        <v>3</v>
      </c>
      <c r="BJ318" s="1" t="s">
        <v>3</v>
      </c>
      <c r="BK318" s="1" t="s">
        <v>3</v>
      </c>
      <c r="BL318" s="1" t="s">
        <v>3</v>
      </c>
      <c r="BM318" s="1" t="s">
        <v>3</v>
      </c>
      <c r="BN318" s="1" t="s">
        <v>3</v>
      </c>
      <c r="BO318" s="1" t="s">
        <v>3</v>
      </c>
      <c r="BP318" s="1" t="s">
        <v>3</v>
      </c>
      <c r="BQ318" s="1"/>
      <c r="BR318" s="1"/>
      <c r="BS318" s="1"/>
      <c r="BT318" s="1"/>
      <c r="BU318" s="1"/>
      <c r="BV318" s="1"/>
      <c r="BW318" s="1"/>
      <c r="BX318" s="1">
        <v>0</v>
      </c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>
        <v>0</v>
      </c>
    </row>
    <row r="320" spans="1:206" x14ac:dyDescent="0.2">
      <c r="A320" s="2">
        <v>52</v>
      </c>
      <c r="B320" s="2">
        <f t="shared" ref="B320:G320" si="213">B339</f>
        <v>1</v>
      </c>
      <c r="C320" s="2">
        <f t="shared" si="213"/>
        <v>5</v>
      </c>
      <c r="D320" s="2">
        <f t="shared" si="213"/>
        <v>318</v>
      </c>
      <c r="E320" s="2">
        <f t="shared" si="213"/>
        <v>0</v>
      </c>
      <c r="F320" s="2" t="str">
        <f t="shared" si="213"/>
        <v>Новый подраздел</v>
      </c>
      <c r="G320" s="2" t="str">
        <f t="shared" si="213"/>
        <v>2.10</v>
      </c>
      <c r="H320" s="2"/>
      <c r="I320" s="2"/>
      <c r="J320" s="2"/>
      <c r="K320" s="2"/>
      <c r="L320" s="2"/>
      <c r="M320" s="2"/>
      <c r="N320" s="2"/>
      <c r="O320" s="2">
        <f t="shared" ref="O320:AT320" si="214">O339</f>
        <v>1280043.1399999999</v>
      </c>
      <c r="P320" s="2">
        <f t="shared" si="214"/>
        <v>1246684.9099999999</v>
      </c>
      <c r="Q320" s="2">
        <f t="shared" si="214"/>
        <v>9107.83</v>
      </c>
      <c r="R320" s="2">
        <f t="shared" si="214"/>
        <v>2558.77</v>
      </c>
      <c r="S320" s="2">
        <f t="shared" si="214"/>
        <v>24250.400000000001</v>
      </c>
      <c r="T320" s="2">
        <f t="shared" si="214"/>
        <v>0</v>
      </c>
      <c r="U320" s="2">
        <f t="shared" si="214"/>
        <v>105.30323056</v>
      </c>
      <c r="V320" s="2">
        <f t="shared" si="214"/>
        <v>0</v>
      </c>
      <c r="W320" s="2">
        <f t="shared" si="214"/>
        <v>0</v>
      </c>
      <c r="X320" s="2">
        <f t="shared" si="214"/>
        <v>22904.880000000001</v>
      </c>
      <c r="Y320" s="2">
        <f t="shared" si="214"/>
        <v>11262.44</v>
      </c>
      <c r="Z320" s="2">
        <f t="shared" si="214"/>
        <v>0</v>
      </c>
      <c r="AA320" s="2">
        <f t="shared" si="214"/>
        <v>0</v>
      </c>
      <c r="AB320" s="2">
        <f t="shared" si="214"/>
        <v>1280043.1399999999</v>
      </c>
      <c r="AC320" s="2">
        <f t="shared" si="214"/>
        <v>1246684.9099999999</v>
      </c>
      <c r="AD320" s="2">
        <f t="shared" si="214"/>
        <v>9107.83</v>
      </c>
      <c r="AE320" s="2">
        <f t="shared" si="214"/>
        <v>2558.77</v>
      </c>
      <c r="AF320" s="2">
        <f t="shared" si="214"/>
        <v>24250.400000000001</v>
      </c>
      <c r="AG320" s="2">
        <f t="shared" si="214"/>
        <v>0</v>
      </c>
      <c r="AH320" s="2">
        <f t="shared" si="214"/>
        <v>105.30323056</v>
      </c>
      <c r="AI320" s="2">
        <f t="shared" si="214"/>
        <v>0</v>
      </c>
      <c r="AJ320" s="2">
        <f t="shared" si="214"/>
        <v>0</v>
      </c>
      <c r="AK320" s="2">
        <f t="shared" si="214"/>
        <v>22904.880000000001</v>
      </c>
      <c r="AL320" s="2">
        <f t="shared" si="214"/>
        <v>11262.44</v>
      </c>
      <c r="AM320" s="2">
        <f t="shared" si="214"/>
        <v>0</v>
      </c>
      <c r="AN320" s="2">
        <f t="shared" si="214"/>
        <v>0</v>
      </c>
      <c r="AO320" s="2">
        <f t="shared" si="214"/>
        <v>0</v>
      </c>
      <c r="AP320" s="2">
        <f t="shared" si="214"/>
        <v>1219962.54</v>
      </c>
      <c r="AQ320" s="2">
        <f t="shared" si="214"/>
        <v>0</v>
      </c>
      <c r="AR320" s="2">
        <f t="shared" si="214"/>
        <v>1318483.6000000001</v>
      </c>
      <c r="AS320" s="2">
        <f t="shared" si="214"/>
        <v>19411.91</v>
      </c>
      <c r="AT320" s="2">
        <f t="shared" si="214"/>
        <v>79109.149999999994</v>
      </c>
      <c r="AU320" s="2">
        <f t="shared" ref="AU320:BZ320" si="215">AU339</f>
        <v>0</v>
      </c>
      <c r="AV320" s="2">
        <f t="shared" si="215"/>
        <v>1246684.9099999999</v>
      </c>
      <c r="AW320" s="2">
        <f t="shared" si="215"/>
        <v>26722.37</v>
      </c>
      <c r="AX320" s="2">
        <f t="shared" si="215"/>
        <v>0</v>
      </c>
      <c r="AY320" s="2">
        <f t="shared" si="215"/>
        <v>26722.37</v>
      </c>
      <c r="AZ320" s="2">
        <f t="shared" si="215"/>
        <v>1219962.54</v>
      </c>
      <c r="BA320" s="2">
        <f t="shared" si="215"/>
        <v>0</v>
      </c>
      <c r="BB320" s="2">
        <f t="shared" si="215"/>
        <v>0</v>
      </c>
      <c r="BC320" s="2">
        <f t="shared" si="215"/>
        <v>0</v>
      </c>
      <c r="BD320" s="2">
        <f t="shared" si="215"/>
        <v>0</v>
      </c>
      <c r="BE320" s="2">
        <f t="shared" si="215"/>
        <v>0</v>
      </c>
      <c r="BF320" s="2">
        <f t="shared" si="215"/>
        <v>0</v>
      </c>
      <c r="BG320" s="2">
        <f t="shared" si="215"/>
        <v>0</v>
      </c>
      <c r="BH320" s="2">
        <f t="shared" si="215"/>
        <v>0</v>
      </c>
      <c r="BI320" s="2">
        <f t="shared" si="215"/>
        <v>0</v>
      </c>
      <c r="BJ320" s="2">
        <f t="shared" si="215"/>
        <v>0</v>
      </c>
      <c r="BK320" s="2">
        <f t="shared" si="215"/>
        <v>0</v>
      </c>
      <c r="BL320" s="2">
        <f t="shared" si="215"/>
        <v>0</v>
      </c>
      <c r="BM320" s="2">
        <f t="shared" si="215"/>
        <v>0</v>
      </c>
      <c r="BN320" s="2">
        <f t="shared" si="215"/>
        <v>0</v>
      </c>
      <c r="BO320" s="2">
        <f t="shared" si="215"/>
        <v>0</v>
      </c>
      <c r="BP320" s="2">
        <f t="shared" si="215"/>
        <v>0</v>
      </c>
      <c r="BQ320" s="2">
        <f t="shared" si="215"/>
        <v>0</v>
      </c>
      <c r="BR320" s="2">
        <f t="shared" si="215"/>
        <v>0</v>
      </c>
      <c r="BS320" s="2">
        <f t="shared" si="215"/>
        <v>0</v>
      </c>
      <c r="BT320" s="2">
        <f t="shared" si="215"/>
        <v>0</v>
      </c>
      <c r="BU320" s="2">
        <f t="shared" si="215"/>
        <v>0</v>
      </c>
      <c r="BV320" s="2">
        <f t="shared" si="215"/>
        <v>0</v>
      </c>
      <c r="BW320" s="2">
        <f t="shared" si="215"/>
        <v>0</v>
      </c>
      <c r="BX320" s="2">
        <f t="shared" si="215"/>
        <v>0</v>
      </c>
      <c r="BY320" s="2">
        <f t="shared" si="215"/>
        <v>1219962.54</v>
      </c>
      <c r="BZ320" s="2">
        <f t="shared" si="215"/>
        <v>0</v>
      </c>
      <c r="CA320" s="2">
        <f t="shared" ref="CA320:DF320" si="216">CA339</f>
        <v>1318483.6000000001</v>
      </c>
      <c r="CB320" s="2">
        <f t="shared" si="216"/>
        <v>19411.91</v>
      </c>
      <c r="CC320" s="2">
        <f t="shared" si="216"/>
        <v>79109.149999999994</v>
      </c>
      <c r="CD320" s="2">
        <f t="shared" si="216"/>
        <v>0</v>
      </c>
      <c r="CE320" s="2">
        <f t="shared" si="216"/>
        <v>1246684.9099999999</v>
      </c>
      <c r="CF320" s="2">
        <f t="shared" si="216"/>
        <v>26722.369999999879</v>
      </c>
      <c r="CG320" s="2">
        <f t="shared" si="216"/>
        <v>0</v>
      </c>
      <c r="CH320" s="2">
        <f t="shared" si="216"/>
        <v>26722.369999999879</v>
      </c>
      <c r="CI320" s="2">
        <f t="shared" si="216"/>
        <v>1219962.54</v>
      </c>
      <c r="CJ320" s="2">
        <f t="shared" si="216"/>
        <v>0</v>
      </c>
      <c r="CK320" s="2">
        <f t="shared" si="216"/>
        <v>0</v>
      </c>
      <c r="CL320" s="2">
        <f t="shared" si="216"/>
        <v>0</v>
      </c>
      <c r="CM320" s="2">
        <f t="shared" si="216"/>
        <v>0</v>
      </c>
      <c r="CN320" s="2">
        <f t="shared" si="216"/>
        <v>0</v>
      </c>
      <c r="CO320" s="2">
        <f t="shared" si="216"/>
        <v>0</v>
      </c>
      <c r="CP320" s="2">
        <f t="shared" si="216"/>
        <v>0</v>
      </c>
      <c r="CQ320" s="2">
        <f t="shared" si="216"/>
        <v>0</v>
      </c>
      <c r="CR320" s="2">
        <f t="shared" si="216"/>
        <v>0</v>
      </c>
      <c r="CS320" s="2">
        <f t="shared" si="216"/>
        <v>0</v>
      </c>
      <c r="CT320" s="2">
        <f t="shared" si="216"/>
        <v>0</v>
      </c>
      <c r="CU320" s="2">
        <f t="shared" si="216"/>
        <v>0</v>
      </c>
      <c r="CV320" s="2">
        <f t="shared" si="216"/>
        <v>0</v>
      </c>
      <c r="CW320" s="2">
        <f t="shared" si="216"/>
        <v>0</v>
      </c>
      <c r="CX320" s="2">
        <f t="shared" si="216"/>
        <v>0</v>
      </c>
      <c r="CY320" s="2">
        <f t="shared" si="216"/>
        <v>0</v>
      </c>
      <c r="CZ320" s="2">
        <f t="shared" si="216"/>
        <v>0</v>
      </c>
      <c r="DA320" s="2">
        <f t="shared" si="216"/>
        <v>0</v>
      </c>
      <c r="DB320" s="2">
        <f t="shared" si="216"/>
        <v>0</v>
      </c>
      <c r="DC320" s="2">
        <f t="shared" si="216"/>
        <v>0</v>
      </c>
      <c r="DD320" s="2">
        <f t="shared" si="216"/>
        <v>0</v>
      </c>
      <c r="DE320" s="2">
        <f t="shared" si="216"/>
        <v>0</v>
      </c>
      <c r="DF320" s="2">
        <f t="shared" si="216"/>
        <v>0</v>
      </c>
      <c r="DG320" s="3">
        <f t="shared" ref="DG320:EL320" si="217">DG339</f>
        <v>0</v>
      </c>
      <c r="DH320" s="3">
        <f t="shared" si="217"/>
        <v>0</v>
      </c>
      <c r="DI320" s="3">
        <f t="shared" si="217"/>
        <v>0</v>
      </c>
      <c r="DJ320" s="3">
        <f t="shared" si="217"/>
        <v>0</v>
      </c>
      <c r="DK320" s="3">
        <f t="shared" si="217"/>
        <v>0</v>
      </c>
      <c r="DL320" s="3">
        <f t="shared" si="217"/>
        <v>0</v>
      </c>
      <c r="DM320" s="3">
        <f t="shared" si="217"/>
        <v>0</v>
      </c>
      <c r="DN320" s="3">
        <f t="shared" si="217"/>
        <v>0</v>
      </c>
      <c r="DO320" s="3">
        <f t="shared" si="217"/>
        <v>0</v>
      </c>
      <c r="DP320" s="3">
        <f t="shared" si="217"/>
        <v>0</v>
      </c>
      <c r="DQ320" s="3">
        <f t="shared" si="217"/>
        <v>0</v>
      </c>
      <c r="DR320" s="3">
        <f t="shared" si="217"/>
        <v>0</v>
      </c>
      <c r="DS320" s="3">
        <f t="shared" si="217"/>
        <v>0</v>
      </c>
      <c r="DT320" s="3">
        <f t="shared" si="217"/>
        <v>0</v>
      </c>
      <c r="DU320" s="3">
        <f t="shared" si="217"/>
        <v>0</v>
      </c>
      <c r="DV320" s="3">
        <f t="shared" si="217"/>
        <v>0</v>
      </c>
      <c r="DW320" s="3">
        <f t="shared" si="217"/>
        <v>0</v>
      </c>
      <c r="DX320" s="3">
        <f t="shared" si="217"/>
        <v>0</v>
      </c>
      <c r="DY320" s="3">
        <f t="shared" si="217"/>
        <v>0</v>
      </c>
      <c r="DZ320" s="3">
        <f t="shared" si="217"/>
        <v>0</v>
      </c>
      <c r="EA320" s="3">
        <f t="shared" si="217"/>
        <v>0</v>
      </c>
      <c r="EB320" s="3">
        <f t="shared" si="217"/>
        <v>0</v>
      </c>
      <c r="EC320" s="3">
        <f t="shared" si="217"/>
        <v>0</v>
      </c>
      <c r="ED320" s="3">
        <f t="shared" si="217"/>
        <v>0</v>
      </c>
      <c r="EE320" s="3">
        <f t="shared" si="217"/>
        <v>0</v>
      </c>
      <c r="EF320" s="3">
        <f t="shared" si="217"/>
        <v>0</v>
      </c>
      <c r="EG320" s="3">
        <f t="shared" si="217"/>
        <v>0</v>
      </c>
      <c r="EH320" s="3">
        <f t="shared" si="217"/>
        <v>0</v>
      </c>
      <c r="EI320" s="3">
        <f t="shared" si="217"/>
        <v>0</v>
      </c>
      <c r="EJ320" s="3">
        <f t="shared" si="217"/>
        <v>0</v>
      </c>
      <c r="EK320" s="3">
        <f t="shared" si="217"/>
        <v>0</v>
      </c>
      <c r="EL320" s="3">
        <f t="shared" si="217"/>
        <v>0</v>
      </c>
      <c r="EM320" s="3">
        <f t="shared" ref="EM320:FR320" si="218">EM339</f>
        <v>0</v>
      </c>
      <c r="EN320" s="3">
        <f t="shared" si="218"/>
        <v>0</v>
      </c>
      <c r="EO320" s="3">
        <f t="shared" si="218"/>
        <v>0</v>
      </c>
      <c r="EP320" s="3">
        <f t="shared" si="218"/>
        <v>0</v>
      </c>
      <c r="EQ320" s="3">
        <f t="shared" si="218"/>
        <v>0</v>
      </c>
      <c r="ER320" s="3">
        <f t="shared" si="218"/>
        <v>0</v>
      </c>
      <c r="ES320" s="3">
        <f t="shared" si="218"/>
        <v>0</v>
      </c>
      <c r="ET320" s="3">
        <f t="shared" si="218"/>
        <v>0</v>
      </c>
      <c r="EU320" s="3">
        <f t="shared" si="218"/>
        <v>0</v>
      </c>
      <c r="EV320" s="3">
        <f t="shared" si="218"/>
        <v>0</v>
      </c>
      <c r="EW320" s="3">
        <f t="shared" si="218"/>
        <v>0</v>
      </c>
      <c r="EX320" s="3">
        <f t="shared" si="218"/>
        <v>0</v>
      </c>
      <c r="EY320" s="3">
        <f t="shared" si="218"/>
        <v>0</v>
      </c>
      <c r="EZ320" s="3">
        <f t="shared" si="218"/>
        <v>0</v>
      </c>
      <c r="FA320" s="3">
        <f t="shared" si="218"/>
        <v>0</v>
      </c>
      <c r="FB320" s="3">
        <f t="shared" si="218"/>
        <v>0</v>
      </c>
      <c r="FC320" s="3">
        <f t="shared" si="218"/>
        <v>0</v>
      </c>
      <c r="FD320" s="3">
        <f t="shared" si="218"/>
        <v>0</v>
      </c>
      <c r="FE320" s="3">
        <f t="shared" si="218"/>
        <v>0</v>
      </c>
      <c r="FF320" s="3">
        <f t="shared" si="218"/>
        <v>0</v>
      </c>
      <c r="FG320" s="3">
        <f t="shared" si="218"/>
        <v>0</v>
      </c>
      <c r="FH320" s="3">
        <f t="shared" si="218"/>
        <v>0</v>
      </c>
      <c r="FI320" s="3">
        <f t="shared" si="218"/>
        <v>0</v>
      </c>
      <c r="FJ320" s="3">
        <f t="shared" si="218"/>
        <v>0</v>
      </c>
      <c r="FK320" s="3">
        <f t="shared" si="218"/>
        <v>0</v>
      </c>
      <c r="FL320" s="3">
        <f t="shared" si="218"/>
        <v>0</v>
      </c>
      <c r="FM320" s="3">
        <f t="shared" si="218"/>
        <v>0</v>
      </c>
      <c r="FN320" s="3">
        <f t="shared" si="218"/>
        <v>0</v>
      </c>
      <c r="FO320" s="3">
        <f t="shared" si="218"/>
        <v>0</v>
      </c>
      <c r="FP320" s="3">
        <f t="shared" si="218"/>
        <v>0</v>
      </c>
      <c r="FQ320" s="3">
        <f t="shared" si="218"/>
        <v>0</v>
      </c>
      <c r="FR320" s="3">
        <f t="shared" si="218"/>
        <v>0</v>
      </c>
      <c r="FS320" s="3">
        <f t="shared" ref="FS320:GX320" si="219">FS339</f>
        <v>0</v>
      </c>
      <c r="FT320" s="3">
        <f t="shared" si="219"/>
        <v>0</v>
      </c>
      <c r="FU320" s="3">
        <f t="shared" si="219"/>
        <v>0</v>
      </c>
      <c r="FV320" s="3">
        <f t="shared" si="219"/>
        <v>0</v>
      </c>
      <c r="FW320" s="3">
        <f t="shared" si="219"/>
        <v>0</v>
      </c>
      <c r="FX320" s="3">
        <f t="shared" si="219"/>
        <v>0</v>
      </c>
      <c r="FY320" s="3">
        <f t="shared" si="219"/>
        <v>0</v>
      </c>
      <c r="FZ320" s="3">
        <f t="shared" si="219"/>
        <v>0</v>
      </c>
      <c r="GA320" s="3">
        <f t="shared" si="219"/>
        <v>0</v>
      </c>
      <c r="GB320" s="3">
        <f t="shared" si="219"/>
        <v>0</v>
      </c>
      <c r="GC320" s="3">
        <f t="shared" si="219"/>
        <v>0</v>
      </c>
      <c r="GD320" s="3">
        <f t="shared" si="219"/>
        <v>0</v>
      </c>
      <c r="GE320" s="3">
        <f t="shared" si="219"/>
        <v>0</v>
      </c>
      <c r="GF320" s="3">
        <f t="shared" si="219"/>
        <v>0</v>
      </c>
      <c r="GG320" s="3">
        <f t="shared" si="219"/>
        <v>0</v>
      </c>
      <c r="GH320" s="3">
        <f t="shared" si="219"/>
        <v>0</v>
      </c>
      <c r="GI320" s="3">
        <f t="shared" si="219"/>
        <v>0</v>
      </c>
      <c r="GJ320" s="3">
        <f t="shared" si="219"/>
        <v>0</v>
      </c>
      <c r="GK320" s="3">
        <f t="shared" si="219"/>
        <v>0</v>
      </c>
      <c r="GL320" s="3">
        <f t="shared" si="219"/>
        <v>0</v>
      </c>
      <c r="GM320" s="3">
        <f t="shared" si="219"/>
        <v>0</v>
      </c>
      <c r="GN320" s="3">
        <f t="shared" si="219"/>
        <v>0</v>
      </c>
      <c r="GO320" s="3">
        <f t="shared" si="219"/>
        <v>0</v>
      </c>
      <c r="GP320" s="3">
        <f t="shared" si="219"/>
        <v>0</v>
      </c>
      <c r="GQ320" s="3">
        <f t="shared" si="219"/>
        <v>0</v>
      </c>
      <c r="GR320" s="3">
        <f t="shared" si="219"/>
        <v>0</v>
      </c>
      <c r="GS320" s="3">
        <f t="shared" si="219"/>
        <v>0</v>
      </c>
      <c r="GT320" s="3">
        <f t="shared" si="219"/>
        <v>0</v>
      </c>
      <c r="GU320" s="3">
        <f t="shared" si="219"/>
        <v>0</v>
      </c>
      <c r="GV320" s="3">
        <f t="shared" si="219"/>
        <v>0</v>
      </c>
      <c r="GW320" s="3">
        <f t="shared" si="219"/>
        <v>0</v>
      </c>
      <c r="GX320" s="3">
        <f t="shared" si="219"/>
        <v>0</v>
      </c>
    </row>
    <row r="322" spans="1:245" x14ac:dyDescent="0.2">
      <c r="A322">
        <v>17</v>
      </c>
      <c r="B322">
        <v>1</v>
      </c>
      <c r="C322">
        <f>ROW(SmtRes!A53)</f>
        <v>53</v>
      </c>
      <c r="D322">
        <f>ROW(EtalonRes!A57)</f>
        <v>57</v>
      </c>
      <c r="E322" t="s">
        <v>270</v>
      </c>
      <c r="F322" t="s">
        <v>271</v>
      </c>
      <c r="G322" t="s">
        <v>272</v>
      </c>
      <c r="H322" t="s">
        <v>273</v>
      </c>
      <c r="I322">
        <v>3.8</v>
      </c>
      <c r="J322">
        <v>0</v>
      </c>
      <c r="O322">
        <f t="shared" ref="O322:O337" si="220">ROUND(CP322,2)</f>
        <v>2433.4</v>
      </c>
      <c r="P322">
        <f t="shared" ref="P322:P337" si="221">ROUND(CQ322*I322,2)</f>
        <v>0</v>
      </c>
      <c r="Q322">
        <f t="shared" ref="Q322:Q337" si="222">ROUND(CR322*I322,2)</f>
        <v>0</v>
      </c>
      <c r="R322">
        <f t="shared" ref="R322:R337" si="223">ROUND(CS322*I322,2)</f>
        <v>0</v>
      </c>
      <c r="S322">
        <f t="shared" ref="S322:S337" si="224">ROUND(CT322*I322,2)</f>
        <v>2433.4</v>
      </c>
      <c r="T322">
        <f t="shared" ref="T322:T337" si="225">ROUND(CU322*I322,2)</f>
        <v>0</v>
      </c>
      <c r="U322">
        <f t="shared" ref="U322:U337" si="226">CV322*I322</f>
        <v>11.552</v>
      </c>
      <c r="V322">
        <f t="shared" ref="V322:V337" si="227">CW322*I322</f>
        <v>0</v>
      </c>
      <c r="W322">
        <f t="shared" ref="W322:W337" si="228">ROUND(CX322*I322,2)</f>
        <v>0</v>
      </c>
      <c r="X322">
        <f t="shared" ref="X322:X337" si="229">ROUND(CY322,2)</f>
        <v>2165.73</v>
      </c>
      <c r="Y322">
        <f t="shared" ref="Y322:Y337" si="230">ROUND(CZ322,2)</f>
        <v>1070.7</v>
      </c>
      <c r="AA322">
        <v>42446460</v>
      </c>
      <c r="AB322">
        <f t="shared" ref="AB322:AB337" si="231">ROUND((AC322+AD322+AF322),6)</f>
        <v>35.36</v>
      </c>
      <c r="AC322">
        <f>ROUND((ES322),6)</f>
        <v>0</v>
      </c>
      <c r="AD322">
        <f t="shared" ref="AD322:AD337" si="232">ROUND((((ET322)-(EU322))+AE322),6)</f>
        <v>0</v>
      </c>
      <c r="AE322">
        <f t="shared" ref="AE322:AE337" si="233">ROUND((EU322),6)</f>
        <v>0</v>
      </c>
      <c r="AF322">
        <f t="shared" ref="AF322:AF337" si="234">ROUND((EV322),6)</f>
        <v>35.36</v>
      </c>
      <c r="AG322">
        <f t="shared" ref="AG322:AG337" si="235">ROUND((AP322),6)</f>
        <v>0</v>
      </c>
      <c r="AH322">
        <f t="shared" ref="AH322:AH337" si="236">(EW322)</f>
        <v>3.04</v>
      </c>
      <c r="AI322">
        <f t="shared" ref="AI322:AI337" si="237">(EX322)</f>
        <v>0</v>
      </c>
      <c r="AJ322">
        <f t="shared" ref="AJ322:AJ337" si="238">ROUND((AS322),6)</f>
        <v>0</v>
      </c>
      <c r="AK322">
        <v>35.36</v>
      </c>
      <c r="AL322">
        <v>0</v>
      </c>
      <c r="AM322">
        <v>0</v>
      </c>
      <c r="AN322">
        <v>0</v>
      </c>
      <c r="AO322">
        <v>35.36</v>
      </c>
      <c r="AP322">
        <v>0</v>
      </c>
      <c r="AQ322">
        <v>3.04</v>
      </c>
      <c r="AR322">
        <v>0</v>
      </c>
      <c r="AS322">
        <v>0</v>
      </c>
      <c r="AT322">
        <v>89</v>
      </c>
      <c r="AU322">
        <v>44</v>
      </c>
      <c r="AV322">
        <v>1</v>
      </c>
      <c r="AW322">
        <v>1</v>
      </c>
      <c r="AZ322">
        <v>1</v>
      </c>
      <c r="BA322">
        <v>18.11</v>
      </c>
      <c r="BB322">
        <v>1</v>
      </c>
      <c r="BC322">
        <v>1</v>
      </c>
      <c r="BD322" t="s">
        <v>3</v>
      </c>
      <c r="BE322" t="s">
        <v>3</v>
      </c>
      <c r="BF322" t="s">
        <v>3</v>
      </c>
      <c r="BG322" t="s">
        <v>3</v>
      </c>
      <c r="BH322">
        <v>0</v>
      </c>
      <c r="BI322">
        <v>1</v>
      </c>
      <c r="BJ322" t="s">
        <v>274</v>
      </c>
      <c r="BM322">
        <v>99</v>
      </c>
      <c r="BN322">
        <v>0</v>
      </c>
      <c r="BO322" t="s">
        <v>271</v>
      </c>
      <c r="BP322">
        <v>1</v>
      </c>
      <c r="BQ322">
        <v>30</v>
      </c>
      <c r="BR322">
        <v>0</v>
      </c>
      <c r="BS322">
        <v>18.11</v>
      </c>
      <c r="BT322">
        <v>1</v>
      </c>
      <c r="BU322">
        <v>1</v>
      </c>
      <c r="BV322">
        <v>1</v>
      </c>
      <c r="BW322">
        <v>1</v>
      </c>
      <c r="BX322">
        <v>1</v>
      </c>
      <c r="BY322" t="s">
        <v>3</v>
      </c>
      <c r="BZ322">
        <v>89</v>
      </c>
      <c r="CA322">
        <v>44</v>
      </c>
      <c r="CF322">
        <v>0</v>
      </c>
      <c r="CG322">
        <v>0</v>
      </c>
      <c r="CM322">
        <v>0</v>
      </c>
      <c r="CN322" t="s">
        <v>3</v>
      </c>
      <c r="CO322">
        <v>0</v>
      </c>
      <c r="CP322">
        <f t="shared" ref="CP322:CP337" si="239">(P322+Q322+S322)</f>
        <v>2433.4</v>
      </c>
      <c r="CQ322">
        <f t="shared" ref="CQ322:CQ337" si="240">(AC322*BC322*AW322)</f>
        <v>0</v>
      </c>
      <c r="CR322">
        <f t="shared" ref="CR322:CR337" si="241">((((ET322)*BB322-(EU322)*BS322)+AE322*BS322)*AV322)</f>
        <v>0</v>
      </c>
      <c r="CS322">
        <f t="shared" ref="CS322:CS337" si="242">(AE322*BS322*AV322)</f>
        <v>0</v>
      </c>
      <c r="CT322">
        <f t="shared" ref="CT322:CT337" si="243">(AF322*BA322*AV322)</f>
        <v>640.36959999999999</v>
      </c>
      <c r="CU322">
        <f t="shared" ref="CU322:CU337" si="244">AG322</f>
        <v>0</v>
      </c>
      <c r="CV322">
        <f t="shared" ref="CV322:CV337" si="245">(AH322*AV322)</f>
        <v>3.04</v>
      </c>
      <c r="CW322">
        <f t="shared" ref="CW322:CW337" si="246">AI322</f>
        <v>0</v>
      </c>
      <c r="CX322">
        <f t="shared" ref="CX322:CX337" si="247">AJ322</f>
        <v>0</v>
      </c>
      <c r="CY322">
        <f t="shared" ref="CY322:CY337" si="248">S322*(BZ322/100)</f>
        <v>2165.7260000000001</v>
      </c>
      <c r="CZ322">
        <f t="shared" ref="CZ322:CZ337" si="249">S322*(CA322/100)</f>
        <v>1070.6960000000001</v>
      </c>
      <c r="DC322" t="s">
        <v>3</v>
      </c>
      <c r="DD322" t="s">
        <v>3</v>
      </c>
      <c r="DE322" t="s">
        <v>3</v>
      </c>
      <c r="DF322" t="s">
        <v>3</v>
      </c>
      <c r="DG322" t="s">
        <v>3</v>
      </c>
      <c r="DH322" t="s">
        <v>3</v>
      </c>
      <c r="DI322" t="s">
        <v>3</v>
      </c>
      <c r="DJ322" t="s">
        <v>3</v>
      </c>
      <c r="DK322" t="s">
        <v>3</v>
      </c>
      <c r="DL322" t="s">
        <v>3</v>
      </c>
      <c r="DM322" t="s">
        <v>3</v>
      </c>
      <c r="DN322">
        <v>105</v>
      </c>
      <c r="DO322">
        <v>77</v>
      </c>
      <c r="DP322">
        <v>1.0469999999999999</v>
      </c>
      <c r="DQ322">
        <v>1</v>
      </c>
      <c r="DU322">
        <v>1013</v>
      </c>
      <c r="DV322" t="s">
        <v>273</v>
      </c>
      <c r="DW322" t="s">
        <v>273</v>
      </c>
      <c r="DX322">
        <v>1</v>
      </c>
      <c r="EE322">
        <v>42186146</v>
      </c>
      <c r="EF322">
        <v>30</v>
      </c>
      <c r="EG322" t="s">
        <v>14</v>
      </c>
      <c r="EH322">
        <v>0</v>
      </c>
      <c r="EI322" t="s">
        <v>3</v>
      </c>
      <c r="EJ322">
        <v>1</v>
      </c>
      <c r="EK322">
        <v>99</v>
      </c>
      <c r="EL322" t="s">
        <v>275</v>
      </c>
      <c r="EM322" t="s">
        <v>276</v>
      </c>
      <c r="EO322" t="s">
        <v>3</v>
      </c>
      <c r="EQ322">
        <v>131072</v>
      </c>
      <c r="ER322">
        <v>35.36</v>
      </c>
      <c r="ES322">
        <v>0</v>
      </c>
      <c r="ET322">
        <v>0</v>
      </c>
      <c r="EU322">
        <v>0</v>
      </c>
      <c r="EV322">
        <v>35.36</v>
      </c>
      <c r="EW322">
        <v>3.04</v>
      </c>
      <c r="EX322">
        <v>0</v>
      </c>
      <c r="EY322">
        <v>0</v>
      </c>
      <c r="FQ322">
        <v>0</v>
      </c>
      <c r="FR322">
        <f t="shared" ref="FR322:FR337" si="250">ROUND(IF(AND(BH322=3,BI322=3),P322,0),2)</f>
        <v>0</v>
      </c>
      <c r="FS322">
        <v>0</v>
      </c>
      <c r="FX322">
        <v>105</v>
      </c>
      <c r="FY322">
        <v>77</v>
      </c>
      <c r="GA322" t="s">
        <v>3</v>
      </c>
      <c r="GD322">
        <v>0</v>
      </c>
      <c r="GF322">
        <v>1027470605</v>
      </c>
      <c r="GG322">
        <v>2</v>
      </c>
      <c r="GH322">
        <v>0</v>
      </c>
      <c r="GI322">
        <v>0</v>
      </c>
      <c r="GJ322">
        <v>0</v>
      </c>
      <c r="GK322">
        <f>ROUND(R322*(R12)/100,2)</f>
        <v>0</v>
      </c>
      <c r="GL322">
        <f t="shared" ref="GL322:GL337" si="251">ROUND(IF(AND(BH322=3,BI322=3,FS322&lt;&gt;0),P322,0),2)</f>
        <v>0</v>
      </c>
      <c r="GM322">
        <f t="shared" ref="GM322:GM337" si="252">ROUND(O322+X322+Y322+GK322,2)+GX322</f>
        <v>5669.83</v>
      </c>
      <c r="GN322">
        <f t="shared" ref="GN322:GN337" si="253">IF(OR(BI322=0,BI322=1),ROUND(O322+X322+Y322+GK322,2),0)</f>
        <v>5669.83</v>
      </c>
      <c r="GO322">
        <f t="shared" ref="GO322:GO337" si="254">IF(BI322=2,ROUND(O322+X322+Y322+GK322,2),0)</f>
        <v>0</v>
      </c>
      <c r="GP322">
        <f t="shared" ref="GP322:GP337" si="255">IF(BI322=4,ROUND(O322+X322+Y322+GK322,2)+GX322,0)</f>
        <v>0</v>
      </c>
      <c r="GR322">
        <v>0</v>
      </c>
      <c r="GS322">
        <v>0</v>
      </c>
      <c r="GT322">
        <v>0</v>
      </c>
      <c r="GU322" t="s">
        <v>3</v>
      </c>
      <c r="GV322">
        <f t="shared" ref="GV322:GV337" si="256">ROUND(GT322,6)</f>
        <v>0</v>
      </c>
      <c r="GW322">
        <v>1</v>
      </c>
      <c r="GX322">
        <f t="shared" ref="GX322:GX337" si="257">ROUND(GV322*GW322*I322,2)</f>
        <v>0</v>
      </c>
      <c r="HA322">
        <v>0</v>
      </c>
      <c r="HB322">
        <v>0</v>
      </c>
      <c r="IK322">
        <v>0</v>
      </c>
    </row>
    <row r="323" spans="1:245" x14ac:dyDescent="0.2">
      <c r="A323">
        <v>18</v>
      </c>
      <c r="B323">
        <v>1</v>
      </c>
      <c r="C323">
        <v>53</v>
      </c>
      <c r="E323" t="s">
        <v>277</v>
      </c>
      <c r="F323" t="s">
        <v>278</v>
      </c>
      <c r="G323" t="s">
        <v>279</v>
      </c>
      <c r="H323" t="s">
        <v>280</v>
      </c>
      <c r="I323">
        <f>I322*J323</f>
        <v>5.7000000000000002E-3</v>
      </c>
      <c r="J323">
        <v>1.5E-3</v>
      </c>
      <c r="O323">
        <f t="shared" si="220"/>
        <v>1631.8</v>
      </c>
      <c r="P323">
        <f t="shared" si="221"/>
        <v>1631.8</v>
      </c>
      <c r="Q323">
        <f t="shared" si="222"/>
        <v>0</v>
      </c>
      <c r="R323">
        <f t="shared" si="223"/>
        <v>0</v>
      </c>
      <c r="S323">
        <f t="shared" si="224"/>
        <v>0</v>
      </c>
      <c r="T323">
        <f t="shared" si="225"/>
        <v>0</v>
      </c>
      <c r="U323">
        <f t="shared" si="226"/>
        <v>0</v>
      </c>
      <c r="V323">
        <f t="shared" si="227"/>
        <v>0</v>
      </c>
      <c r="W323">
        <f t="shared" si="228"/>
        <v>0</v>
      </c>
      <c r="X323">
        <f t="shared" si="229"/>
        <v>0</v>
      </c>
      <c r="Y323">
        <f t="shared" si="230"/>
        <v>0</v>
      </c>
      <c r="AA323">
        <v>42446460</v>
      </c>
      <c r="AB323">
        <f t="shared" si="231"/>
        <v>152277.10999999999</v>
      </c>
      <c r="AC323">
        <f>ROUND((ES323),6)</f>
        <v>152277.10999999999</v>
      </c>
      <c r="AD323">
        <f t="shared" si="232"/>
        <v>0</v>
      </c>
      <c r="AE323">
        <f t="shared" si="233"/>
        <v>0</v>
      </c>
      <c r="AF323">
        <f t="shared" si="234"/>
        <v>0</v>
      </c>
      <c r="AG323">
        <f t="shared" si="235"/>
        <v>0</v>
      </c>
      <c r="AH323">
        <f t="shared" si="236"/>
        <v>0</v>
      </c>
      <c r="AI323">
        <f t="shared" si="237"/>
        <v>0</v>
      </c>
      <c r="AJ323">
        <f t="shared" si="238"/>
        <v>0</v>
      </c>
      <c r="AK323">
        <v>152277.10999999999</v>
      </c>
      <c r="AL323">
        <v>152277.10999999999</v>
      </c>
      <c r="AM323">
        <v>0</v>
      </c>
      <c r="AN323">
        <v>0</v>
      </c>
      <c r="AO323">
        <v>0</v>
      </c>
      <c r="AP323">
        <v>0</v>
      </c>
      <c r="AQ323">
        <v>0</v>
      </c>
      <c r="AR323">
        <v>0</v>
      </c>
      <c r="AS323">
        <v>0</v>
      </c>
      <c r="AT323">
        <v>0</v>
      </c>
      <c r="AU323">
        <v>0</v>
      </c>
      <c r="AV323">
        <v>1</v>
      </c>
      <c r="AW323">
        <v>1</v>
      </c>
      <c r="AZ323">
        <v>1</v>
      </c>
      <c r="BA323">
        <v>1</v>
      </c>
      <c r="BB323">
        <v>1</v>
      </c>
      <c r="BC323">
        <v>1.88</v>
      </c>
      <c r="BD323" t="s">
        <v>3</v>
      </c>
      <c r="BE323" t="s">
        <v>3</v>
      </c>
      <c r="BF323" t="s">
        <v>3</v>
      </c>
      <c r="BG323" t="s">
        <v>3</v>
      </c>
      <c r="BH323">
        <v>3</v>
      </c>
      <c r="BI323">
        <v>1</v>
      </c>
      <c r="BJ323" t="s">
        <v>281</v>
      </c>
      <c r="BM323">
        <v>99</v>
      </c>
      <c r="BN323">
        <v>0</v>
      </c>
      <c r="BO323" t="s">
        <v>278</v>
      </c>
      <c r="BP323">
        <v>1</v>
      </c>
      <c r="BQ323">
        <v>30</v>
      </c>
      <c r="BR323">
        <v>0</v>
      </c>
      <c r="BS323">
        <v>1</v>
      </c>
      <c r="BT323">
        <v>1</v>
      </c>
      <c r="BU323">
        <v>1</v>
      </c>
      <c r="BV323">
        <v>1</v>
      </c>
      <c r="BW323">
        <v>1</v>
      </c>
      <c r="BX323">
        <v>1</v>
      </c>
      <c r="BY323" t="s">
        <v>3</v>
      </c>
      <c r="BZ323">
        <v>0</v>
      </c>
      <c r="CA323">
        <v>0</v>
      </c>
      <c r="CF323">
        <v>0</v>
      </c>
      <c r="CG323">
        <v>0</v>
      </c>
      <c r="CM323">
        <v>0</v>
      </c>
      <c r="CN323" t="s">
        <v>3</v>
      </c>
      <c r="CO323">
        <v>0</v>
      </c>
      <c r="CP323">
        <f t="shared" si="239"/>
        <v>1631.8</v>
      </c>
      <c r="CQ323">
        <f t="shared" si="240"/>
        <v>286280.96679999994</v>
      </c>
      <c r="CR323">
        <f t="shared" si="241"/>
        <v>0</v>
      </c>
      <c r="CS323">
        <f t="shared" si="242"/>
        <v>0</v>
      </c>
      <c r="CT323">
        <f t="shared" si="243"/>
        <v>0</v>
      </c>
      <c r="CU323">
        <f t="shared" si="244"/>
        <v>0</v>
      </c>
      <c r="CV323">
        <f t="shared" si="245"/>
        <v>0</v>
      </c>
      <c r="CW323">
        <f t="shared" si="246"/>
        <v>0</v>
      </c>
      <c r="CX323">
        <f t="shared" si="247"/>
        <v>0</v>
      </c>
      <c r="CY323">
        <f t="shared" si="248"/>
        <v>0</v>
      </c>
      <c r="CZ323">
        <f t="shared" si="249"/>
        <v>0</v>
      </c>
      <c r="DC323" t="s">
        <v>3</v>
      </c>
      <c r="DD323" t="s">
        <v>3</v>
      </c>
      <c r="DE323" t="s">
        <v>3</v>
      </c>
      <c r="DF323" t="s">
        <v>3</v>
      </c>
      <c r="DG323" t="s">
        <v>3</v>
      </c>
      <c r="DH323" t="s">
        <v>3</v>
      </c>
      <c r="DI323" t="s">
        <v>3</v>
      </c>
      <c r="DJ323" t="s">
        <v>3</v>
      </c>
      <c r="DK323" t="s">
        <v>3</v>
      </c>
      <c r="DL323" t="s">
        <v>3</v>
      </c>
      <c r="DM323" t="s">
        <v>3</v>
      </c>
      <c r="DN323">
        <v>105</v>
      </c>
      <c r="DO323">
        <v>77</v>
      </c>
      <c r="DP323">
        <v>1.0469999999999999</v>
      </c>
      <c r="DQ323">
        <v>1</v>
      </c>
      <c r="DU323">
        <v>1009</v>
      </c>
      <c r="DV323" t="s">
        <v>280</v>
      </c>
      <c r="DW323" t="s">
        <v>280</v>
      </c>
      <c r="DX323">
        <v>1000</v>
      </c>
      <c r="EE323">
        <v>42186146</v>
      </c>
      <c r="EF323">
        <v>30</v>
      </c>
      <c r="EG323" t="s">
        <v>14</v>
      </c>
      <c r="EH323">
        <v>0</v>
      </c>
      <c r="EI323" t="s">
        <v>3</v>
      </c>
      <c r="EJ323">
        <v>1</v>
      </c>
      <c r="EK323">
        <v>99</v>
      </c>
      <c r="EL323" t="s">
        <v>275</v>
      </c>
      <c r="EM323" t="s">
        <v>276</v>
      </c>
      <c r="EO323" t="s">
        <v>3</v>
      </c>
      <c r="EQ323">
        <v>0</v>
      </c>
      <c r="ER323">
        <v>152277.10999999999</v>
      </c>
      <c r="ES323">
        <v>152277.10999999999</v>
      </c>
      <c r="ET323">
        <v>0</v>
      </c>
      <c r="EU323">
        <v>0</v>
      </c>
      <c r="EV323">
        <v>0</v>
      </c>
      <c r="EW323">
        <v>0</v>
      </c>
      <c r="EX323">
        <v>0</v>
      </c>
      <c r="FQ323">
        <v>0</v>
      </c>
      <c r="FR323">
        <f t="shared" si="250"/>
        <v>0</v>
      </c>
      <c r="FS323">
        <v>0</v>
      </c>
      <c r="FX323">
        <v>105</v>
      </c>
      <c r="FY323">
        <v>77</v>
      </c>
      <c r="GA323" t="s">
        <v>3</v>
      </c>
      <c r="GD323">
        <v>0</v>
      </c>
      <c r="GF323">
        <v>199408767</v>
      </c>
      <c r="GG323">
        <v>2</v>
      </c>
      <c r="GH323">
        <v>0</v>
      </c>
      <c r="GI323">
        <v>0</v>
      </c>
      <c r="GJ323">
        <v>0</v>
      </c>
      <c r="GK323">
        <f>ROUND(R323*(R12)/100,2)</f>
        <v>0</v>
      </c>
      <c r="GL323">
        <f t="shared" si="251"/>
        <v>0</v>
      </c>
      <c r="GM323">
        <f t="shared" si="252"/>
        <v>1631.8</v>
      </c>
      <c r="GN323">
        <f t="shared" si="253"/>
        <v>1631.8</v>
      </c>
      <c r="GO323">
        <f t="shared" si="254"/>
        <v>0</v>
      </c>
      <c r="GP323">
        <f t="shared" si="255"/>
        <v>0</v>
      </c>
      <c r="GR323">
        <v>0</v>
      </c>
      <c r="GS323">
        <v>0</v>
      </c>
      <c r="GT323">
        <v>0</v>
      </c>
      <c r="GU323" t="s">
        <v>3</v>
      </c>
      <c r="GV323">
        <f t="shared" si="256"/>
        <v>0</v>
      </c>
      <c r="GW323">
        <v>1</v>
      </c>
      <c r="GX323">
        <f t="shared" si="257"/>
        <v>0</v>
      </c>
      <c r="HA323">
        <v>0</v>
      </c>
      <c r="HB323">
        <v>0</v>
      </c>
      <c r="IK323">
        <v>0</v>
      </c>
    </row>
    <row r="324" spans="1:245" x14ac:dyDescent="0.2">
      <c r="A324">
        <v>17</v>
      </c>
      <c r="B324">
        <v>1</v>
      </c>
      <c r="C324">
        <f>ROW(SmtRes!A54)</f>
        <v>54</v>
      </c>
      <c r="D324">
        <f>ROW(EtalonRes!A58)</f>
        <v>58</v>
      </c>
      <c r="E324" t="s">
        <v>282</v>
      </c>
      <c r="F324" t="s">
        <v>283</v>
      </c>
      <c r="G324" t="s">
        <v>284</v>
      </c>
      <c r="H324" t="s">
        <v>285</v>
      </c>
      <c r="I324">
        <v>4</v>
      </c>
      <c r="J324">
        <v>0</v>
      </c>
      <c r="O324">
        <f t="shared" si="220"/>
        <v>9305.16</v>
      </c>
      <c r="P324">
        <f t="shared" si="221"/>
        <v>3108.92</v>
      </c>
      <c r="Q324">
        <f t="shared" si="222"/>
        <v>2134</v>
      </c>
      <c r="R324">
        <f t="shared" si="223"/>
        <v>734.93</v>
      </c>
      <c r="S324">
        <f t="shared" si="224"/>
        <v>4062.24</v>
      </c>
      <c r="T324">
        <f t="shared" si="225"/>
        <v>0</v>
      </c>
      <c r="U324">
        <f t="shared" si="226"/>
        <v>17.254559999999998</v>
      </c>
      <c r="V324">
        <f t="shared" si="227"/>
        <v>0</v>
      </c>
      <c r="W324">
        <f t="shared" si="228"/>
        <v>0</v>
      </c>
      <c r="X324">
        <f t="shared" si="229"/>
        <v>3859.13</v>
      </c>
      <c r="Y324">
        <f t="shared" si="230"/>
        <v>1868.63</v>
      </c>
      <c r="AA324">
        <v>42446460</v>
      </c>
      <c r="AB324">
        <f t="shared" si="231"/>
        <v>277.24</v>
      </c>
      <c r="AC324">
        <f>ROUND((ES324),6)</f>
        <v>153.30000000000001</v>
      </c>
      <c r="AD324">
        <f t="shared" si="232"/>
        <v>70.38</v>
      </c>
      <c r="AE324">
        <f t="shared" si="233"/>
        <v>9.69</v>
      </c>
      <c r="AF324">
        <f t="shared" si="234"/>
        <v>53.56</v>
      </c>
      <c r="AG324">
        <f t="shared" si="235"/>
        <v>0</v>
      </c>
      <c r="AH324">
        <f t="shared" si="236"/>
        <v>4.12</v>
      </c>
      <c r="AI324">
        <f t="shared" si="237"/>
        <v>0</v>
      </c>
      <c r="AJ324">
        <f t="shared" si="238"/>
        <v>0</v>
      </c>
      <c r="AK324">
        <v>277.24</v>
      </c>
      <c r="AL324">
        <v>153.30000000000001</v>
      </c>
      <c r="AM324">
        <v>70.38</v>
      </c>
      <c r="AN324">
        <v>9.69</v>
      </c>
      <c r="AO324">
        <v>53.56</v>
      </c>
      <c r="AP324">
        <v>0</v>
      </c>
      <c r="AQ324">
        <v>4.12</v>
      </c>
      <c r="AR324">
        <v>0</v>
      </c>
      <c r="AS324">
        <v>0</v>
      </c>
      <c r="AT324">
        <v>95</v>
      </c>
      <c r="AU324">
        <v>46</v>
      </c>
      <c r="AV324">
        <v>1.0469999999999999</v>
      </c>
      <c r="AW324">
        <v>1</v>
      </c>
      <c r="AZ324">
        <v>1</v>
      </c>
      <c r="BA324">
        <v>18.11</v>
      </c>
      <c r="BB324">
        <v>7.24</v>
      </c>
      <c r="BC324">
        <v>5.07</v>
      </c>
      <c r="BD324" t="s">
        <v>3</v>
      </c>
      <c r="BE324" t="s">
        <v>3</v>
      </c>
      <c r="BF324" t="s">
        <v>3</v>
      </c>
      <c r="BG324" t="s">
        <v>3</v>
      </c>
      <c r="BH324">
        <v>0</v>
      </c>
      <c r="BI324">
        <v>2</v>
      </c>
      <c r="BJ324" t="s">
        <v>286</v>
      </c>
      <c r="BM324">
        <v>333</v>
      </c>
      <c r="BN324">
        <v>0</v>
      </c>
      <c r="BO324" t="s">
        <v>283</v>
      </c>
      <c r="BP324">
        <v>1</v>
      </c>
      <c r="BQ324">
        <v>40</v>
      </c>
      <c r="BR324">
        <v>0</v>
      </c>
      <c r="BS324">
        <v>18.11</v>
      </c>
      <c r="BT324">
        <v>1</v>
      </c>
      <c r="BU324">
        <v>1</v>
      </c>
      <c r="BV324">
        <v>1</v>
      </c>
      <c r="BW324">
        <v>1</v>
      </c>
      <c r="BX324">
        <v>1</v>
      </c>
      <c r="BY324" t="s">
        <v>3</v>
      </c>
      <c r="BZ324">
        <v>95</v>
      </c>
      <c r="CA324">
        <v>46</v>
      </c>
      <c r="CF324">
        <v>0</v>
      </c>
      <c r="CG324">
        <v>0</v>
      </c>
      <c r="CM324">
        <v>0</v>
      </c>
      <c r="CN324" t="s">
        <v>3</v>
      </c>
      <c r="CO324">
        <v>0</v>
      </c>
      <c r="CP324">
        <f t="shared" si="239"/>
        <v>9305.16</v>
      </c>
      <c r="CQ324">
        <f t="shared" si="240"/>
        <v>777.23100000000011</v>
      </c>
      <c r="CR324">
        <f t="shared" si="241"/>
        <v>533.50010639999994</v>
      </c>
      <c r="CS324">
        <f t="shared" si="242"/>
        <v>183.73373729999997</v>
      </c>
      <c r="CT324">
        <f t="shared" si="243"/>
        <v>1015.5602651999999</v>
      </c>
      <c r="CU324">
        <f t="shared" si="244"/>
        <v>0</v>
      </c>
      <c r="CV324">
        <f t="shared" si="245"/>
        <v>4.3136399999999995</v>
      </c>
      <c r="CW324">
        <f t="shared" si="246"/>
        <v>0</v>
      </c>
      <c r="CX324">
        <f t="shared" si="247"/>
        <v>0</v>
      </c>
      <c r="CY324">
        <f t="shared" si="248"/>
        <v>3859.1279999999997</v>
      </c>
      <c r="CZ324">
        <f t="shared" si="249"/>
        <v>1868.6304</v>
      </c>
      <c r="DC324" t="s">
        <v>3</v>
      </c>
      <c r="DD324" t="s">
        <v>3</v>
      </c>
      <c r="DE324" t="s">
        <v>3</v>
      </c>
      <c r="DF324" t="s">
        <v>3</v>
      </c>
      <c r="DG324" t="s">
        <v>3</v>
      </c>
      <c r="DH324" t="s">
        <v>3</v>
      </c>
      <c r="DI324" t="s">
        <v>3</v>
      </c>
      <c r="DJ324" t="s">
        <v>3</v>
      </c>
      <c r="DK324" t="s">
        <v>3</v>
      </c>
      <c r="DL324" t="s">
        <v>3</v>
      </c>
      <c r="DM324" t="s">
        <v>3</v>
      </c>
      <c r="DN324">
        <v>112</v>
      </c>
      <c r="DO324">
        <v>70</v>
      </c>
      <c r="DP324">
        <v>1.0469999999999999</v>
      </c>
      <c r="DQ324">
        <v>1</v>
      </c>
      <c r="DU324">
        <v>1013</v>
      </c>
      <c r="DV324" t="s">
        <v>285</v>
      </c>
      <c r="DW324" t="s">
        <v>285</v>
      </c>
      <c r="DX324">
        <v>1</v>
      </c>
      <c r="EE324">
        <v>42186380</v>
      </c>
      <c r="EF324">
        <v>40</v>
      </c>
      <c r="EG324" t="s">
        <v>39</v>
      </c>
      <c r="EH324">
        <v>0</v>
      </c>
      <c r="EI324" t="s">
        <v>3</v>
      </c>
      <c r="EJ324">
        <v>2</v>
      </c>
      <c r="EK324">
        <v>333</v>
      </c>
      <c r="EL324" t="s">
        <v>287</v>
      </c>
      <c r="EM324" t="s">
        <v>288</v>
      </c>
      <c r="EO324" t="s">
        <v>3</v>
      </c>
      <c r="EQ324">
        <v>0</v>
      </c>
      <c r="ER324">
        <v>277.24</v>
      </c>
      <c r="ES324">
        <v>153.30000000000001</v>
      </c>
      <c r="ET324">
        <v>70.38</v>
      </c>
      <c r="EU324">
        <v>9.69</v>
      </c>
      <c r="EV324">
        <v>53.56</v>
      </c>
      <c r="EW324">
        <v>4.12</v>
      </c>
      <c r="EX324">
        <v>0</v>
      </c>
      <c r="EY324">
        <v>0</v>
      </c>
      <c r="FQ324">
        <v>0</v>
      </c>
      <c r="FR324">
        <f t="shared" si="250"/>
        <v>0</v>
      </c>
      <c r="FS324">
        <v>0</v>
      </c>
      <c r="FX324">
        <v>112</v>
      </c>
      <c r="FY324">
        <v>70</v>
      </c>
      <c r="GA324" t="s">
        <v>3</v>
      </c>
      <c r="GD324">
        <v>0</v>
      </c>
      <c r="GF324">
        <v>-1770597338</v>
      </c>
      <c r="GG324">
        <v>2</v>
      </c>
      <c r="GH324">
        <v>1</v>
      </c>
      <c r="GI324">
        <v>2</v>
      </c>
      <c r="GJ324">
        <v>0</v>
      </c>
      <c r="GK324">
        <f>ROUND(R324*(R12)/100,2)</f>
        <v>1227.33</v>
      </c>
      <c r="GL324">
        <f t="shared" si="251"/>
        <v>0</v>
      </c>
      <c r="GM324">
        <f t="shared" si="252"/>
        <v>16260.25</v>
      </c>
      <c r="GN324">
        <f t="shared" si="253"/>
        <v>0</v>
      </c>
      <c r="GO324">
        <f t="shared" si="254"/>
        <v>16260.25</v>
      </c>
      <c r="GP324">
        <f t="shared" si="255"/>
        <v>0</v>
      </c>
      <c r="GR324">
        <v>0</v>
      </c>
      <c r="GS324">
        <v>3</v>
      </c>
      <c r="GT324">
        <v>0</v>
      </c>
      <c r="GU324" t="s">
        <v>3</v>
      </c>
      <c r="GV324">
        <f t="shared" si="256"/>
        <v>0</v>
      </c>
      <c r="GW324">
        <v>1</v>
      </c>
      <c r="GX324">
        <f t="shared" si="257"/>
        <v>0</v>
      </c>
      <c r="HA324">
        <v>0</v>
      </c>
      <c r="HB324">
        <v>0</v>
      </c>
      <c r="IK324">
        <v>0</v>
      </c>
    </row>
    <row r="325" spans="1:245" x14ac:dyDescent="0.2">
      <c r="A325">
        <v>17</v>
      </c>
      <c r="B325">
        <v>1</v>
      </c>
      <c r="E325" t="s">
        <v>289</v>
      </c>
      <c r="F325" t="s">
        <v>203</v>
      </c>
      <c r="G325" t="s">
        <v>290</v>
      </c>
      <c r="H325" t="s">
        <v>291</v>
      </c>
      <c r="I325">
        <v>4</v>
      </c>
      <c r="J325">
        <v>0</v>
      </c>
      <c r="O325">
        <f t="shared" si="220"/>
        <v>751376.21</v>
      </c>
      <c r="P325">
        <f t="shared" si="221"/>
        <v>751376.21</v>
      </c>
      <c r="Q325">
        <f t="shared" si="222"/>
        <v>0</v>
      </c>
      <c r="R325">
        <f t="shared" si="223"/>
        <v>0</v>
      </c>
      <c r="S325">
        <f t="shared" si="224"/>
        <v>0</v>
      </c>
      <c r="T325">
        <f t="shared" si="225"/>
        <v>0</v>
      </c>
      <c r="U325">
        <f t="shared" si="226"/>
        <v>0</v>
      </c>
      <c r="V325">
        <f t="shared" si="227"/>
        <v>0</v>
      </c>
      <c r="W325">
        <f t="shared" si="228"/>
        <v>0</v>
      </c>
      <c r="X325">
        <f t="shared" si="229"/>
        <v>0</v>
      </c>
      <c r="Y325">
        <f t="shared" si="230"/>
        <v>0</v>
      </c>
      <c r="AA325">
        <v>42446460</v>
      </c>
      <c r="AB325">
        <f t="shared" si="231"/>
        <v>47315.8825</v>
      </c>
      <c r="AC325">
        <f>ROUND(((ES325*1.03)),6)</f>
        <v>47315.8825</v>
      </c>
      <c r="AD325">
        <f t="shared" si="232"/>
        <v>0</v>
      </c>
      <c r="AE325">
        <f t="shared" si="233"/>
        <v>0</v>
      </c>
      <c r="AF325">
        <f t="shared" si="234"/>
        <v>0</v>
      </c>
      <c r="AG325">
        <f t="shared" si="235"/>
        <v>0</v>
      </c>
      <c r="AH325">
        <f t="shared" si="236"/>
        <v>0</v>
      </c>
      <c r="AI325">
        <f t="shared" si="237"/>
        <v>0</v>
      </c>
      <c r="AJ325">
        <f t="shared" si="238"/>
        <v>0</v>
      </c>
      <c r="AK325">
        <v>45937.75</v>
      </c>
      <c r="AL325">
        <v>45937.75</v>
      </c>
      <c r="AM325">
        <v>0</v>
      </c>
      <c r="AN325">
        <v>0</v>
      </c>
      <c r="AO325">
        <v>0</v>
      </c>
      <c r="AP325">
        <v>0</v>
      </c>
      <c r="AQ325">
        <v>0</v>
      </c>
      <c r="AR325">
        <v>0</v>
      </c>
      <c r="AS325">
        <v>0</v>
      </c>
      <c r="AT325">
        <v>0</v>
      </c>
      <c r="AU325">
        <v>0</v>
      </c>
      <c r="AV325">
        <v>1</v>
      </c>
      <c r="AW325">
        <v>1</v>
      </c>
      <c r="AZ325">
        <v>1</v>
      </c>
      <c r="BA325">
        <v>1</v>
      </c>
      <c r="BB325">
        <v>1</v>
      </c>
      <c r="BC325">
        <v>3.97</v>
      </c>
      <c r="BD325" t="s">
        <v>3</v>
      </c>
      <c r="BE325" t="s">
        <v>3</v>
      </c>
      <c r="BF325" t="s">
        <v>3</v>
      </c>
      <c r="BG325" t="s">
        <v>3</v>
      </c>
      <c r="BH325">
        <v>3</v>
      </c>
      <c r="BI325">
        <v>3</v>
      </c>
      <c r="BJ325" t="s">
        <v>3</v>
      </c>
      <c r="BM325">
        <v>746</v>
      </c>
      <c r="BN325">
        <v>0</v>
      </c>
      <c r="BO325" t="s">
        <v>3</v>
      </c>
      <c r="BP325">
        <v>0</v>
      </c>
      <c r="BQ325">
        <v>130</v>
      </c>
      <c r="BR325">
        <v>0</v>
      </c>
      <c r="BS325">
        <v>1</v>
      </c>
      <c r="BT325">
        <v>1</v>
      </c>
      <c r="BU325">
        <v>1</v>
      </c>
      <c r="BV325">
        <v>1</v>
      </c>
      <c r="BW325">
        <v>1</v>
      </c>
      <c r="BX325">
        <v>1</v>
      </c>
      <c r="BY325" t="s">
        <v>3</v>
      </c>
      <c r="BZ325">
        <v>0</v>
      </c>
      <c r="CA325">
        <v>0</v>
      </c>
      <c r="CF325">
        <v>0</v>
      </c>
      <c r="CG325">
        <v>0</v>
      </c>
      <c r="CM325">
        <v>0</v>
      </c>
      <c r="CN325" t="s">
        <v>3</v>
      </c>
      <c r="CO325">
        <v>0</v>
      </c>
      <c r="CP325">
        <f t="shared" si="239"/>
        <v>751376.21</v>
      </c>
      <c r="CQ325">
        <f t="shared" si="240"/>
        <v>187844.053525</v>
      </c>
      <c r="CR325">
        <f t="shared" si="241"/>
        <v>0</v>
      </c>
      <c r="CS325">
        <f t="shared" si="242"/>
        <v>0</v>
      </c>
      <c r="CT325">
        <f t="shared" si="243"/>
        <v>0</v>
      </c>
      <c r="CU325">
        <f t="shared" si="244"/>
        <v>0</v>
      </c>
      <c r="CV325">
        <f t="shared" si="245"/>
        <v>0</v>
      </c>
      <c r="CW325">
        <f t="shared" si="246"/>
        <v>0</v>
      </c>
      <c r="CX325">
        <f t="shared" si="247"/>
        <v>0</v>
      </c>
      <c r="CY325">
        <f t="shared" si="248"/>
        <v>0</v>
      </c>
      <c r="CZ325">
        <f t="shared" si="249"/>
        <v>0</v>
      </c>
      <c r="DC325" t="s">
        <v>3</v>
      </c>
      <c r="DD325" t="s">
        <v>292</v>
      </c>
      <c r="DE325" t="s">
        <v>3</v>
      </c>
      <c r="DF325" t="s">
        <v>3</v>
      </c>
      <c r="DG325" t="s">
        <v>3</v>
      </c>
      <c r="DH325" t="s">
        <v>3</v>
      </c>
      <c r="DI325" t="s">
        <v>3</v>
      </c>
      <c r="DJ325" t="s">
        <v>3</v>
      </c>
      <c r="DK325" t="s">
        <v>3</v>
      </c>
      <c r="DL325" t="s">
        <v>3</v>
      </c>
      <c r="DM325" t="s">
        <v>3</v>
      </c>
      <c r="DN325">
        <v>0</v>
      </c>
      <c r="DO325">
        <v>0</v>
      </c>
      <c r="DP325">
        <v>1</v>
      </c>
      <c r="DQ325">
        <v>1</v>
      </c>
      <c r="DU325">
        <v>1010</v>
      </c>
      <c r="DV325" t="s">
        <v>291</v>
      </c>
      <c r="DW325" t="s">
        <v>291</v>
      </c>
      <c r="DX325">
        <v>1</v>
      </c>
      <c r="EE325">
        <v>42186793</v>
      </c>
      <c r="EF325">
        <v>130</v>
      </c>
      <c r="EG325" t="s">
        <v>293</v>
      </c>
      <c r="EH325">
        <v>0</v>
      </c>
      <c r="EI325" t="s">
        <v>3</v>
      </c>
      <c r="EJ325">
        <v>3</v>
      </c>
      <c r="EK325">
        <v>746</v>
      </c>
      <c r="EL325" t="s">
        <v>294</v>
      </c>
      <c r="EM325" t="s">
        <v>295</v>
      </c>
      <c r="EO325" t="s">
        <v>3</v>
      </c>
      <c r="EQ325">
        <v>131072</v>
      </c>
      <c r="ER325">
        <v>45937.75</v>
      </c>
      <c r="ES325">
        <v>45937.75</v>
      </c>
      <c r="ET325">
        <v>0</v>
      </c>
      <c r="EU325">
        <v>0</v>
      </c>
      <c r="EV325">
        <v>0</v>
      </c>
      <c r="EW325">
        <v>0</v>
      </c>
      <c r="EX325">
        <v>0</v>
      </c>
      <c r="EY325">
        <v>0</v>
      </c>
      <c r="EZ325">
        <v>5</v>
      </c>
      <c r="FC325">
        <v>1</v>
      </c>
      <c r="FD325">
        <v>18</v>
      </c>
      <c r="FF325">
        <v>215200</v>
      </c>
      <c r="FQ325">
        <v>0</v>
      </c>
      <c r="FR325">
        <f t="shared" si="250"/>
        <v>751376.21</v>
      </c>
      <c r="FS325">
        <v>0</v>
      </c>
      <c r="FX325">
        <v>0</v>
      </c>
      <c r="FY325">
        <v>0</v>
      </c>
      <c r="GA325" t="s">
        <v>296</v>
      </c>
      <c r="GD325">
        <v>0</v>
      </c>
      <c r="GF325">
        <v>144409550</v>
      </c>
      <c r="GG325">
        <v>2</v>
      </c>
      <c r="GH325">
        <v>3</v>
      </c>
      <c r="GI325">
        <v>0</v>
      </c>
      <c r="GJ325">
        <v>0</v>
      </c>
      <c r="GK325">
        <f>ROUND(R325*(R12)/100,2)</f>
        <v>0</v>
      </c>
      <c r="GL325">
        <f t="shared" si="251"/>
        <v>0</v>
      </c>
      <c r="GM325">
        <f t="shared" si="252"/>
        <v>751376.21</v>
      </c>
      <c r="GN325">
        <f t="shared" si="253"/>
        <v>0</v>
      </c>
      <c r="GO325">
        <f t="shared" si="254"/>
        <v>0</v>
      </c>
      <c r="GP325">
        <f t="shared" si="255"/>
        <v>0</v>
      </c>
      <c r="GR325">
        <v>1</v>
      </c>
      <c r="GS325">
        <v>1</v>
      </c>
      <c r="GT325">
        <v>0</v>
      </c>
      <c r="GU325" t="s">
        <v>3</v>
      </c>
      <c r="GV325">
        <f t="shared" si="256"/>
        <v>0</v>
      </c>
      <c r="GW325">
        <v>1</v>
      </c>
      <c r="GX325">
        <f t="shared" si="257"/>
        <v>0</v>
      </c>
      <c r="HA325">
        <v>0</v>
      </c>
      <c r="HB325">
        <v>0</v>
      </c>
      <c r="IK325">
        <v>0</v>
      </c>
    </row>
    <row r="326" spans="1:245" x14ac:dyDescent="0.2">
      <c r="A326">
        <v>17</v>
      </c>
      <c r="B326">
        <v>1</v>
      </c>
      <c r="C326">
        <f>ROW(SmtRes!A56)</f>
        <v>56</v>
      </c>
      <c r="D326">
        <f>ROW(EtalonRes!A59)</f>
        <v>59</v>
      </c>
      <c r="E326" t="s">
        <v>297</v>
      </c>
      <c r="F326" t="s">
        <v>298</v>
      </c>
      <c r="G326" t="s">
        <v>299</v>
      </c>
      <c r="H326" t="s">
        <v>285</v>
      </c>
      <c r="I326">
        <v>25</v>
      </c>
      <c r="J326">
        <v>0</v>
      </c>
      <c r="O326">
        <f t="shared" si="220"/>
        <v>25958.79</v>
      </c>
      <c r="P326">
        <f t="shared" si="221"/>
        <v>6867.32</v>
      </c>
      <c r="Q326">
        <f t="shared" si="222"/>
        <v>6396.97</v>
      </c>
      <c r="R326">
        <f t="shared" si="223"/>
        <v>1678.06</v>
      </c>
      <c r="S326">
        <f t="shared" si="224"/>
        <v>12694.5</v>
      </c>
      <c r="T326">
        <f t="shared" si="225"/>
        <v>0</v>
      </c>
      <c r="U326">
        <f t="shared" si="226"/>
        <v>53.92049999999999</v>
      </c>
      <c r="V326">
        <f t="shared" si="227"/>
        <v>0</v>
      </c>
      <c r="W326">
        <f t="shared" si="228"/>
        <v>0</v>
      </c>
      <c r="X326">
        <f t="shared" si="229"/>
        <v>12059.78</v>
      </c>
      <c r="Y326">
        <f t="shared" si="230"/>
        <v>5839.47</v>
      </c>
      <c r="AA326">
        <v>42446460</v>
      </c>
      <c r="AB326">
        <f t="shared" si="231"/>
        <v>117.22</v>
      </c>
      <c r="AC326">
        <f>ROUND((ES326),6)</f>
        <v>54.18</v>
      </c>
      <c r="AD326">
        <f t="shared" si="232"/>
        <v>36.26</v>
      </c>
      <c r="AE326">
        <f t="shared" si="233"/>
        <v>3.54</v>
      </c>
      <c r="AF326">
        <f t="shared" si="234"/>
        <v>26.78</v>
      </c>
      <c r="AG326">
        <f t="shared" si="235"/>
        <v>0</v>
      </c>
      <c r="AH326">
        <f t="shared" si="236"/>
        <v>2.06</v>
      </c>
      <c r="AI326">
        <f t="shared" si="237"/>
        <v>0</v>
      </c>
      <c r="AJ326">
        <f t="shared" si="238"/>
        <v>0</v>
      </c>
      <c r="AK326">
        <v>117.22</v>
      </c>
      <c r="AL326">
        <v>54.18</v>
      </c>
      <c r="AM326">
        <v>36.26</v>
      </c>
      <c r="AN326">
        <v>3.54</v>
      </c>
      <c r="AO326">
        <v>26.78</v>
      </c>
      <c r="AP326">
        <v>0</v>
      </c>
      <c r="AQ326">
        <v>2.06</v>
      </c>
      <c r="AR326">
        <v>0</v>
      </c>
      <c r="AS326">
        <v>0</v>
      </c>
      <c r="AT326">
        <v>95</v>
      </c>
      <c r="AU326">
        <v>46</v>
      </c>
      <c r="AV326">
        <v>1.0469999999999999</v>
      </c>
      <c r="AW326">
        <v>1</v>
      </c>
      <c r="AZ326">
        <v>1</v>
      </c>
      <c r="BA326">
        <v>18.11</v>
      </c>
      <c r="BB326">
        <v>6.74</v>
      </c>
      <c r="BC326">
        <v>5.07</v>
      </c>
      <c r="BD326" t="s">
        <v>3</v>
      </c>
      <c r="BE326" t="s">
        <v>3</v>
      </c>
      <c r="BF326" t="s">
        <v>3</v>
      </c>
      <c r="BG326" t="s">
        <v>3</v>
      </c>
      <c r="BH326">
        <v>0</v>
      </c>
      <c r="BI326">
        <v>2</v>
      </c>
      <c r="BJ326" t="s">
        <v>300</v>
      </c>
      <c r="BM326">
        <v>333</v>
      </c>
      <c r="BN326">
        <v>0</v>
      </c>
      <c r="BO326" t="s">
        <v>298</v>
      </c>
      <c r="BP326">
        <v>1</v>
      </c>
      <c r="BQ326">
        <v>40</v>
      </c>
      <c r="BR326">
        <v>0</v>
      </c>
      <c r="BS326">
        <v>18.11</v>
      </c>
      <c r="BT326">
        <v>1</v>
      </c>
      <c r="BU326">
        <v>1</v>
      </c>
      <c r="BV326">
        <v>1</v>
      </c>
      <c r="BW326">
        <v>1</v>
      </c>
      <c r="BX326">
        <v>1</v>
      </c>
      <c r="BY326" t="s">
        <v>3</v>
      </c>
      <c r="BZ326">
        <v>95</v>
      </c>
      <c r="CA326">
        <v>46</v>
      </c>
      <c r="CF326">
        <v>0</v>
      </c>
      <c r="CG326">
        <v>0</v>
      </c>
      <c r="CM326">
        <v>0</v>
      </c>
      <c r="CN326" t="s">
        <v>3</v>
      </c>
      <c r="CO326">
        <v>0</v>
      </c>
      <c r="CP326">
        <f t="shared" si="239"/>
        <v>25958.79</v>
      </c>
      <c r="CQ326">
        <f t="shared" si="240"/>
        <v>274.69260000000003</v>
      </c>
      <c r="CR326">
        <f t="shared" si="241"/>
        <v>255.87884279999997</v>
      </c>
      <c r="CS326">
        <f t="shared" si="242"/>
        <v>67.122541799999993</v>
      </c>
      <c r="CT326">
        <f t="shared" si="243"/>
        <v>507.78013259999994</v>
      </c>
      <c r="CU326">
        <f t="shared" si="244"/>
        <v>0</v>
      </c>
      <c r="CV326">
        <f t="shared" si="245"/>
        <v>2.1568199999999997</v>
      </c>
      <c r="CW326">
        <f t="shared" si="246"/>
        <v>0</v>
      </c>
      <c r="CX326">
        <f t="shared" si="247"/>
        <v>0</v>
      </c>
      <c r="CY326">
        <f t="shared" si="248"/>
        <v>12059.775</v>
      </c>
      <c r="CZ326">
        <f t="shared" si="249"/>
        <v>5839.47</v>
      </c>
      <c r="DC326" t="s">
        <v>3</v>
      </c>
      <c r="DD326" t="s">
        <v>3</v>
      </c>
      <c r="DE326" t="s">
        <v>3</v>
      </c>
      <c r="DF326" t="s">
        <v>3</v>
      </c>
      <c r="DG326" t="s">
        <v>3</v>
      </c>
      <c r="DH326" t="s">
        <v>3</v>
      </c>
      <c r="DI326" t="s">
        <v>3</v>
      </c>
      <c r="DJ326" t="s">
        <v>3</v>
      </c>
      <c r="DK326" t="s">
        <v>3</v>
      </c>
      <c r="DL326" t="s">
        <v>3</v>
      </c>
      <c r="DM326" t="s">
        <v>3</v>
      </c>
      <c r="DN326">
        <v>112</v>
      </c>
      <c r="DO326">
        <v>70</v>
      </c>
      <c r="DP326">
        <v>1.0469999999999999</v>
      </c>
      <c r="DQ326">
        <v>1</v>
      </c>
      <c r="DU326">
        <v>1013</v>
      </c>
      <c r="DV326" t="s">
        <v>285</v>
      </c>
      <c r="DW326" t="s">
        <v>285</v>
      </c>
      <c r="DX326">
        <v>1</v>
      </c>
      <c r="EE326">
        <v>42186380</v>
      </c>
      <c r="EF326">
        <v>40</v>
      </c>
      <c r="EG326" t="s">
        <v>39</v>
      </c>
      <c r="EH326">
        <v>0</v>
      </c>
      <c r="EI326" t="s">
        <v>3</v>
      </c>
      <c r="EJ326">
        <v>2</v>
      </c>
      <c r="EK326">
        <v>333</v>
      </c>
      <c r="EL326" t="s">
        <v>287</v>
      </c>
      <c r="EM326" t="s">
        <v>288</v>
      </c>
      <c r="EO326" t="s">
        <v>3</v>
      </c>
      <c r="EQ326">
        <v>131072</v>
      </c>
      <c r="ER326">
        <v>117.22</v>
      </c>
      <c r="ES326">
        <v>54.18</v>
      </c>
      <c r="ET326">
        <v>36.26</v>
      </c>
      <c r="EU326">
        <v>3.54</v>
      </c>
      <c r="EV326">
        <v>26.78</v>
      </c>
      <c r="EW326">
        <v>2.06</v>
      </c>
      <c r="EX326">
        <v>0</v>
      </c>
      <c r="EY326">
        <v>0</v>
      </c>
      <c r="FQ326">
        <v>0</v>
      </c>
      <c r="FR326">
        <f t="shared" si="250"/>
        <v>0</v>
      </c>
      <c r="FS326">
        <v>0</v>
      </c>
      <c r="FX326">
        <v>112</v>
      </c>
      <c r="FY326">
        <v>70</v>
      </c>
      <c r="GA326" t="s">
        <v>3</v>
      </c>
      <c r="GD326">
        <v>0</v>
      </c>
      <c r="GF326">
        <v>-636920387</v>
      </c>
      <c r="GG326">
        <v>2</v>
      </c>
      <c r="GH326">
        <v>1</v>
      </c>
      <c r="GI326">
        <v>2</v>
      </c>
      <c r="GJ326">
        <v>0</v>
      </c>
      <c r="GK326">
        <f>ROUND(R326*(R12)/100,2)</f>
        <v>2802.36</v>
      </c>
      <c r="GL326">
        <f t="shared" si="251"/>
        <v>0</v>
      </c>
      <c r="GM326">
        <f t="shared" si="252"/>
        <v>46660.4</v>
      </c>
      <c r="GN326">
        <f t="shared" si="253"/>
        <v>0</v>
      </c>
      <c r="GO326">
        <f t="shared" si="254"/>
        <v>46660.4</v>
      </c>
      <c r="GP326">
        <f t="shared" si="255"/>
        <v>0</v>
      </c>
      <c r="GR326">
        <v>0</v>
      </c>
      <c r="GS326">
        <v>3</v>
      </c>
      <c r="GT326">
        <v>0</v>
      </c>
      <c r="GU326" t="s">
        <v>3</v>
      </c>
      <c r="GV326">
        <f t="shared" si="256"/>
        <v>0</v>
      </c>
      <c r="GW326">
        <v>1</v>
      </c>
      <c r="GX326">
        <f t="shared" si="257"/>
        <v>0</v>
      </c>
      <c r="HA326">
        <v>0</v>
      </c>
      <c r="HB326">
        <v>0</v>
      </c>
      <c r="IK326">
        <v>0</v>
      </c>
    </row>
    <row r="327" spans="1:245" x14ac:dyDescent="0.2">
      <c r="A327">
        <v>17</v>
      </c>
      <c r="B327">
        <v>1</v>
      </c>
      <c r="E327" t="s">
        <v>301</v>
      </c>
      <c r="F327" t="s">
        <v>203</v>
      </c>
      <c r="G327" t="s">
        <v>302</v>
      </c>
      <c r="H327" t="s">
        <v>291</v>
      </c>
      <c r="I327">
        <v>25</v>
      </c>
      <c r="J327">
        <v>0</v>
      </c>
      <c r="O327">
        <f t="shared" si="220"/>
        <v>468586.33</v>
      </c>
      <c r="P327">
        <f t="shared" si="221"/>
        <v>468586.33</v>
      </c>
      <c r="Q327">
        <f t="shared" si="222"/>
        <v>0</v>
      </c>
      <c r="R327">
        <f t="shared" si="223"/>
        <v>0</v>
      </c>
      <c r="S327">
        <f t="shared" si="224"/>
        <v>0</v>
      </c>
      <c r="T327">
        <f t="shared" si="225"/>
        <v>0</v>
      </c>
      <c r="U327">
        <f t="shared" si="226"/>
        <v>0</v>
      </c>
      <c r="V327">
        <f t="shared" si="227"/>
        <v>0</v>
      </c>
      <c r="W327">
        <f t="shared" si="228"/>
        <v>0</v>
      </c>
      <c r="X327">
        <f t="shared" si="229"/>
        <v>0</v>
      </c>
      <c r="Y327">
        <f t="shared" si="230"/>
        <v>0</v>
      </c>
      <c r="AA327">
        <v>42446460</v>
      </c>
      <c r="AB327">
        <f t="shared" si="231"/>
        <v>4721.2727999999997</v>
      </c>
      <c r="AC327">
        <f>ROUND(((ES327*1.03)),6)</f>
        <v>4721.2727999999997</v>
      </c>
      <c r="AD327">
        <f t="shared" si="232"/>
        <v>0</v>
      </c>
      <c r="AE327">
        <f t="shared" si="233"/>
        <v>0</v>
      </c>
      <c r="AF327">
        <f t="shared" si="234"/>
        <v>0</v>
      </c>
      <c r="AG327">
        <f t="shared" si="235"/>
        <v>0</v>
      </c>
      <c r="AH327">
        <f t="shared" si="236"/>
        <v>0</v>
      </c>
      <c r="AI327">
        <f t="shared" si="237"/>
        <v>0</v>
      </c>
      <c r="AJ327">
        <f t="shared" si="238"/>
        <v>0</v>
      </c>
      <c r="AK327">
        <v>4583.76</v>
      </c>
      <c r="AL327">
        <v>4583.76</v>
      </c>
      <c r="AM327">
        <v>0</v>
      </c>
      <c r="AN327">
        <v>0</v>
      </c>
      <c r="AO327">
        <v>0</v>
      </c>
      <c r="AP327">
        <v>0</v>
      </c>
      <c r="AQ327">
        <v>0</v>
      </c>
      <c r="AR327">
        <v>0</v>
      </c>
      <c r="AS327">
        <v>0</v>
      </c>
      <c r="AT327">
        <v>0</v>
      </c>
      <c r="AU327">
        <v>0</v>
      </c>
      <c r="AV327">
        <v>1</v>
      </c>
      <c r="AW327">
        <v>1</v>
      </c>
      <c r="AZ327">
        <v>1</v>
      </c>
      <c r="BA327">
        <v>1</v>
      </c>
      <c r="BB327">
        <v>1</v>
      </c>
      <c r="BC327">
        <v>3.97</v>
      </c>
      <c r="BD327" t="s">
        <v>3</v>
      </c>
      <c r="BE327" t="s">
        <v>3</v>
      </c>
      <c r="BF327" t="s">
        <v>3</v>
      </c>
      <c r="BG327" t="s">
        <v>3</v>
      </c>
      <c r="BH327">
        <v>3</v>
      </c>
      <c r="BI327">
        <v>3</v>
      </c>
      <c r="BJ327" t="s">
        <v>3</v>
      </c>
      <c r="BM327">
        <v>746</v>
      </c>
      <c r="BN327">
        <v>0</v>
      </c>
      <c r="BO327" t="s">
        <v>3</v>
      </c>
      <c r="BP327">
        <v>0</v>
      </c>
      <c r="BQ327">
        <v>130</v>
      </c>
      <c r="BR327">
        <v>0</v>
      </c>
      <c r="BS327">
        <v>1</v>
      </c>
      <c r="BT327">
        <v>1</v>
      </c>
      <c r="BU327">
        <v>1</v>
      </c>
      <c r="BV327">
        <v>1</v>
      </c>
      <c r="BW327">
        <v>1</v>
      </c>
      <c r="BX327">
        <v>1</v>
      </c>
      <c r="BY327" t="s">
        <v>3</v>
      </c>
      <c r="BZ327">
        <v>0</v>
      </c>
      <c r="CA327">
        <v>0</v>
      </c>
      <c r="CF327">
        <v>0</v>
      </c>
      <c r="CG327">
        <v>0</v>
      </c>
      <c r="CM327">
        <v>0</v>
      </c>
      <c r="CN327" t="s">
        <v>3</v>
      </c>
      <c r="CO327">
        <v>0</v>
      </c>
      <c r="CP327">
        <f t="shared" si="239"/>
        <v>468586.33</v>
      </c>
      <c r="CQ327">
        <f t="shared" si="240"/>
        <v>18743.453015999999</v>
      </c>
      <c r="CR327">
        <f t="shared" si="241"/>
        <v>0</v>
      </c>
      <c r="CS327">
        <f t="shared" si="242"/>
        <v>0</v>
      </c>
      <c r="CT327">
        <f t="shared" si="243"/>
        <v>0</v>
      </c>
      <c r="CU327">
        <f t="shared" si="244"/>
        <v>0</v>
      </c>
      <c r="CV327">
        <f t="shared" si="245"/>
        <v>0</v>
      </c>
      <c r="CW327">
        <f t="shared" si="246"/>
        <v>0</v>
      </c>
      <c r="CX327">
        <f t="shared" si="247"/>
        <v>0</v>
      </c>
      <c r="CY327">
        <f t="shared" si="248"/>
        <v>0</v>
      </c>
      <c r="CZ327">
        <f t="shared" si="249"/>
        <v>0</v>
      </c>
      <c r="DC327" t="s">
        <v>3</v>
      </c>
      <c r="DD327" t="s">
        <v>292</v>
      </c>
      <c r="DE327" t="s">
        <v>3</v>
      </c>
      <c r="DF327" t="s">
        <v>3</v>
      </c>
      <c r="DG327" t="s">
        <v>3</v>
      </c>
      <c r="DH327" t="s">
        <v>3</v>
      </c>
      <c r="DI327" t="s">
        <v>3</v>
      </c>
      <c r="DJ327" t="s">
        <v>3</v>
      </c>
      <c r="DK327" t="s">
        <v>3</v>
      </c>
      <c r="DL327" t="s">
        <v>3</v>
      </c>
      <c r="DM327" t="s">
        <v>3</v>
      </c>
      <c r="DN327">
        <v>0</v>
      </c>
      <c r="DO327">
        <v>0</v>
      </c>
      <c r="DP327">
        <v>1</v>
      </c>
      <c r="DQ327">
        <v>1</v>
      </c>
      <c r="DU327">
        <v>1010</v>
      </c>
      <c r="DV327" t="s">
        <v>291</v>
      </c>
      <c r="DW327" t="s">
        <v>291</v>
      </c>
      <c r="DX327">
        <v>1</v>
      </c>
      <c r="EE327">
        <v>42186793</v>
      </c>
      <c r="EF327">
        <v>130</v>
      </c>
      <c r="EG327" t="s">
        <v>293</v>
      </c>
      <c r="EH327">
        <v>0</v>
      </c>
      <c r="EI327" t="s">
        <v>3</v>
      </c>
      <c r="EJ327">
        <v>3</v>
      </c>
      <c r="EK327">
        <v>746</v>
      </c>
      <c r="EL327" t="s">
        <v>294</v>
      </c>
      <c r="EM327" t="s">
        <v>295</v>
      </c>
      <c r="EO327" t="s">
        <v>3</v>
      </c>
      <c r="EQ327">
        <v>131072</v>
      </c>
      <c r="ER327">
        <v>4583.76</v>
      </c>
      <c r="ES327">
        <v>4583.76</v>
      </c>
      <c r="ET327">
        <v>0</v>
      </c>
      <c r="EU327">
        <v>0</v>
      </c>
      <c r="EV327">
        <v>0</v>
      </c>
      <c r="EW327">
        <v>0</v>
      </c>
      <c r="EX327">
        <v>0</v>
      </c>
      <c r="EY327">
        <v>0</v>
      </c>
      <c r="EZ327">
        <v>5</v>
      </c>
      <c r="FC327">
        <v>1</v>
      </c>
      <c r="FD327">
        <v>18</v>
      </c>
      <c r="FF327">
        <v>21473.1</v>
      </c>
      <c r="FQ327">
        <v>0</v>
      </c>
      <c r="FR327">
        <f t="shared" si="250"/>
        <v>468586.33</v>
      </c>
      <c r="FS327">
        <v>0</v>
      </c>
      <c r="FX327">
        <v>0</v>
      </c>
      <c r="FY327">
        <v>0</v>
      </c>
      <c r="GA327" t="s">
        <v>303</v>
      </c>
      <c r="GD327">
        <v>0</v>
      </c>
      <c r="GF327">
        <v>-510155870</v>
      </c>
      <c r="GG327">
        <v>2</v>
      </c>
      <c r="GH327">
        <v>3</v>
      </c>
      <c r="GI327">
        <v>0</v>
      </c>
      <c r="GJ327">
        <v>0</v>
      </c>
      <c r="GK327">
        <f>ROUND(R327*(R12)/100,2)</f>
        <v>0</v>
      </c>
      <c r="GL327">
        <f t="shared" si="251"/>
        <v>0</v>
      </c>
      <c r="GM327">
        <f t="shared" si="252"/>
        <v>468586.33</v>
      </c>
      <c r="GN327">
        <f t="shared" si="253"/>
        <v>0</v>
      </c>
      <c r="GO327">
        <f t="shared" si="254"/>
        <v>0</v>
      </c>
      <c r="GP327">
        <f t="shared" si="255"/>
        <v>0</v>
      </c>
      <c r="GR327">
        <v>1</v>
      </c>
      <c r="GS327">
        <v>1</v>
      </c>
      <c r="GT327">
        <v>0</v>
      </c>
      <c r="GU327" t="s">
        <v>3</v>
      </c>
      <c r="GV327">
        <f t="shared" si="256"/>
        <v>0</v>
      </c>
      <c r="GW327">
        <v>1</v>
      </c>
      <c r="GX327">
        <f t="shared" si="257"/>
        <v>0</v>
      </c>
      <c r="HA327">
        <v>0</v>
      </c>
      <c r="HB327">
        <v>0</v>
      </c>
      <c r="IK327">
        <v>0</v>
      </c>
    </row>
    <row r="328" spans="1:245" x14ac:dyDescent="0.2">
      <c r="A328">
        <v>17</v>
      </c>
      <c r="B328">
        <v>1</v>
      </c>
      <c r="C328">
        <f>ROW(SmtRes!A62)</f>
        <v>62</v>
      </c>
      <c r="D328">
        <f>ROW(EtalonRes!A65)</f>
        <v>65</v>
      </c>
      <c r="E328" t="s">
        <v>304</v>
      </c>
      <c r="F328" t="s">
        <v>305</v>
      </c>
      <c r="G328" t="s">
        <v>306</v>
      </c>
      <c r="H328" t="s">
        <v>307</v>
      </c>
      <c r="I328">
        <f>ROUND(0.65*4/100,9)</f>
        <v>2.5999999999999999E-2</v>
      </c>
      <c r="J328">
        <v>0</v>
      </c>
      <c r="O328">
        <f t="shared" si="220"/>
        <v>791.67</v>
      </c>
      <c r="P328">
        <f t="shared" si="221"/>
        <v>139.27000000000001</v>
      </c>
      <c r="Q328">
        <f t="shared" si="222"/>
        <v>2.75</v>
      </c>
      <c r="R328">
        <f t="shared" si="223"/>
        <v>1.22</v>
      </c>
      <c r="S328">
        <f t="shared" si="224"/>
        <v>649.65</v>
      </c>
      <c r="T328">
        <f t="shared" si="225"/>
        <v>0</v>
      </c>
      <c r="U328">
        <f t="shared" si="226"/>
        <v>3.51</v>
      </c>
      <c r="V328">
        <f t="shared" si="227"/>
        <v>0</v>
      </c>
      <c r="W328">
        <f t="shared" si="228"/>
        <v>0</v>
      </c>
      <c r="X328">
        <f t="shared" si="229"/>
        <v>630.16</v>
      </c>
      <c r="Y328">
        <f t="shared" si="230"/>
        <v>454.76</v>
      </c>
      <c r="AA328">
        <v>42446460</v>
      </c>
      <c r="AB328">
        <f t="shared" si="231"/>
        <v>3259.28</v>
      </c>
      <c r="AC328">
        <f t="shared" ref="AC328:AC337" si="258">ROUND((ES328),6)</f>
        <v>1859.87</v>
      </c>
      <c r="AD328">
        <f t="shared" si="232"/>
        <v>19.71</v>
      </c>
      <c r="AE328">
        <f t="shared" si="233"/>
        <v>2.6</v>
      </c>
      <c r="AF328">
        <f t="shared" si="234"/>
        <v>1379.7</v>
      </c>
      <c r="AG328">
        <f t="shared" si="235"/>
        <v>0</v>
      </c>
      <c r="AH328">
        <f t="shared" si="236"/>
        <v>135</v>
      </c>
      <c r="AI328">
        <f t="shared" si="237"/>
        <v>0</v>
      </c>
      <c r="AJ328">
        <f t="shared" si="238"/>
        <v>0</v>
      </c>
      <c r="AK328">
        <v>3259.28</v>
      </c>
      <c r="AL328">
        <v>1859.87</v>
      </c>
      <c r="AM328">
        <v>19.71</v>
      </c>
      <c r="AN328">
        <v>2.6</v>
      </c>
      <c r="AO328">
        <v>1379.7</v>
      </c>
      <c r="AP328">
        <v>0</v>
      </c>
      <c r="AQ328">
        <v>135</v>
      </c>
      <c r="AR328">
        <v>0</v>
      </c>
      <c r="AS328">
        <v>0</v>
      </c>
      <c r="AT328">
        <v>97</v>
      </c>
      <c r="AU328">
        <v>70</v>
      </c>
      <c r="AV328">
        <v>1</v>
      </c>
      <c r="AW328">
        <v>1</v>
      </c>
      <c r="AZ328">
        <v>1</v>
      </c>
      <c r="BA328">
        <v>18.11</v>
      </c>
      <c r="BB328">
        <v>5.36</v>
      </c>
      <c r="BC328">
        <v>2.88</v>
      </c>
      <c r="BD328" t="s">
        <v>3</v>
      </c>
      <c r="BE328" t="s">
        <v>3</v>
      </c>
      <c r="BF328" t="s">
        <v>3</v>
      </c>
      <c r="BG328" t="s">
        <v>3</v>
      </c>
      <c r="BH328">
        <v>0</v>
      </c>
      <c r="BI328">
        <v>1</v>
      </c>
      <c r="BJ328" t="s">
        <v>308</v>
      </c>
      <c r="BM328">
        <v>47</v>
      </c>
      <c r="BN328">
        <v>0</v>
      </c>
      <c r="BO328" t="s">
        <v>305</v>
      </c>
      <c r="BP328">
        <v>1</v>
      </c>
      <c r="BQ328">
        <v>30</v>
      </c>
      <c r="BR328">
        <v>0</v>
      </c>
      <c r="BS328">
        <v>18.11</v>
      </c>
      <c r="BT328">
        <v>1</v>
      </c>
      <c r="BU328">
        <v>1</v>
      </c>
      <c r="BV328">
        <v>1</v>
      </c>
      <c r="BW328">
        <v>1</v>
      </c>
      <c r="BX328">
        <v>1</v>
      </c>
      <c r="BY328" t="s">
        <v>3</v>
      </c>
      <c r="BZ328">
        <v>97</v>
      </c>
      <c r="CA328">
        <v>70</v>
      </c>
      <c r="CF328">
        <v>0</v>
      </c>
      <c r="CG328">
        <v>0</v>
      </c>
      <c r="CM328">
        <v>0</v>
      </c>
      <c r="CN328" t="s">
        <v>3</v>
      </c>
      <c r="CO328">
        <v>0</v>
      </c>
      <c r="CP328">
        <f t="shared" si="239"/>
        <v>791.67</v>
      </c>
      <c r="CQ328">
        <f t="shared" si="240"/>
        <v>5356.4255999999996</v>
      </c>
      <c r="CR328">
        <f t="shared" si="241"/>
        <v>105.64560000000002</v>
      </c>
      <c r="CS328">
        <f t="shared" si="242"/>
        <v>47.085999999999999</v>
      </c>
      <c r="CT328">
        <f t="shared" si="243"/>
        <v>24986.366999999998</v>
      </c>
      <c r="CU328">
        <f t="shared" si="244"/>
        <v>0</v>
      </c>
      <c r="CV328">
        <f t="shared" si="245"/>
        <v>135</v>
      </c>
      <c r="CW328">
        <f t="shared" si="246"/>
        <v>0</v>
      </c>
      <c r="CX328">
        <f t="shared" si="247"/>
        <v>0</v>
      </c>
      <c r="CY328">
        <f t="shared" si="248"/>
        <v>630.16049999999996</v>
      </c>
      <c r="CZ328">
        <f t="shared" si="249"/>
        <v>454.75499999999994</v>
      </c>
      <c r="DC328" t="s">
        <v>3</v>
      </c>
      <c r="DD328" t="s">
        <v>3</v>
      </c>
      <c r="DE328" t="s">
        <v>3</v>
      </c>
      <c r="DF328" t="s">
        <v>3</v>
      </c>
      <c r="DG328" t="s">
        <v>3</v>
      </c>
      <c r="DH328" t="s">
        <v>3</v>
      </c>
      <c r="DI328" t="s">
        <v>3</v>
      </c>
      <c r="DJ328" t="s">
        <v>3</v>
      </c>
      <c r="DK328" t="s">
        <v>3</v>
      </c>
      <c r="DL328" t="s">
        <v>3</v>
      </c>
      <c r="DM328" t="s">
        <v>3</v>
      </c>
      <c r="DN328">
        <v>98</v>
      </c>
      <c r="DO328">
        <v>70</v>
      </c>
      <c r="DP328">
        <v>1.0469999999999999</v>
      </c>
      <c r="DQ328">
        <v>1.022</v>
      </c>
      <c r="DU328">
        <v>1013</v>
      </c>
      <c r="DV328" t="s">
        <v>307</v>
      </c>
      <c r="DW328" t="s">
        <v>307</v>
      </c>
      <c r="DX328">
        <v>1</v>
      </c>
      <c r="EE328">
        <v>42186094</v>
      </c>
      <c r="EF328">
        <v>30</v>
      </c>
      <c r="EG328" t="s">
        <v>14</v>
      </c>
      <c r="EH328">
        <v>0</v>
      </c>
      <c r="EI328" t="s">
        <v>3</v>
      </c>
      <c r="EJ328">
        <v>1</v>
      </c>
      <c r="EK328">
        <v>47</v>
      </c>
      <c r="EL328" t="s">
        <v>309</v>
      </c>
      <c r="EM328" t="s">
        <v>310</v>
      </c>
      <c r="EO328" t="s">
        <v>3</v>
      </c>
      <c r="EQ328">
        <v>131072</v>
      </c>
      <c r="ER328">
        <v>3259.28</v>
      </c>
      <c r="ES328">
        <v>1859.87</v>
      </c>
      <c r="ET328">
        <v>19.71</v>
      </c>
      <c r="EU328">
        <v>2.6</v>
      </c>
      <c r="EV328">
        <v>1379.7</v>
      </c>
      <c r="EW328">
        <v>135</v>
      </c>
      <c r="EX328">
        <v>0</v>
      </c>
      <c r="EY328">
        <v>0</v>
      </c>
      <c r="FQ328">
        <v>0</v>
      </c>
      <c r="FR328">
        <f t="shared" si="250"/>
        <v>0</v>
      </c>
      <c r="FS328">
        <v>0</v>
      </c>
      <c r="FX328">
        <v>98</v>
      </c>
      <c r="FY328">
        <v>70</v>
      </c>
      <c r="GA328" t="s">
        <v>3</v>
      </c>
      <c r="GD328">
        <v>0</v>
      </c>
      <c r="GF328">
        <v>1462267552</v>
      </c>
      <c r="GG328">
        <v>2</v>
      </c>
      <c r="GH328">
        <v>0</v>
      </c>
      <c r="GI328">
        <v>0</v>
      </c>
      <c r="GJ328">
        <v>0</v>
      </c>
      <c r="GK328">
        <f>ROUND(R328*(R12)/100,2)</f>
        <v>2.04</v>
      </c>
      <c r="GL328">
        <f t="shared" si="251"/>
        <v>0</v>
      </c>
      <c r="GM328">
        <f t="shared" si="252"/>
        <v>1878.63</v>
      </c>
      <c r="GN328">
        <f t="shared" si="253"/>
        <v>1878.63</v>
      </c>
      <c r="GO328">
        <f t="shared" si="254"/>
        <v>0</v>
      </c>
      <c r="GP328">
        <f t="shared" si="255"/>
        <v>0</v>
      </c>
      <c r="GR328">
        <v>0</v>
      </c>
      <c r="GS328">
        <v>0</v>
      </c>
      <c r="GT328">
        <v>0</v>
      </c>
      <c r="GU328" t="s">
        <v>3</v>
      </c>
      <c r="GV328">
        <f t="shared" si="256"/>
        <v>0</v>
      </c>
      <c r="GW328">
        <v>1</v>
      </c>
      <c r="GX328">
        <f t="shared" si="257"/>
        <v>0</v>
      </c>
      <c r="HA328">
        <v>0</v>
      </c>
      <c r="HB328">
        <v>0</v>
      </c>
      <c r="IK328">
        <v>0</v>
      </c>
    </row>
    <row r="329" spans="1:245" x14ac:dyDescent="0.2">
      <c r="A329">
        <v>18</v>
      </c>
      <c r="B329">
        <v>1</v>
      </c>
      <c r="C329">
        <v>62</v>
      </c>
      <c r="E329" t="s">
        <v>311</v>
      </c>
      <c r="F329" t="s">
        <v>312</v>
      </c>
      <c r="G329" t="s">
        <v>313</v>
      </c>
      <c r="H329" t="s">
        <v>45</v>
      </c>
      <c r="I329">
        <f>I328*J329</f>
        <v>2.6520000000000001</v>
      </c>
      <c r="J329">
        <v>102.00000000000001</v>
      </c>
      <c r="O329">
        <f t="shared" si="220"/>
        <v>8283.59</v>
      </c>
      <c r="P329">
        <f t="shared" si="221"/>
        <v>8283.59</v>
      </c>
      <c r="Q329">
        <f t="shared" si="222"/>
        <v>0</v>
      </c>
      <c r="R329">
        <f t="shared" si="223"/>
        <v>0</v>
      </c>
      <c r="S329">
        <f t="shared" si="224"/>
        <v>0</v>
      </c>
      <c r="T329">
        <f t="shared" si="225"/>
        <v>0</v>
      </c>
      <c r="U329">
        <f t="shared" si="226"/>
        <v>0</v>
      </c>
      <c r="V329">
        <f t="shared" si="227"/>
        <v>0</v>
      </c>
      <c r="W329">
        <f t="shared" si="228"/>
        <v>0</v>
      </c>
      <c r="X329">
        <f t="shared" si="229"/>
        <v>0</v>
      </c>
      <c r="Y329">
        <f t="shared" si="230"/>
        <v>0</v>
      </c>
      <c r="AA329">
        <v>42446460</v>
      </c>
      <c r="AB329">
        <f t="shared" si="231"/>
        <v>517.14</v>
      </c>
      <c r="AC329">
        <f t="shared" si="258"/>
        <v>517.14</v>
      </c>
      <c r="AD329">
        <f t="shared" si="232"/>
        <v>0</v>
      </c>
      <c r="AE329">
        <f t="shared" si="233"/>
        <v>0</v>
      </c>
      <c r="AF329">
        <f t="shared" si="234"/>
        <v>0</v>
      </c>
      <c r="AG329">
        <f t="shared" si="235"/>
        <v>0</v>
      </c>
      <c r="AH329">
        <f t="shared" si="236"/>
        <v>0</v>
      </c>
      <c r="AI329">
        <f t="shared" si="237"/>
        <v>0</v>
      </c>
      <c r="AJ329">
        <f t="shared" si="238"/>
        <v>0</v>
      </c>
      <c r="AK329">
        <v>517.14</v>
      </c>
      <c r="AL329">
        <v>517.14</v>
      </c>
      <c r="AM329">
        <v>0</v>
      </c>
      <c r="AN329">
        <v>0</v>
      </c>
      <c r="AO329">
        <v>0</v>
      </c>
      <c r="AP329">
        <v>0</v>
      </c>
      <c r="AQ329">
        <v>0</v>
      </c>
      <c r="AR329">
        <v>0</v>
      </c>
      <c r="AS329">
        <v>0</v>
      </c>
      <c r="AT329">
        <v>0</v>
      </c>
      <c r="AU329">
        <v>0</v>
      </c>
      <c r="AV329">
        <v>1</v>
      </c>
      <c r="AW329">
        <v>1</v>
      </c>
      <c r="AZ329">
        <v>1</v>
      </c>
      <c r="BA329">
        <v>1</v>
      </c>
      <c r="BB329">
        <v>1</v>
      </c>
      <c r="BC329">
        <v>6.04</v>
      </c>
      <c r="BD329" t="s">
        <v>3</v>
      </c>
      <c r="BE329" t="s">
        <v>3</v>
      </c>
      <c r="BF329" t="s">
        <v>3</v>
      </c>
      <c r="BG329" t="s">
        <v>3</v>
      </c>
      <c r="BH329">
        <v>3</v>
      </c>
      <c r="BI329">
        <v>1</v>
      </c>
      <c r="BJ329" t="s">
        <v>314</v>
      </c>
      <c r="BM329">
        <v>47</v>
      </c>
      <c r="BN329">
        <v>0</v>
      </c>
      <c r="BO329" t="s">
        <v>312</v>
      </c>
      <c r="BP329">
        <v>1</v>
      </c>
      <c r="BQ329">
        <v>30</v>
      </c>
      <c r="BR329">
        <v>0</v>
      </c>
      <c r="BS329">
        <v>1</v>
      </c>
      <c r="BT329">
        <v>1</v>
      </c>
      <c r="BU329">
        <v>1</v>
      </c>
      <c r="BV329">
        <v>1</v>
      </c>
      <c r="BW329">
        <v>1</v>
      </c>
      <c r="BX329">
        <v>1</v>
      </c>
      <c r="BY329" t="s">
        <v>3</v>
      </c>
      <c r="BZ329">
        <v>0</v>
      </c>
      <c r="CA329">
        <v>0</v>
      </c>
      <c r="CF329">
        <v>0</v>
      </c>
      <c r="CG329">
        <v>0</v>
      </c>
      <c r="CM329">
        <v>0</v>
      </c>
      <c r="CN329" t="s">
        <v>3</v>
      </c>
      <c r="CO329">
        <v>0</v>
      </c>
      <c r="CP329">
        <f t="shared" si="239"/>
        <v>8283.59</v>
      </c>
      <c r="CQ329">
        <f t="shared" si="240"/>
        <v>3123.5255999999999</v>
      </c>
      <c r="CR329">
        <f t="shared" si="241"/>
        <v>0</v>
      </c>
      <c r="CS329">
        <f t="shared" si="242"/>
        <v>0</v>
      </c>
      <c r="CT329">
        <f t="shared" si="243"/>
        <v>0</v>
      </c>
      <c r="CU329">
        <f t="shared" si="244"/>
        <v>0</v>
      </c>
      <c r="CV329">
        <f t="shared" si="245"/>
        <v>0</v>
      </c>
      <c r="CW329">
        <f t="shared" si="246"/>
        <v>0</v>
      </c>
      <c r="CX329">
        <f t="shared" si="247"/>
        <v>0</v>
      </c>
      <c r="CY329">
        <f t="shared" si="248"/>
        <v>0</v>
      </c>
      <c r="CZ329">
        <f t="shared" si="249"/>
        <v>0</v>
      </c>
      <c r="DC329" t="s">
        <v>3</v>
      </c>
      <c r="DD329" t="s">
        <v>3</v>
      </c>
      <c r="DE329" t="s">
        <v>3</v>
      </c>
      <c r="DF329" t="s">
        <v>3</v>
      </c>
      <c r="DG329" t="s">
        <v>3</v>
      </c>
      <c r="DH329" t="s">
        <v>3</v>
      </c>
      <c r="DI329" t="s">
        <v>3</v>
      </c>
      <c r="DJ329" t="s">
        <v>3</v>
      </c>
      <c r="DK329" t="s">
        <v>3</v>
      </c>
      <c r="DL329" t="s">
        <v>3</v>
      </c>
      <c r="DM329" t="s">
        <v>3</v>
      </c>
      <c r="DN329">
        <v>98</v>
      </c>
      <c r="DO329">
        <v>70</v>
      </c>
      <c r="DP329">
        <v>1.0469999999999999</v>
      </c>
      <c r="DQ329">
        <v>1.022</v>
      </c>
      <c r="DU329">
        <v>1007</v>
      </c>
      <c r="DV329" t="s">
        <v>45</v>
      </c>
      <c r="DW329" t="s">
        <v>45</v>
      </c>
      <c r="DX329">
        <v>1</v>
      </c>
      <c r="EE329">
        <v>42186094</v>
      </c>
      <c r="EF329">
        <v>30</v>
      </c>
      <c r="EG329" t="s">
        <v>14</v>
      </c>
      <c r="EH329">
        <v>0</v>
      </c>
      <c r="EI329" t="s">
        <v>3</v>
      </c>
      <c r="EJ329">
        <v>1</v>
      </c>
      <c r="EK329">
        <v>47</v>
      </c>
      <c r="EL329" t="s">
        <v>309</v>
      </c>
      <c r="EM329" t="s">
        <v>310</v>
      </c>
      <c r="EO329" t="s">
        <v>3</v>
      </c>
      <c r="EQ329">
        <v>0</v>
      </c>
      <c r="ER329">
        <v>517.14</v>
      </c>
      <c r="ES329">
        <v>517.14</v>
      </c>
      <c r="ET329">
        <v>0</v>
      </c>
      <c r="EU329">
        <v>0</v>
      </c>
      <c r="EV329">
        <v>0</v>
      </c>
      <c r="EW329">
        <v>0</v>
      </c>
      <c r="EX329">
        <v>0</v>
      </c>
      <c r="FQ329">
        <v>0</v>
      </c>
      <c r="FR329">
        <f t="shared" si="250"/>
        <v>0</v>
      </c>
      <c r="FS329">
        <v>0</v>
      </c>
      <c r="FX329">
        <v>98</v>
      </c>
      <c r="FY329">
        <v>70</v>
      </c>
      <c r="GA329" t="s">
        <v>3</v>
      </c>
      <c r="GD329">
        <v>0</v>
      </c>
      <c r="GF329">
        <v>412444006</v>
      </c>
      <c r="GG329">
        <v>2</v>
      </c>
      <c r="GH329">
        <v>0</v>
      </c>
      <c r="GI329">
        <v>0</v>
      </c>
      <c r="GJ329">
        <v>0</v>
      </c>
      <c r="GK329">
        <f>ROUND(R329*(R12)/100,2)</f>
        <v>0</v>
      </c>
      <c r="GL329">
        <f t="shared" si="251"/>
        <v>0</v>
      </c>
      <c r="GM329">
        <f t="shared" si="252"/>
        <v>8283.59</v>
      </c>
      <c r="GN329">
        <f t="shared" si="253"/>
        <v>8283.59</v>
      </c>
      <c r="GO329">
        <f t="shared" si="254"/>
        <v>0</v>
      </c>
      <c r="GP329">
        <f t="shared" si="255"/>
        <v>0</v>
      </c>
      <c r="GR329">
        <v>0</v>
      </c>
      <c r="GS329">
        <v>0</v>
      </c>
      <c r="GT329">
        <v>0</v>
      </c>
      <c r="GU329" t="s">
        <v>3</v>
      </c>
      <c r="GV329">
        <f t="shared" si="256"/>
        <v>0</v>
      </c>
      <c r="GW329">
        <v>1</v>
      </c>
      <c r="GX329">
        <f t="shared" si="257"/>
        <v>0</v>
      </c>
      <c r="HA329">
        <v>0</v>
      </c>
      <c r="HB329">
        <v>0</v>
      </c>
      <c r="IK329">
        <v>0</v>
      </c>
    </row>
    <row r="330" spans="1:245" x14ac:dyDescent="0.2">
      <c r="A330">
        <v>17</v>
      </c>
      <c r="B330">
        <v>1</v>
      </c>
      <c r="C330">
        <f>ROW(SmtRes!A63)</f>
        <v>63</v>
      </c>
      <c r="D330">
        <f>ROW(EtalonRes!A66)</f>
        <v>66</v>
      </c>
      <c r="E330" t="s">
        <v>315</v>
      </c>
      <c r="F330" t="s">
        <v>316</v>
      </c>
      <c r="G330" t="s">
        <v>317</v>
      </c>
      <c r="H330" t="s">
        <v>318</v>
      </c>
      <c r="I330">
        <f>ROUND(4*3.55*4/1000,9)</f>
        <v>5.6800000000000003E-2</v>
      </c>
      <c r="J330">
        <v>0</v>
      </c>
      <c r="O330">
        <f t="shared" si="220"/>
        <v>2578.8200000000002</v>
      </c>
      <c r="P330">
        <f t="shared" si="221"/>
        <v>1570.33</v>
      </c>
      <c r="Q330">
        <f t="shared" si="222"/>
        <v>279.98</v>
      </c>
      <c r="R330">
        <f t="shared" si="223"/>
        <v>71.599999999999994</v>
      </c>
      <c r="S330">
        <f t="shared" si="224"/>
        <v>728.51</v>
      </c>
      <c r="T330">
        <f t="shared" si="225"/>
        <v>0</v>
      </c>
      <c r="U330">
        <f t="shared" si="226"/>
        <v>3.1875705600000002</v>
      </c>
      <c r="V330">
        <f t="shared" si="227"/>
        <v>0</v>
      </c>
      <c r="W330">
        <f t="shared" si="228"/>
        <v>0</v>
      </c>
      <c r="X330">
        <f t="shared" si="229"/>
        <v>692.08</v>
      </c>
      <c r="Y330">
        <f t="shared" si="230"/>
        <v>335.11</v>
      </c>
      <c r="AA330">
        <v>42446460</v>
      </c>
      <c r="AB330">
        <f t="shared" si="231"/>
        <v>6832.12</v>
      </c>
      <c r="AC330">
        <f t="shared" si="258"/>
        <v>5453</v>
      </c>
      <c r="AD330">
        <f t="shared" si="232"/>
        <v>702.69</v>
      </c>
      <c r="AE330">
        <f t="shared" si="233"/>
        <v>66.48</v>
      </c>
      <c r="AF330">
        <f t="shared" si="234"/>
        <v>676.43</v>
      </c>
      <c r="AG330">
        <f t="shared" si="235"/>
        <v>0</v>
      </c>
      <c r="AH330">
        <f t="shared" si="236"/>
        <v>53.6</v>
      </c>
      <c r="AI330">
        <f t="shared" si="237"/>
        <v>0</v>
      </c>
      <c r="AJ330">
        <f t="shared" si="238"/>
        <v>0</v>
      </c>
      <c r="AK330">
        <v>6832.12</v>
      </c>
      <c r="AL330">
        <v>5453</v>
      </c>
      <c r="AM330">
        <v>702.69</v>
      </c>
      <c r="AN330">
        <v>66.48</v>
      </c>
      <c r="AO330">
        <v>676.43</v>
      </c>
      <c r="AP330">
        <v>0</v>
      </c>
      <c r="AQ330">
        <v>53.6</v>
      </c>
      <c r="AR330">
        <v>0</v>
      </c>
      <c r="AS330">
        <v>0</v>
      </c>
      <c r="AT330">
        <v>95</v>
      </c>
      <c r="AU330">
        <v>46</v>
      </c>
      <c r="AV330">
        <v>1.0469999999999999</v>
      </c>
      <c r="AW330">
        <v>1</v>
      </c>
      <c r="AZ330">
        <v>1</v>
      </c>
      <c r="BA330">
        <v>18.11</v>
      </c>
      <c r="BB330">
        <v>6.7</v>
      </c>
      <c r="BC330">
        <v>5.07</v>
      </c>
      <c r="BD330" t="s">
        <v>3</v>
      </c>
      <c r="BE330" t="s">
        <v>3</v>
      </c>
      <c r="BF330" t="s">
        <v>3</v>
      </c>
      <c r="BG330" t="s">
        <v>3</v>
      </c>
      <c r="BH330">
        <v>0</v>
      </c>
      <c r="BI330">
        <v>2</v>
      </c>
      <c r="BJ330" t="s">
        <v>319</v>
      </c>
      <c r="BM330">
        <v>317</v>
      </c>
      <c r="BN330">
        <v>0</v>
      </c>
      <c r="BO330" t="s">
        <v>316</v>
      </c>
      <c r="BP330">
        <v>1</v>
      </c>
      <c r="BQ330">
        <v>40</v>
      </c>
      <c r="BR330">
        <v>0</v>
      </c>
      <c r="BS330">
        <v>18.11</v>
      </c>
      <c r="BT330">
        <v>1</v>
      </c>
      <c r="BU330">
        <v>1</v>
      </c>
      <c r="BV330">
        <v>1</v>
      </c>
      <c r="BW330">
        <v>1</v>
      </c>
      <c r="BX330">
        <v>1</v>
      </c>
      <c r="BY330" t="s">
        <v>3</v>
      </c>
      <c r="BZ330">
        <v>95</v>
      </c>
      <c r="CA330">
        <v>46</v>
      </c>
      <c r="CF330">
        <v>0</v>
      </c>
      <c r="CG330">
        <v>0</v>
      </c>
      <c r="CM330">
        <v>0</v>
      </c>
      <c r="CN330" t="s">
        <v>3</v>
      </c>
      <c r="CO330">
        <v>0</v>
      </c>
      <c r="CP330">
        <f t="shared" si="239"/>
        <v>2578.8199999999997</v>
      </c>
      <c r="CQ330">
        <f t="shared" si="240"/>
        <v>27646.710000000003</v>
      </c>
      <c r="CR330">
        <f t="shared" si="241"/>
        <v>4929.3000809999994</v>
      </c>
      <c r="CS330">
        <f t="shared" si="242"/>
        <v>1260.5385816</v>
      </c>
      <c r="CT330">
        <f t="shared" si="243"/>
        <v>12825.904223099998</v>
      </c>
      <c r="CU330">
        <f t="shared" si="244"/>
        <v>0</v>
      </c>
      <c r="CV330">
        <f t="shared" si="245"/>
        <v>56.119199999999999</v>
      </c>
      <c r="CW330">
        <f t="shared" si="246"/>
        <v>0</v>
      </c>
      <c r="CX330">
        <f t="shared" si="247"/>
        <v>0</v>
      </c>
      <c r="CY330">
        <f t="shared" si="248"/>
        <v>692.08449999999993</v>
      </c>
      <c r="CZ330">
        <f t="shared" si="249"/>
        <v>335.1146</v>
      </c>
      <c r="DC330" t="s">
        <v>3</v>
      </c>
      <c r="DD330" t="s">
        <v>3</v>
      </c>
      <c r="DE330" t="s">
        <v>3</v>
      </c>
      <c r="DF330" t="s">
        <v>3</v>
      </c>
      <c r="DG330" t="s">
        <v>3</v>
      </c>
      <c r="DH330" t="s">
        <v>3</v>
      </c>
      <c r="DI330" t="s">
        <v>3</v>
      </c>
      <c r="DJ330" t="s">
        <v>3</v>
      </c>
      <c r="DK330" t="s">
        <v>3</v>
      </c>
      <c r="DL330" t="s">
        <v>3</v>
      </c>
      <c r="DM330" t="s">
        <v>3</v>
      </c>
      <c r="DN330">
        <v>112</v>
      </c>
      <c r="DO330">
        <v>70</v>
      </c>
      <c r="DP330">
        <v>1.0469999999999999</v>
      </c>
      <c r="DQ330">
        <v>1</v>
      </c>
      <c r="DU330">
        <v>1013</v>
      </c>
      <c r="DV330" t="s">
        <v>318</v>
      </c>
      <c r="DW330" t="s">
        <v>318</v>
      </c>
      <c r="DX330">
        <v>1</v>
      </c>
      <c r="EE330">
        <v>42186364</v>
      </c>
      <c r="EF330">
        <v>40</v>
      </c>
      <c r="EG330" t="s">
        <v>39</v>
      </c>
      <c r="EH330">
        <v>0</v>
      </c>
      <c r="EI330" t="s">
        <v>3</v>
      </c>
      <c r="EJ330">
        <v>2</v>
      </c>
      <c r="EK330">
        <v>317</v>
      </c>
      <c r="EL330" t="s">
        <v>320</v>
      </c>
      <c r="EM330" t="s">
        <v>321</v>
      </c>
      <c r="EO330" t="s">
        <v>3</v>
      </c>
      <c r="EQ330">
        <v>0</v>
      </c>
      <c r="ER330">
        <v>6832.12</v>
      </c>
      <c r="ES330">
        <v>5453</v>
      </c>
      <c r="ET330">
        <v>702.69</v>
      </c>
      <c r="EU330">
        <v>66.48</v>
      </c>
      <c r="EV330">
        <v>676.43</v>
      </c>
      <c r="EW330">
        <v>53.6</v>
      </c>
      <c r="EX330">
        <v>0</v>
      </c>
      <c r="EY330">
        <v>0</v>
      </c>
      <c r="FQ330">
        <v>0</v>
      </c>
      <c r="FR330">
        <f t="shared" si="250"/>
        <v>0</v>
      </c>
      <c r="FS330">
        <v>0</v>
      </c>
      <c r="FX330">
        <v>112</v>
      </c>
      <c r="FY330">
        <v>70</v>
      </c>
      <c r="GA330" t="s">
        <v>3</v>
      </c>
      <c r="GD330">
        <v>0</v>
      </c>
      <c r="GF330">
        <v>-210671048</v>
      </c>
      <c r="GG330">
        <v>2</v>
      </c>
      <c r="GH330">
        <v>1</v>
      </c>
      <c r="GI330">
        <v>2</v>
      </c>
      <c r="GJ330">
        <v>0</v>
      </c>
      <c r="GK330">
        <f>ROUND(R330*(R12)/100,2)</f>
        <v>119.57</v>
      </c>
      <c r="GL330">
        <f t="shared" si="251"/>
        <v>0</v>
      </c>
      <c r="GM330">
        <f t="shared" si="252"/>
        <v>3725.58</v>
      </c>
      <c r="GN330">
        <f t="shared" si="253"/>
        <v>0</v>
      </c>
      <c r="GO330">
        <f t="shared" si="254"/>
        <v>3725.58</v>
      </c>
      <c r="GP330">
        <f t="shared" si="255"/>
        <v>0</v>
      </c>
      <c r="GR330">
        <v>0</v>
      </c>
      <c r="GS330">
        <v>3</v>
      </c>
      <c r="GT330">
        <v>0</v>
      </c>
      <c r="GU330" t="s">
        <v>3</v>
      </c>
      <c r="GV330">
        <f t="shared" si="256"/>
        <v>0</v>
      </c>
      <c r="GW330">
        <v>1</v>
      </c>
      <c r="GX330">
        <f t="shared" si="257"/>
        <v>0</v>
      </c>
      <c r="HA330">
        <v>0</v>
      </c>
      <c r="HB330">
        <v>0</v>
      </c>
      <c r="IK330">
        <v>0</v>
      </c>
    </row>
    <row r="331" spans="1:245" x14ac:dyDescent="0.2">
      <c r="A331">
        <v>17</v>
      </c>
      <c r="B331">
        <v>1</v>
      </c>
      <c r="E331" t="s">
        <v>322</v>
      </c>
      <c r="F331" t="s">
        <v>323</v>
      </c>
      <c r="G331" t="s">
        <v>324</v>
      </c>
      <c r="H331" t="s">
        <v>280</v>
      </c>
      <c r="I331">
        <v>5.6800000000000003E-2</v>
      </c>
      <c r="J331">
        <v>0</v>
      </c>
      <c r="O331">
        <f t="shared" si="220"/>
        <v>1948.06</v>
      </c>
      <c r="P331">
        <f t="shared" si="221"/>
        <v>1948.06</v>
      </c>
      <c r="Q331">
        <f t="shared" si="222"/>
        <v>0</v>
      </c>
      <c r="R331">
        <f t="shared" si="223"/>
        <v>0</v>
      </c>
      <c r="S331">
        <f t="shared" si="224"/>
        <v>0</v>
      </c>
      <c r="T331">
        <f t="shared" si="225"/>
        <v>0</v>
      </c>
      <c r="U331">
        <f t="shared" si="226"/>
        <v>0</v>
      </c>
      <c r="V331">
        <f t="shared" si="227"/>
        <v>0</v>
      </c>
      <c r="W331">
        <f t="shared" si="228"/>
        <v>0</v>
      </c>
      <c r="X331">
        <f t="shared" si="229"/>
        <v>0</v>
      </c>
      <c r="Y331">
        <f t="shared" si="230"/>
        <v>0</v>
      </c>
      <c r="AA331">
        <v>42446460</v>
      </c>
      <c r="AB331">
        <f t="shared" si="231"/>
        <v>8344.7099999999991</v>
      </c>
      <c r="AC331">
        <f t="shared" si="258"/>
        <v>8344.7099999999991</v>
      </c>
      <c r="AD331">
        <f t="shared" si="232"/>
        <v>0</v>
      </c>
      <c r="AE331">
        <f t="shared" si="233"/>
        <v>0</v>
      </c>
      <c r="AF331">
        <f t="shared" si="234"/>
        <v>0</v>
      </c>
      <c r="AG331">
        <f t="shared" si="235"/>
        <v>0</v>
      </c>
      <c r="AH331">
        <f t="shared" si="236"/>
        <v>0</v>
      </c>
      <c r="AI331">
        <f t="shared" si="237"/>
        <v>0</v>
      </c>
      <c r="AJ331">
        <f t="shared" si="238"/>
        <v>0</v>
      </c>
      <c r="AK331">
        <v>8344.7099999999991</v>
      </c>
      <c r="AL331">
        <v>8344.7099999999991</v>
      </c>
      <c r="AM331">
        <v>0</v>
      </c>
      <c r="AN331">
        <v>0</v>
      </c>
      <c r="AO331">
        <v>0</v>
      </c>
      <c r="AP331">
        <v>0</v>
      </c>
      <c r="AQ331">
        <v>0</v>
      </c>
      <c r="AR331">
        <v>0</v>
      </c>
      <c r="AS331">
        <v>0</v>
      </c>
      <c r="AT331">
        <v>0</v>
      </c>
      <c r="AU331">
        <v>0</v>
      </c>
      <c r="AV331">
        <v>1</v>
      </c>
      <c r="AW331">
        <v>1</v>
      </c>
      <c r="AZ331">
        <v>1</v>
      </c>
      <c r="BA331">
        <v>1</v>
      </c>
      <c r="BB331">
        <v>1</v>
      </c>
      <c r="BC331">
        <v>4.1100000000000003</v>
      </c>
      <c r="BD331" t="s">
        <v>3</v>
      </c>
      <c r="BE331" t="s">
        <v>3</v>
      </c>
      <c r="BF331" t="s">
        <v>3</v>
      </c>
      <c r="BG331" t="s">
        <v>3</v>
      </c>
      <c r="BH331">
        <v>3</v>
      </c>
      <c r="BI331">
        <v>1</v>
      </c>
      <c r="BJ331" t="s">
        <v>325</v>
      </c>
      <c r="BM331">
        <v>1617</v>
      </c>
      <c r="BN331">
        <v>0</v>
      </c>
      <c r="BO331" t="s">
        <v>323</v>
      </c>
      <c r="BP331">
        <v>1</v>
      </c>
      <c r="BQ331">
        <v>200</v>
      </c>
      <c r="BR331">
        <v>0</v>
      </c>
      <c r="BS331">
        <v>1</v>
      </c>
      <c r="BT331">
        <v>1</v>
      </c>
      <c r="BU331">
        <v>1</v>
      </c>
      <c r="BV331">
        <v>1</v>
      </c>
      <c r="BW331">
        <v>1</v>
      </c>
      <c r="BX331">
        <v>1</v>
      </c>
      <c r="BY331" t="s">
        <v>3</v>
      </c>
      <c r="BZ331">
        <v>0</v>
      </c>
      <c r="CA331">
        <v>0</v>
      </c>
      <c r="CF331">
        <v>0</v>
      </c>
      <c r="CG331">
        <v>0</v>
      </c>
      <c r="CM331">
        <v>0</v>
      </c>
      <c r="CN331" t="s">
        <v>3</v>
      </c>
      <c r="CO331">
        <v>0</v>
      </c>
      <c r="CP331">
        <f t="shared" si="239"/>
        <v>1948.06</v>
      </c>
      <c r="CQ331">
        <f t="shared" si="240"/>
        <v>34296.758099999999</v>
      </c>
      <c r="CR331">
        <f t="shared" si="241"/>
        <v>0</v>
      </c>
      <c r="CS331">
        <f t="shared" si="242"/>
        <v>0</v>
      </c>
      <c r="CT331">
        <f t="shared" si="243"/>
        <v>0</v>
      </c>
      <c r="CU331">
        <f t="shared" si="244"/>
        <v>0</v>
      </c>
      <c r="CV331">
        <f t="shared" si="245"/>
        <v>0</v>
      </c>
      <c r="CW331">
        <f t="shared" si="246"/>
        <v>0</v>
      </c>
      <c r="CX331">
        <f t="shared" si="247"/>
        <v>0</v>
      </c>
      <c r="CY331">
        <f t="shared" si="248"/>
        <v>0</v>
      </c>
      <c r="CZ331">
        <f t="shared" si="249"/>
        <v>0</v>
      </c>
      <c r="DC331" t="s">
        <v>3</v>
      </c>
      <c r="DD331" t="s">
        <v>3</v>
      </c>
      <c r="DE331" t="s">
        <v>3</v>
      </c>
      <c r="DF331" t="s">
        <v>3</v>
      </c>
      <c r="DG331" t="s">
        <v>3</v>
      </c>
      <c r="DH331" t="s">
        <v>3</v>
      </c>
      <c r="DI331" t="s">
        <v>3</v>
      </c>
      <c r="DJ331" t="s">
        <v>3</v>
      </c>
      <c r="DK331" t="s">
        <v>3</v>
      </c>
      <c r="DL331" t="s">
        <v>3</v>
      </c>
      <c r="DM331" t="s">
        <v>3</v>
      </c>
      <c r="DN331">
        <v>0</v>
      </c>
      <c r="DO331">
        <v>0</v>
      </c>
      <c r="DP331">
        <v>1</v>
      </c>
      <c r="DQ331">
        <v>1</v>
      </c>
      <c r="DU331">
        <v>1009</v>
      </c>
      <c r="DV331" t="s">
        <v>280</v>
      </c>
      <c r="DW331" t="s">
        <v>280</v>
      </c>
      <c r="DX331">
        <v>1000</v>
      </c>
      <c r="EE331">
        <v>42187664</v>
      </c>
      <c r="EF331">
        <v>200</v>
      </c>
      <c r="EG331" t="s">
        <v>262</v>
      </c>
      <c r="EH331">
        <v>0</v>
      </c>
      <c r="EI331" t="s">
        <v>3</v>
      </c>
      <c r="EJ331">
        <v>1</v>
      </c>
      <c r="EK331">
        <v>1617</v>
      </c>
      <c r="EL331" t="s">
        <v>263</v>
      </c>
      <c r="EM331" t="s">
        <v>264</v>
      </c>
      <c r="EO331" t="s">
        <v>3</v>
      </c>
      <c r="EQ331">
        <v>0</v>
      </c>
      <c r="ER331">
        <v>8344.7099999999991</v>
      </c>
      <c r="ES331">
        <v>8344.7099999999991</v>
      </c>
      <c r="ET331">
        <v>0</v>
      </c>
      <c r="EU331">
        <v>0</v>
      </c>
      <c r="EV331">
        <v>0</v>
      </c>
      <c r="EW331">
        <v>0</v>
      </c>
      <c r="EX331">
        <v>0</v>
      </c>
      <c r="EY331">
        <v>0</v>
      </c>
      <c r="FQ331">
        <v>0</v>
      </c>
      <c r="FR331">
        <f t="shared" si="250"/>
        <v>0</v>
      </c>
      <c r="FS331">
        <v>0</v>
      </c>
      <c r="FX331">
        <v>0</v>
      </c>
      <c r="FY331">
        <v>0</v>
      </c>
      <c r="GA331" t="s">
        <v>3</v>
      </c>
      <c r="GD331">
        <v>0</v>
      </c>
      <c r="GF331">
        <v>-1675932722</v>
      </c>
      <c r="GG331">
        <v>2</v>
      </c>
      <c r="GH331">
        <v>1</v>
      </c>
      <c r="GI331">
        <v>2</v>
      </c>
      <c r="GJ331">
        <v>0</v>
      </c>
      <c r="GK331">
        <f>ROUND(R331*(R12)/100,2)</f>
        <v>0</v>
      </c>
      <c r="GL331">
        <f t="shared" si="251"/>
        <v>0</v>
      </c>
      <c r="GM331">
        <f t="shared" si="252"/>
        <v>1948.06</v>
      </c>
      <c r="GN331">
        <f t="shared" si="253"/>
        <v>1948.06</v>
      </c>
      <c r="GO331">
        <f t="shared" si="254"/>
        <v>0</v>
      </c>
      <c r="GP331">
        <f t="shared" si="255"/>
        <v>0</v>
      </c>
      <c r="GR331">
        <v>0</v>
      </c>
      <c r="GS331">
        <v>3</v>
      </c>
      <c r="GT331">
        <v>0</v>
      </c>
      <c r="GU331" t="s">
        <v>3</v>
      </c>
      <c r="GV331">
        <f t="shared" si="256"/>
        <v>0</v>
      </c>
      <c r="GW331">
        <v>1</v>
      </c>
      <c r="GX331">
        <f t="shared" si="257"/>
        <v>0</v>
      </c>
      <c r="HA331">
        <v>0</v>
      </c>
      <c r="HB331">
        <v>0</v>
      </c>
      <c r="IK331">
        <v>0</v>
      </c>
    </row>
    <row r="332" spans="1:245" x14ac:dyDescent="0.2">
      <c r="A332">
        <v>17</v>
      </c>
      <c r="B332">
        <v>1</v>
      </c>
      <c r="C332">
        <f>ROW(SmtRes!A64)</f>
        <v>64</v>
      </c>
      <c r="D332">
        <f>ROW(EtalonRes!A67)</f>
        <v>67</v>
      </c>
      <c r="E332" t="s">
        <v>326</v>
      </c>
      <c r="F332" t="s">
        <v>327</v>
      </c>
      <c r="G332" t="s">
        <v>328</v>
      </c>
      <c r="H332" t="s">
        <v>329</v>
      </c>
      <c r="I332">
        <f>ROUND(28/100,9)</f>
        <v>0.28000000000000003</v>
      </c>
      <c r="J332">
        <v>0</v>
      </c>
      <c r="O332">
        <f t="shared" si="220"/>
        <v>3171.52</v>
      </c>
      <c r="P332">
        <f t="shared" si="221"/>
        <v>484.94</v>
      </c>
      <c r="Q332">
        <f t="shared" si="222"/>
        <v>38.56</v>
      </c>
      <c r="R332">
        <f t="shared" si="223"/>
        <v>10.55</v>
      </c>
      <c r="S332">
        <f t="shared" si="224"/>
        <v>2648.02</v>
      </c>
      <c r="T332">
        <f t="shared" si="225"/>
        <v>0</v>
      </c>
      <c r="U332">
        <f t="shared" si="226"/>
        <v>11.247600000000002</v>
      </c>
      <c r="V332">
        <f t="shared" si="227"/>
        <v>0</v>
      </c>
      <c r="W332">
        <f t="shared" si="228"/>
        <v>0</v>
      </c>
      <c r="X332">
        <f t="shared" si="229"/>
        <v>2515.62</v>
      </c>
      <c r="Y332">
        <f t="shared" si="230"/>
        <v>1218.0899999999999</v>
      </c>
      <c r="AA332">
        <v>42446460</v>
      </c>
      <c r="AB332">
        <f t="shared" si="231"/>
        <v>884.06</v>
      </c>
      <c r="AC332">
        <f t="shared" si="258"/>
        <v>341.6</v>
      </c>
      <c r="AD332">
        <f t="shared" si="232"/>
        <v>20.25</v>
      </c>
      <c r="AE332">
        <f t="shared" si="233"/>
        <v>2.08</v>
      </c>
      <c r="AF332">
        <f t="shared" si="234"/>
        <v>522.21</v>
      </c>
      <c r="AG332">
        <f t="shared" si="235"/>
        <v>0</v>
      </c>
      <c r="AH332">
        <f t="shared" si="236"/>
        <v>40.17</v>
      </c>
      <c r="AI332">
        <f t="shared" si="237"/>
        <v>0</v>
      </c>
      <c r="AJ332">
        <f t="shared" si="238"/>
        <v>0</v>
      </c>
      <c r="AK332">
        <v>884.06</v>
      </c>
      <c r="AL332">
        <v>341.6</v>
      </c>
      <c r="AM332">
        <v>20.25</v>
      </c>
      <c r="AN332">
        <v>2.08</v>
      </c>
      <c r="AO332">
        <v>522.21</v>
      </c>
      <c r="AP332">
        <v>0</v>
      </c>
      <c r="AQ332">
        <v>40.17</v>
      </c>
      <c r="AR332">
        <v>0</v>
      </c>
      <c r="AS332">
        <v>0</v>
      </c>
      <c r="AT332">
        <v>95</v>
      </c>
      <c r="AU332">
        <v>46</v>
      </c>
      <c r="AV332">
        <v>1</v>
      </c>
      <c r="AW332">
        <v>1</v>
      </c>
      <c r="AZ332">
        <v>1</v>
      </c>
      <c r="BA332">
        <v>18.11</v>
      </c>
      <c r="BB332">
        <v>6.8</v>
      </c>
      <c r="BC332">
        <v>5.07</v>
      </c>
      <c r="BD332" t="s">
        <v>3</v>
      </c>
      <c r="BE332" t="s">
        <v>3</v>
      </c>
      <c r="BF332" t="s">
        <v>3</v>
      </c>
      <c r="BG332" t="s">
        <v>3</v>
      </c>
      <c r="BH332">
        <v>0</v>
      </c>
      <c r="BI332">
        <v>2</v>
      </c>
      <c r="BJ332" t="s">
        <v>330</v>
      </c>
      <c r="BM332">
        <v>333</v>
      </c>
      <c r="BN332">
        <v>0</v>
      </c>
      <c r="BO332" t="s">
        <v>327</v>
      </c>
      <c r="BP332">
        <v>1</v>
      </c>
      <c r="BQ332">
        <v>40</v>
      </c>
      <c r="BR332">
        <v>0</v>
      </c>
      <c r="BS332">
        <v>18.11</v>
      </c>
      <c r="BT332">
        <v>1</v>
      </c>
      <c r="BU332">
        <v>1</v>
      </c>
      <c r="BV332">
        <v>1</v>
      </c>
      <c r="BW332">
        <v>1</v>
      </c>
      <c r="BX332">
        <v>1</v>
      </c>
      <c r="BY332" t="s">
        <v>3</v>
      </c>
      <c r="BZ332">
        <v>95</v>
      </c>
      <c r="CA332">
        <v>46</v>
      </c>
      <c r="CF332">
        <v>0</v>
      </c>
      <c r="CG332">
        <v>0</v>
      </c>
      <c r="CM332">
        <v>0</v>
      </c>
      <c r="CN332" t="s">
        <v>3</v>
      </c>
      <c r="CO332">
        <v>0</v>
      </c>
      <c r="CP332">
        <f t="shared" si="239"/>
        <v>3171.52</v>
      </c>
      <c r="CQ332">
        <f t="shared" si="240"/>
        <v>1731.9120000000003</v>
      </c>
      <c r="CR332">
        <f t="shared" si="241"/>
        <v>137.69999999999999</v>
      </c>
      <c r="CS332">
        <f t="shared" si="242"/>
        <v>37.668799999999997</v>
      </c>
      <c r="CT332">
        <f t="shared" si="243"/>
        <v>9457.2231000000011</v>
      </c>
      <c r="CU332">
        <f t="shared" si="244"/>
        <v>0</v>
      </c>
      <c r="CV332">
        <f t="shared" si="245"/>
        <v>40.17</v>
      </c>
      <c r="CW332">
        <f t="shared" si="246"/>
        <v>0</v>
      </c>
      <c r="CX332">
        <f t="shared" si="247"/>
        <v>0</v>
      </c>
      <c r="CY332">
        <f t="shared" si="248"/>
        <v>2515.6189999999997</v>
      </c>
      <c r="CZ332">
        <f t="shared" si="249"/>
        <v>1218.0892000000001</v>
      </c>
      <c r="DC332" t="s">
        <v>3</v>
      </c>
      <c r="DD332" t="s">
        <v>3</v>
      </c>
      <c r="DE332" t="s">
        <v>3</v>
      </c>
      <c r="DF332" t="s">
        <v>3</v>
      </c>
      <c r="DG332" t="s">
        <v>3</v>
      </c>
      <c r="DH332" t="s">
        <v>3</v>
      </c>
      <c r="DI332" t="s">
        <v>3</v>
      </c>
      <c r="DJ332" t="s">
        <v>3</v>
      </c>
      <c r="DK332" t="s">
        <v>3</v>
      </c>
      <c r="DL332" t="s">
        <v>3</v>
      </c>
      <c r="DM332" t="s">
        <v>3</v>
      </c>
      <c r="DN332">
        <v>112</v>
      </c>
      <c r="DO332">
        <v>70</v>
      </c>
      <c r="DP332">
        <v>1.0469999999999999</v>
      </c>
      <c r="DQ332">
        <v>1</v>
      </c>
      <c r="DU332">
        <v>1013</v>
      </c>
      <c r="DV332" t="s">
        <v>329</v>
      </c>
      <c r="DW332" t="s">
        <v>329</v>
      </c>
      <c r="DX332">
        <v>1</v>
      </c>
      <c r="EE332">
        <v>42186380</v>
      </c>
      <c r="EF332">
        <v>40</v>
      </c>
      <c r="EG332" t="s">
        <v>39</v>
      </c>
      <c r="EH332">
        <v>0</v>
      </c>
      <c r="EI332" t="s">
        <v>3</v>
      </c>
      <c r="EJ332">
        <v>2</v>
      </c>
      <c r="EK332">
        <v>333</v>
      </c>
      <c r="EL332" t="s">
        <v>287</v>
      </c>
      <c r="EM332" t="s">
        <v>288</v>
      </c>
      <c r="EO332" t="s">
        <v>3</v>
      </c>
      <c r="EQ332">
        <v>131072</v>
      </c>
      <c r="ER332">
        <v>884.06</v>
      </c>
      <c r="ES332">
        <v>341.6</v>
      </c>
      <c r="ET332">
        <v>20.25</v>
      </c>
      <c r="EU332">
        <v>2.08</v>
      </c>
      <c r="EV332">
        <v>522.21</v>
      </c>
      <c r="EW332">
        <v>40.17</v>
      </c>
      <c r="EX332">
        <v>0</v>
      </c>
      <c r="EY332">
        <v>0</v>
      </c>
      <c r="FQ332">
        <v>0</v>
      </c>
      <c r="FR332">
        <f t="shared" si="250"/>
        <v>0</v>
      </c>
      <c r="FS332">
        <v>0</v>
      </c>
      <c r="FX332">
        <v>112</v>
      </c>
      <c r="FY332">
        <v>70</v>
      </c>
      <c r="GA332" t="s">
        <v>3</v>
      </c>
      <c r="GD332">
        <v>0</v>
      </c>
      <c r="GF332">
        <v>494072565</v>
      </c>
      <c r="GG332">
        <v>2</v>
      </c>
      <c r="GH332">
        <v>0</v>
      </c>
      <c r="GI332">
        <v>0</v>
      </c>
      <c r="GJ332">
        <v>0</v>
      </c>
      <c r="GK332">
        <f>ROUND(R332*(R12)/100,2)</f>
        <v>17.62</v>
      </c>
      <c r="GL332">
        <f t="shared" si="251"/>
        <v>0</v>
      </c>
      <c r="GM332">
        <f t="shared" si="252"/>
        <v>6922.85</v>
      </c>
      <c r="GN332">
        <f t="shared" si="253"/>
        <v>0</v>
      </c>
      <c r="GO332">
        <f t="shared" si="254"/>
        <v>6922.85</v>
      </c>
      <c r="GP332">
        <f t="shared" si="255"/>
        <v>0</v>
      </c>
      <c r="GR332">
        <v>0</v>
      </c>
      <c r="GS332">
        <v>0</v>
      </c>
      <c r="GT332">
        <v>0</v>
      </c>
      <c r="GU332" t="s">
        <v>3</v>
      </c>
      <c r="GV332">
        <f t="shared" si="256"/>
        <v>0</v>
      </c>
      <c r="GW332">
        <v>1</v>
      </c>
      <c r="GX332">
        <f t="shared" si="257"/>
        <v>0</v>
      </c>
      <c r="HA332">
        <v>0</v>
      </c>
      <c r="HB332">
        <v>0</v>
      </c>
      <c r="IK332">
        <v>0</v>
      </c>
    </row>
    <row r="333" spans="1:245" x14ac:dyDescent="0.2">
      <c r="A333">
        <v>17</v>
      </c>
      <c r="B333">
        <v>1</v>
      </c>
      <c r="C333">
        <f>ROW(SmtRes!A66)</f>
        <v>66</v>
      </c>
      <c r="D333">
        <f>ROW(EtalonRes!A68)</f>
        <v>68</v>
      </c>
      <c r="E333" t="s">
        <v>331</v>
      </c>
      <c r="F333" t="s">
        <v>332</v>
      </c>
      <c r="G333" t="s">
        <v>333</v>
      </c>
      <c r="H333" t="s">
        <v>334</v>
      </c>
      <c r="I333">
        <f>ROUND(10/100,9)</f>
        <v>0.1</v>
      </c>
      <c r="J333">
        <v>0</v>
      </c>
      <c r="O333">
        <f t="shared" si="220"/>
        <v>723.08</v>
      </c>
      <c r="P333">
        <f t="shared" si="221"/>
        <v>214.36</v>
      </c>
      <c r="Q333">
        <f t="shared" si="222"/>
        <v>95.63</v>
      </c>
      <c r="R333">
        <f t="shared" si="223"/>
        <v>22.26</v>
      </c>
      <c r="S333">
        <f t="shared" si="224"/>
        <v>413.09</v>
      </c>
      <c r="T333">
        <f t="shared" si="225"/>
        <v>0</v>
      </c>
      <c r="U333">
        <f t="shared" si="226"/>
        <v>1.85</v>
      </c>
      <c r="V333">
        <f t="shared" si="227"/>
        <v>0</v>
      </c>
      <c r="W333">
        <f t="shared" si="228"/>
        <v>0</v>
      </c>
      <c r="X333">
        <f t="shared" si="229"/>
        <v>392.44</v>
      </c>
      <c r="Y333">
        <f t="shared" si="230"/>
        <v>190.02</v>
      </c>
      <c r="AA333">
        <v>42446460</v>
      </c>
      <c r="AB333">
        <f t="shared" si="231"/>
        <v>796.23</v>
      </c>
      <c r="AC333">
        <f t="shared" si="258"/>
        <v>422.8</v>
      </c>
      <c r="AD333">
        <f t="shared" si="232"/>
        <v>145.33000000000001</v>
      </c>
      <c r="AE333">
        <f t="shared" si="233"/>
        <v>12.29</v>
      </c>
      <c r="AF333">
        <f t="shared" si="234"/>
        <v>228.1</v>
      </c>
      <c r="AG333">
        <f t="shared" si="235"/>
        <v>0</v>
      </c>
      <c r="AH333">
        <f t="shared" si="236"/>
        <v>18.5</v>
      </c>
      <c r="AI333">
        <f t="shared" si="237"/>
        <v>0</v>
      </c>
      <c r="AJ333">
        <f t="shared" si="238"/>
        <v>0</v>
      </c>
      <c r="AK333">
        <v>796.23</v>
      </c>
      <c r="AL333">
        <v>422.8</v>
      </c>
      <c r="AM333">
        <v>145.33000000000001</v>
      </c>
      <c r="AN333">
        <v>12.29</v>
      </c>
      <c r="AO333">
        <v>228.1</v>
      </c>
      <c r="AP333">
        <v>0</v>
      </c>
      <c r="AQ333">
        <v>18.5</v>
      </c>
      <c r="AR333">
        <v>0</v>
      </c>
      <c r="AS333">
        <v>0</v>
      </c>
      <c r="AT333">
        <v>95</v>
      </c>
      <c r="AU333">
        <v>46</v>
      </c>
      <c r="AV333">
        <v>1</v>
      </c>
      <c r="AW333">
        <v>1</v>
      </c>
      <c r="AZ333">
        <v>1</v>
      </c>
      <c r="BA333">
        <v>18.11</v>
      </c>
      <c r="BB333">
        <v>6.58</v>
      </c>
      <c r="BC333">
        <v>5.07</v>
      </c>
      <c r="BD333" t="s">
        <v>3</v>
      </c>
      <c r="BE333" t="s">
        <v>3</v>
      </c>
      <c r="BF333" t="s">
        <v>3</v>
      </c>
      <c r="BG333" t="s">
        <v>3</v>
      </c>
      <c r="BH333">
        <v>0</v>
      </c>
      <c r="BI333">
        <v>2</v>
      </c>
      <c r="BJ333" t="s">
        <v>335</v>
      </c>
      <c r="BM333">
        <v>332</v>
      </c>
      <c r="BN333">
        <v>0</v>
      </c>
      <c r="BO333" t="s">
        <v>332</v>
      </c>
      <c r="BP333">
        <v>1</v>
      </c>
      <c r="BQ333">
        <v>40</v>
      </c>
      <c r="BR333">
        <v>0</v>
      </c>
      <c r="BS333">
        <v>18.11</v>
      </c>
      <c r="BT333">
        <v>1</v>
      </c>
      <c r="BU333">
        <v>1</v>
      </c>
      <c r="BV333">
        <v>1</v>
      </c>
      <c r="BW333">
        <v>1</v>
      </c>
      <c r="BX333">
        <v>1</v>
      </c>
      <c r="BY333" t="s">
        <v>3</v>
      </c>
      <c r="BZ333">
        <v>95</v>
      </c>
      <c r="CA333">
        <v>46</v>
      </c>
      <c r="CF333">
        <v>0</v>
      </c>
      <c r="CG333">
        <v>0</v>
      </c>
      <c r="CM333">
        <v>0</v>
      </c>
      <c r="CN333" t="s">
        <v>3</v>
      </c>
      <c r="CO333">
        <v>0</v>
      </c>
      <c r="CP333">
        <f t="shared" si="239"/>
        <v>723.07999999999993</v>
      </c>
      <c r="CQ333">
        <f t="shared" si="240"/>
        <v>2143.596</v>
      </c>
      <c r="CR333">
        <f t="shared" si="241"/>
        <v>956.27140000000009</v>
      </c>
      <c r="CS333">
        <f t="shared" si="242"/>
        <v>222.57189999999997</v>
      </c>
      <c r="CT333">
        <f t="shared" si="243"/>
        <v>4130.8909999999996</v>
      </c>
      <c r="CU333">
        <f t="shared" si="244"/>
        <v>0</v>
      </c>
      <c r="CV333">
        <f t="shared" si="245"/>
        <v>18.5</v>
      </c>
      <c r="CW333">
        <f t="shared" si="246"/>
        <v>0</v>
      </c>
      <c r="CX333">
        <f t="shared" si="247"/>
        <v>0</v>
      </c>
      <c r="CY333">
        <f t="shared" si="248"/>
        <v>392.43549999999993</v>
      </c>
      <c r="CZ333">
        <f t="shared" si="249"/>
        <v>190.0214</v>
      </c>
      <c r="DC333" t="s">
        <v>3</v>
      </c>
      <c r="DD333" t="s">
        <v>3</v>
      </c>
      <c r="DE333" t="s">
        <v>3</v>
      </c>
      <c r="DF333" t="s">
        <v>3</v>
      </c>
      <c r="DG333" t="s">
        <v>3</v>
      </c>
      <c r="DH333" t="s">
        <v>3</v>
      </c>
      <c r="DI333" t="s">
        <v>3</v>
      </c>
      <c r="DJ333" t="s">
        <v>3</v>
      </c>
      <c r="DK333" t="s">
        <v>3</v>
      </c>
      <c r="DL333" t="s">
        <v>3</v>
      </c>
      <c r="DM333" t="s">
        <v>3</v>
      </c>
      <c r="DN333">
        <v>112</v>
      </c>
      <c r="DO333">
        <v>70</v>
      </c>
      <c r="DP333">
        <v>1.0669999999999999</v>
      </c>
      <c r="DQ333">
        <v>1.081</v>
      </c>
      <c r="DU333">
        <v>1003</v>
      </c>
      <c r="DV333" t="s">
        <v>334</v>
      </c>
      <c r="DW333" t="s">
        <v>334</v>
      </c>
      <c r="DX333">
        <v>100</v>
      </c>
      <c r="EE333">
        <v>42186379</v>
      </c>
      <c r="EF333">
        <v>40</v>
      </c>
      <c r="EG333" t="s">
        <v>39</v>
      </c>
      <c r="EH333">
        <v>0</v>
      </c>
      <c r="EI333" t="s">
        <v>3</v>
      </c>
      <c r="EJ333">
        <v>2</v>
      </c>
      <c r="EK333">
        <v>332</v>
      </c>
      <c r="EL333" t="s">
        <v>336</v>
      </c>
      <c r="EM333" t="s">
        <v>337</v>
      </c>
      <c r="EO333" t="s">
        <v>3</v>
      </c>
      <c r="EQ333">
        <v>131072</v>
      </c>
      <c r="ER333">
        <v>796.23</v>
      </c>
      <c r="ES333">
        <v>422.8</v>
      </c>
      <c r="ET333">
        <v>145.33000000000001</v>
      </c>
      <c r="EU333">
        <v>12.29</v>
      </c>
      <c r="EV333">
        <v>228.1</v>
      </c>
      <c r="EW333">
        <v>18.5</v>
      </c>
      <c r="EX333">
        <v>0</v>
      </c>
      <c r="EY333">
        <v>0</v>
      </c>
      <c r="FQ333">
        <v>0</v>
      </c>
      <c r="FR333">
        <f t="shared" si="250"/>
        <v>0</v>
      </c>
      <c r="FS333">
        <v>0</v>
      </c>
      <c r="FX333">
        <v>112</v>
      </c>
      <c r="FY333">
        <v>70</v>
      </c>
      <c r="GA333" t="s">
        <v>3</v>
      </c>
      <c r="GD333">
        <v>0</v>
      </c>
      <c r="GF333">
        <v>-1665287365</v>
      </c>
      <c r="GG333">
        <v>2</v>
      </c>
      <c r="GH333">
        <v>0</v>
      </c>
      <c r="GI333">
        <v>0</v>
      </c>
      <c r="GJ333">
        <v>0</v>
      </c>
      <c r="GK333">
        <f>ROUND(R333*(R12)/100,2)</f>
        <v>37.17</v>
      </c>
      <c r="GL333">
        <f t="shared" si="251"/>
        <v>0</v>
      </c>
      <c r="GM333">
        <f t="shared" si="252"/>
        <v>1342.71</v>
      </c>
      <c r="GN333">
        <f t="shared" si="253"/>
        <v>0</v>
      </c>
      <c r="GO333">
        <f t="shared" si="254"/>
        <v>1342.71</v>
      </c>
      <c r="GP333">
        <f t="shared" si="255"/>
        <v>0</v>
      </c>
      <c r="GR333">
        <v>0</v>
      </c>
      <c r="GS333">
        <v>0</v>
      </c>
      <c r="GT333">
        <v>0</v>
      </c>
      <c r="GU333" t="s">
        <v>3</v>
      </c>
      <c r="GV333">
        <f t="shared" si="256"/>
        <v>0</v>
      </c>
      <c r="GW333">
        <v>1</v>
      </c>
      <c r="GX333">
        <f t="shared" si="257"/>
        <v>0</v>
      </c>
      <c r="HA333">
        <v>0</v>
      </c>
      <c r="HB333">
        <v>0</v>
      </c>
      <c r="IK333">
        <v>0</v>
      </c>
    </row>
    <row r="334" spans="1:245" x14ac:dyDescent="0.2">
      <c r="A334">
        <v>18</v>
      </c>
      <c r="B334">
        <v>1</v>
      </c>
      <c r="C334">
        <v>66</v>
      </c>
      <c r="E334" t="s">
        <v>338</v>
      </c>
      <c r="F334" t="s">
        <v>339</v>
      </c>
      <c r="G334" t="s">
        <v>340</v>
      </c>
      <c r="H334" t="s">
        <v>280</v>
      </c>
      <c r="I334">
        <f>I333*J334</f>
        <v>1.617E-2</v>
      </c>
      <c r="J334">
        <v>0.16169999999999998</v>
      </c>
      <c r="O334">
        <f t="shared" si="220"/>
        <v>578.35</v>
      </c>
      <c r="P334">
        <f t="shared" si="221"/>
        <v>578.35</v>
      </c>
      <c r="Q334">
        <f t="shared" si="222"/>
        <v>0</v>
      </c>
      <c r="R334">
        <f t="shared" si="223"/>
        <v>0</v>
      </c>
      <c r="S334">
        <f t="shared" si="224"/>
        <v>0</v>
      </c>
      <c r="T334">
        <f t="shared" si="225"/>
        <v>0</v>
      </c>
      <c r="U334">
        <f t="shared" si="226"/>
        <v>0</v>
      </c>
      <c r="V334">
        <f t="shared" si="227"/>
        <v>0</v>
      </c>
      <c r="W334">
        <f t="shared" si="228"/>
        <v>0</v>
      </c>
      <c r="X334">
        <f t="shared" si="229"/>
        <v>0</v>
      </c>
      <c r="Y334">
        <f t="shared" si="230"/>
        <v>0</v>
      </c>
      <c r="AA334">
        <v>42446460</v>
      </c>
      <c r="AB334">
        <f t="shared" si="231"/>
        <v>7254.88</v>
      </c>
      <c r="AC334">
        <f t="shared" si="258"/>
        <v>7254.88</v>
      </c>
      <c r="AD334">
        <f t="shared" si="232"/>
        <v>0</v>
      </c>
      <c r="AE334">
        <f t="shared" si="233"/>
        <v>0</v>
      </c>
      <c r="AF334">
        <f t="shared" si="234"/>
        <v>0</v>
      </c>
      <c r="AG334">
        <f t="shared" si="235"/>
        <v>0</v>
      </c>
      <c r="AH334">
        <f t="shared" si="236"/>
        <v>0</v>
      </c>
      <c r="AI334">
        <f t="shared" si="237"/>
        <v>0</v>
      </c>
      <c r="AJ334">
        <f t="shared" si="238"/>
        <v>0</v>
      </c>
      <c r="AK334">
        <v>7254.88</v>
      </c>
      <c r="AL334">
        <v>7254.88</v>
      </c>
      <c r="AM334">
        <v>0</v>
      </c>
      <c r="AN334">
        <v>0</v>
      </c>
      <c r="AO334">
        <v>0</v>
      </c>
      <c r="AP334">
        <v>0</v>
      </c>
      <c r="AQ334">
        <v>0</v>
      </c>
      <c r="AR334">
        <v>0</v>
      </c>
      <c r="AS334">
        <v>0</v>
      </c>
      <c r="AT334">
        <v>0</v>
      </c>
      <c r="AU334">
        <v>0</v>
      </c>
      <c r="AV334">
        <v>1</v>
      </c>
      <c r="AW334">
        <v>1</v>
      </c>
      <c r="AZ334">
        <v>1</v>
      </c>
      <c r="BA334">
        <v>1</v>
      </c>
      <c r="BB334">
        <v>1</v>
      </c>
      <c r="BC334">
        <v>4.93</v>
      </c>
      <c r="BD334" t="s">
        <v>3</v>
      </c>
      <c r="BE334" t="s">
        <v>3</v>
      </c>
      <c r="BF334" t="s">
        <v>3</v>
      </c>
      <c r="BG334" t="s">
        <v>3</v>
      </c>
      <c r="BH334">
        <v>3</v>
      </c>
      <c r="BI334">
        <v>2</v>
      </c>
      <c r="BJ334" t="s">
        <v>341</v>
      </c>
      <c r="BM334">
        <v>332</v>
      </c>
      <c r="BN334">
        <v>0</v>
      </c>
      <c r="BO334" t="s">
        <v>339</v>
      </c>
      <c r="BP334">
        <v>1</v>
      </c>
      <c r="BQ334">
        <v>40</v>
      </c>
      <c r="BR334">
        <v>0</v>
      </c>
      <c r="BS334">
        <v>1</v>
      </c>
      <c r="BT334">
        <v>1</v>
      </c>
      <c r="BU334">
        <v>1</v>
      </c>
      <c r="BV334">
        <v>1</v>
      </c>
      <c r="BW334">
        <v>1</v>
      </c>
      <c r="BX334">
        <v>1</v>
      </c>
      <c r="BY334" t="s">
        <v>3</v>
      </c>
      <c r="BZ334">
        <v>0</v>
      </c>
      <c r="CA334">
        <v>0</v>
      </c>
      <c r="CF334">
        <v>0</v>
      </c>
      <c r="CG334">
        <v>0</v>
      </c>
      <c r="CM334">
        <v>0</v>
      </c>
      <c r="CN334" t="s">
        <v>3</v>
      </c>
      <c r="CO334">
        <v>0</v>
      </c>
      <c r="CP334">
        <f t="shared" si="239"/>
        <v>578.35</v>
      </c>
      <c r="CQ334">
        <f t="shared" si="240"/>
        <v>35766.558400000002</v>
      </c>
      <c r="CR334">
        <f t="shared" si="241"/>
        <v>0</v>
      </c>
      <c r="CS334">
        <f t="shared" si="242"/>
        <v>0</v>
      </c>
      <c r="CT334">
        <f t="shared" si="243"/>
        <v>0</v>
      </c>
      <c r="CU334">
        <f t="shared" si="244"/>
        <v>0</v>
      </c>
      <c r="CV334">
        <f t="shared" si="245"/>
        <v>0</v>
      </c>
      <c r="CW334">
        <f t="shared" si="246"/>
        <v>0</v>
      </c>
      <c r="CX334">
        <f t="shared" si="247"/>
        <v>0</v>
      </c>
      <c r="CY334">
        <f t="shared" si="248"/>
        <v>0</v>
      </c>
      <c r="CZ334">
        <f t="shared" si="249"/>
        <v>0</v>
      </c>
      <c r="DC334" t="s">
        <v>3</v>
      </c>
      <c r="DD334" t="s">
        <v>3</v>
      </c>
      <c r="DE334" t="s">
        <v>3</v>
      </c>
      <c r="DF334" t="s">
        <v>3</v>
      </c>
      <c r="DG334" t="s">
        <v>3</v>
      </c>
      <c r="DH334" t="s">
        <v>3</v>
      </c>
      <c r="DI334" t="s">
        <v>3</v>
      </c>
      <c r="DJ334" t="s">
        <v>3</v>
      </c>
      <c r="DK334" t="s">
        <v>3</v>
      </c>
      <c r="DL334" t="s">
        <v>3</v>
      </c>
      <c r="DM334" t="s">
        <v>3</v>
      </c>
      <c r="DN334">
        <v>112</v>
      </c>
      <c r="DO334">
        <v>70</v>
      </c>
      <c r="DP334">
        <v>1.0669999999999999</v>
      </c>
      <c r="DQ334">
        <v>1.081</v>
      </c>
      <c r="DU334">
        <v>1009</v>
      </c>
      <c r="DV334" t="s">
        <v>280</v>
      </c>
      <c r="DW334" t="s">
        <v>280</v>
      </c>
      <c r="DX334">
        <v>1000</v>
      </c>
      <c r="EE334">
        <v>42186379</v>
      </c>
      <c r="EF334">
        <v>40</v>
      </c>
      <c r="EG334" t="s">
        <v>39</v>
      </c>
      <c r="EH334">
        <v>0</v>
      </c>
      <c r="EI334" t="s">
        <v>3</v>
      </c>
      <c r="EJ334">
        <v>2</v>
      </c>
      <c r="EK334">
        <v>332</v>
      </c>
      <c r="EL334" t="s">
        <v>336</v>
      </c>
      <c r="EM334" t="s">
        <v>337</v>
      </c>
      <c r="EO334" t="s">
        <v>3</v>
      </c>
      <c r="EQ334">
        <v>0</v>
      </c>
      <c r="ER334">
        <v>7254.88</v>
      </c>
      <c r="ES334">
        <v>7254.88</v>
      </c>
      <c r="ET334">
        <v>0</v>
      </c>
      <c r="EU334">
        <v>0</v>
      </c>
      <c r="EV334">
        <v>0</v>
      </c>
      <c r="EW334">
        <v>0</v>
      </c>
      <c r="EX334">
        <v>0</v>
      </c>
      <c r="FQ334">
        <v>0</v>
      </c>
      <c r="FR334">
        <f t="shared" si="250"/>
        <v>0</v>
      </c>
      <c r="FS334">
        <v>0</v>
      </c>
      <c r="FX334">
        <v>112</v>
      </c>
      <c r="FY334">
        <v>70</v>
      </c>
      <c r="GA334" t="s">
        <v>3</v>
      </c>
      <c r="GD334">
        <v>0</v>
      </c>
      <c r="GF334">
        <v>783842418</v>
      </c>
      <c r="GG334">
        <v>2</v>
      </c>
      <c r="GH334">
        <v>0</v>
      </c>
      <c r="GI334">
        <v>0</v>
      </c>
      <c r="GJ334">
        <v>0</v>
      </c>
      <c r="GK334">
        <f>ROUND(R334*(R12)/100,2)</f>
        <v>0</v>
      </c>
      <c r="GL334">
        <f t="shared" si="251"/>
        <v>0</v>
      </c>
      <c r="GM334">
        <f t="shared" si="252"/>
        <v>578.35</v>
      </c>
      <c r="GN334">
        <f t="shared" si="253"/>
        <v>0</v>
      </c>
      <c r="GO334">
        <f t="shared" si="254"/>
        <v>578.35</v>
      </c>
      <c r="GP334">
        <f t="shared" si="255"/>
        <v>0</v>
      </c>
      <c r="GR334">
        <v>0</v>
      </c>
      <c r="GS334">
        <v>0</v>
      </c>
      <c r="GT334">
        <v>0</v>
      </c>
      <c r="GU334" t="s">
        <v>3</v>
      </c>
      <c r="GV334">
        <f t="shared" si="256"/>
        <v>0</v>
      </c>
      <c r="GW334">
        <v>1</v>
      </c>
      <c r="GX334">
        <f t="shared" si="257"/>
        <v>0</v>
      </c>
      <c r="HA334">
        <v>0</v>
      </c>
      <c r="HB334">
        <v>0</v>
      </c>
      <c r="IK334">
        <v>0</v>
      </c>
    </row>
    <row r="335" spans="1:245" x14ac:dyDescent="0.2">
      <c r="A335">
        <v>17</v>
      </c>
      <c r="B335">
        <v>1</v>
      </c>
      <c r="C335">
        <f>ROW(SmtRes!A68)</f>
        <v>68</v>
      </c>
      <c r="D335">
        <f>ROW(EtalonRes!A69)</f>
        <v>69</v>
      </c>
      <c r="E335" t="s">
        <v>342</v>
      </c>
      <c r="F335" t="s">
        <v>343</v>
      </c>
      <c r="G335" t="s">
        <v>344</v>
      </c>
      <c r="H335" t="s">
        <v>345</v>
      </c>
      <c r="I335">
        <f>ROUND(3/10,9)</f>
        <v>0.3</v>
      </c>
      <c r="J335">
        <v>0</v>
      </c>
      <c r="O335">
        <f t="shared" si="220"/>
        <v>1016.23</v>
      </c>
      <c r="P335">
        <f t="shared" si="221"/>
        <v>235.3</v>
      </c>
      <c r="Q335">
        <f t="shared" si="222"/>
        <v>159.94</v>
      </c>
      <c r="R335">
        <f t="shared" si="223"/>
        <v>40.15</v>
      </c>
      <c r="S335">
        <f t="shared" si="224"/>
        <v>620.99</v>
      </c>
      <c r="T335">
        <f t="shared" si="225"/>
        <v>0</v>
      </c>
      <c r="U335">
        <f t="shared" si="226"/>
        <v>2.7809999999999997</v>
      </c>
      <c r="V335">
        <f t="shared" si="227"/>
        <v>0</v>
      </c>
      <c r="W335">
        <f t="shared" si="228"/>
        <v>0</v>
      </c>
      <c r="X335">
        <f t="shared" si="229"/>
        <v>589.94000000000005</v>
      </c>
      <c r="Y335">
        <f t="shared" si="230"/>
        <v>285.66000000000003</v>
      </c>
      <c r="AA335">
        <v>42446460</v>
      </c>
      <c r="AB335">
        <f t="shared" si="231"/>
        <v>348.93</v>
      </c>
      <c r="AC335">
        <f t="shared" si="258"/>
        <v>154.69999999999999</v>
      </c>
      <c r="AD335">
        <f t="shared" si="232"/>
        <v>79.930000000000007</v>
      </c>
      <c r="AE335">
        <f t="shared" si="233"/>
        <v>7.39</v>
      </c>
      <c r="AF335">
        <f t="shared" si="234"/>
        <v>114.3</v>
      </c>
      <c r="AG335">
        <f t="shared" si="235"/>
        <v>0</v>
      </c>
      <c r="AH335">
        <f t="shared" si="236"/>
        <v>9.27</v>
      </c>
      <c r="AI335">
        <f t="shared" si="237"/>
        <v>0</v>
      </c>
      <c r="AJ335">
        <f t="shared" si="238"/>
        <v>0</v>
      </c>
      <c r="AK335">
        <v>348.93</v>
      </c>
      <c r="AL335">
        <v>154.69999999999999</v>
      </c>
      <c r="AM335">
        <v>79.930000000000007</v>
      </c>
      <c r="AN335">
        <v>7.39</v>
      </c>
      <c r="AO335">
        <v>114.3</v>
      </c>
      <c r="AP335">
        <v>0</v>
      </c>
      <c r="AQ335">
        <v>9.27</v>
      </c>
      <c r="AR335">
        <v>0</v>
      </c>
      <c r="AS335">
        <v>0</v>
      </c>
      <c r="AT335">
        <v>95</v>
      </c>
      <c r="AU335">
        <v>46</v>
      </c>
      <c r="AV335">
        <v>1</v>
      </c>
      <c r="AW335">
        <v>1</v>
      </c>
      <c r="AZ335">
        <v>1</v>
      </c>
      <c r="BA335">
        <v>18.11</v>
      </c>
      <c r="BB335">
        <v>6.67</v>
      </c>
      <c r="BC335">
        <v>5.07</v>
      </c>
      <c r="BD335" t="s">
        <v>3</v>
      </c>
      <c r="BE335" t="s">
        <v>3</v>
      </c>
      <c r="BF335" t="s">
        <v>3</v>
      </c>
      <c r="BG335" t="s">
        <v>3</v>
      </c>
      <c r="BH335">
        <v>0</v>
      </c>
      <c r="BI335">
        <v>2</v>
      </c>
      <c r="BJ335" t="s">
        <v>346</v>
      </c>
      <c r="BM335">
        <v>332</v>
      </c>
      <c r="BN335">
        <v>0</v>
      </c>
      <c r="BO335" t="s">
        <v>343</v>
      </c>
      <c r="BP335">
        <v>1</v>
      </c>
      <c r="BQ335">
        <v>40</v>
      </c>
      <c r="BR335">
        <v>0</v>
      </c>
      <c r="BS335">
        <v>18.11</v>
      </c>
      <c r="BT335">
        <v>1</v>
      </c>
      <c r="BU335">
        <v>1</v>
      </c>
      <c r="BV335">
        <v>1</v>
      </c>
      <c r="BW335">
        <v>1</v>
      </c>
      <c r="BX335">
        <v>1</v>
      </c>
      <c r="BY335" t="s">
        <v>3</v>
      </c>
      <c r="BZ335">
        <v>95</v>
      </c>
      <c r="CA335">
        <v>46</v>
      </c>
      <c r="CF335">
        <v>0</v>
      </c>
      <c r="CG335">
        <v>0</v>
      </c>
      <c r="CM335">
        <v>0</v>
      </c>
      <c r="CN335" t="s">
        <v>3</v>
      </c>
      <c r="CO335">
        <v>0</v>
      </c>
      <c r="CP335">
        <f t="shared" si="239"/>
        <v>1016.23</v>
      </c>
      <c r="CQ335">
        <f t="shared" si="240"/>
        <v>784.32899999999995</v>
      </c>
      <c r="CR335">
        <f t="shared" si="241"/>
        <v>533.13310000000001</v>
      </c>
      <c r="CS335">
        <f t="shared" si="242"/>
        <v>133.8329</v>
      </c>
      <c r="CT335">
        <f t="shared" si="243"/>
        <v>2069.973</v>
      </c>
      <c r="CU335">
        <f t="shared" si="244"/>
        <v>0</v>
      </c>
      <c r="CV335">
        <f t="shared" si="245"/>
        <v>9.27</v>
      </c>
      <c r="CW335">
        <f t="shared" si="246"/>
        <v>0</v>
      </c>
      <c r="CX335">
        <f t="shared" si="247"/>
        <v>0</v>
      </c>
      <c r="CY335">
        <f t="shared" si="248"/>
        <v>589.94049999999993</v>
      </c>
      <c r="CZ335">
        <f t="shared" si="249"/>
        <v>285.65540000000004</v>
      </c>
      <c r="DC335" t="s">
        <v>3</v>
      </c>
      <c r="DD335" t="s">
        <v>3</v>
      </c>
      <c r="DE335" t="s">
        <v>3</v>
      </c>
      <c r="DF335" t="s">
        <v>3</v>
      </c>
      <c r="DG335" t="s">
        <v>3</v>
      </c>
      <c r="DH335" t="s">
        <v>3</v>
      </c>
      <c r="DI335" t="s">
        <v>3</v>
      </c>
      <c r="DJ335" t="s">
        <v>3</v>
      </c>
      <c r="DK335" t="s">
        <v>3</v>
      </c>
      <c r="DL335" t="s">
        <v>3</v>
      </c>
      <c r="DM335" t="s">
        <v>3</v>
      </c>
      <c r="DN335">
        <v>112</v>
      </c>
      <c r="DO335">
        <v>70</v>
      </c>
      <c r="DP335">
        <v>1.0669999999999999</v>
      </c>
      <c r="DQ335">
        <v>1.081</v>
      </c>
      <c r="DU335">
        <v>1010</v>
      </c>
      <c r="DV335" t="s">
        <v>345</v>
      </c>
      <c r="DW335" t="s">
        <v>345</v>
      </c>
      <c r="DX335">
        <v>10</v>
      </c>
      <c r="EE335">
        <v>42186379</v>
      </c>
      <c r="EF335">
        <v>40</v>
      </c>
      <c r="EG335" t="s">
        <v>39</v>
      </c>
      <c r="EH335">
        <v>0</v>
      </c>
      <c r="EI335" t="s">
        <v>3</v>
      </c>
      <c r="EJ335">
        <v>2</v>
      </c>
      <c r="EK335">
        <v>332</v>
      </c>
      <c r="EL335" t="s">
        <v>336</v>
      </c>
      <c r="EM335" t="s">
        <v>337</v>
      </c>
      <c r="EO335" t="s">
        <v>3</v>
      </c>
      <c r="EQ335">
        <v>131072</v>
      </c>
      <c r="ER335">
        <v>348.93</v>
      </c>
      <c r="ES335">
        <v>154.69999999999999</v>
      </c>
      <c r="ET335">
        <v>79.930000000000007</v>
      </c>
      <c r="EU335">
        <v>7.39</v>
      </c>
      <c r="EV335">
        <v>114.3</v>
      </c>
      <c r="EW335">
        <v>9.27</v>
      </c>
      <c r="EX335">
        <v>0</v>
      </c>
      <c r="EY335">
        <v>0</v>
      </c>
      <c r="FQ335">
        <v>0</v>
      </c>
      <c r="FR335">
        <f t="shared" si="250"/>
        <v>0</v>
      </c>
      <c r="FS335">
        <v>0</v>
      </c>
      <c r="FX335">
        <v>112</v>
      </c>
      <c r="FY335">
        <v>70</v>
      </c>
      <c r="GA335" t="s">
        <v>3</v>
      </c>
      <c r="GD335">
        <v>0</v>
      </c>
      <c r="GF335">
        <v>-372859685</v>
      </c>
      <c r="GG335">
        <v>2</v>
      </c>
      <c r="GH335">
        <v>0</v>
      </c>
      <c r="GI335">
        <v>0</v>
      </c>
      <c r="GJ335">
        <v>0</v>
      </c>
      <c r="GK335">
        <f>ROUND(R335*(R12)/100,2)</f>
        <v>67.05</v>
      </c>
      <c r="GL335">
        <f t="shared" si="251"/>
        <v>0</v>
      </c>
      <c r="GM335">
        <f t="shared" si="252"/>
        <v>1958.88</v>
      </c>
      <c r="GN335">
        <f t="shared" si="253"/>
        <v>0</v>
      </c>
      <c r="GO335">
        <f t="shared" si="254"/>
        <v>1958.88</v>
      </c>
      <c r="GP335">
        <f t="shared" si="255"/>
        <v>0</v>
      </c>
      <c r="GR335">
        <v>0</v>
      </c>
      <c r="GS335">
        <v>0</v>
      </c>
      <c r="GT335">
        <v>0</v>
      </c>
      <c r="GU335" t="s">
        <v>3</v>
      </c>
      <c r="GV335">
        <f t="shared" si="256"/>
        <v>0</v>
      </c>
      <c r="GW335">
        <v>1</v>
      </c>
      <c r="GX335">
        <f t="shared" si="257"/>
        <v>0</v>
      </c>
      <c r="HA335">
        <v>0</v>
      </c>
      <c r="HB335">
        <v>0</v>
      </c>
      <c r="IK335">
        <v>0</v>
      </c>
    </row>
    <row r="336" spans="1:245" x14ac:dyDescent="0.2">
      <c r="A336">
        <v>18</v>
      </c>
      <c r="B336">
        <v>1</v>
      </c>
      <c r="C336">
        <v>68</v>
      </c>
      <c r="E336" t="s">
        <v>347</v>
      </c>
      <c r="F336" t="s">
        <v>323</v>
      </c>
      <c r="G336" t="s">
        <v>348</v>
      </c>
      <c r="H336" t="s">
        <v>280</v>
      </c>
      <c r="I336">
        <f>I335*J336</f>
        <v>3.2899999999999999E-2</v>
      </c>
      <c r="J336">
        <v>0.10966666666666666</v>
      </c>
      <c r="O336">
        <f t="shared" si="220"/>
        <v>1128.3599999999999</v>
      </c>
      <c r="P336">
        <f t="shared" si="221"/>
        <v>1128.3599999999999</v>
      </c>
      <c r="Q336">
        <f t="shared" si="222"/>
        <v>0</v>
      </c>
      <c r="R336">
        <f t="shared" si="223"/>
        <v>0</v>
      </c>
      <c r="S336">
        <f t="shared" si="224"/>
        <v>0</v>
      </c>
      <c r="T336">
        <f t="shared" si="225"/>
        <v>0</v>
      </c>
      <c r="U336">
        <f t="shared" si="226"/>
        <v>0</v>
      </c>
      <c r="V336">
        <f t="shared" si="227"/>
        <v>0</v>
      </c>
      <c r="W336">
        <f t="shared" si="228"/>
        <v>0</v>
      </c>
      <c r="X336">
        <f t="shared" si="229"/>
        <v>0</v>
      </c>
      <c r="Y336">
        <f t="shared" si="230"/>
        <v>0</v>
      </c>
      <c r="AA336">
        <v>42446460</v>
      </c>
      <c r="AB336">
        <f t="shared" si="231"/>
        <v>8344.7099999999991</v>
      </c>
      <c r="AC336">
        <f t="shared" si="258"/>
        <v>8344.7099999999991</v>
      </c>
      <c r="AD336">
        <f t="shared" si="232"/>
        <v>0</v>
      </c>
      <c r="AE336">
        <f t="shared" si="233"/>
        <v>0</v>
      </c>
      <c r="AF336">
        <f t="shared" si="234"/>
        <v>0</v>
      </c>
      <c r="AG336">
        <f t="shared" si="235"/>
        <v>0</v>
      </c>
      <c r="AH336">
        <f t="shared" si="236"/>
        <v>0</v>
      </c>
      <c r="AI336">
        <f t="shared" si="237"/>
        <v>0</v>
      </c>
      <c r="AJ336">
        <f t="shared" si="238"/>
        <v>0</v>
      </c>
      <c r="AK336">
        <v>8344.7099999999991</v>
      </c>
      <c r="AL336">
        <v>8344.7099999999991</v>
      </c>
      <c r="AM336">
        <v>0</v>
      </c>
      <c r="AN336">
        <v>0</v>
      </c>
      <c r="AO336">
        <v>0</v>
      </c>
      <c r="AP336">
        <v>0</v>
      </c>
      <c r="AQ336">
        <v>0</v>
      </c>
      <c r="AR336">
        <v>0</v>
      </c>
      <c r="AS336">
        <v>0</v>
      </c>
      <c r="AT336">
        <v>0</v>
      </c>
      <c r="AU336">
        <v>0</v>
      </c>
      <c r="AV336">
        <v>1</v>
      </c>
      <c r="AW336">
        <v>1</v>
      </c>
      <c r="AZ336">
        <v>1</v>
      </c>
      <c r="BA336">
        <v>1</v>
      </c>
      <c r="BB336">
        <v>1</v>
      </c>
      <c r="BC336">
        <v>4.1100000000000003</v>
      </c>
      <c r="BD336" t="s">
        <v>3</v>
      </c>
      <c r="BE336" t="s">
        <v>3</v>
      </c>
      <c r="BF336" t="s">
        <v>3</v>
      </c>
      <c r="BG336" t="s">
        <v>3</v>
      </c>
      <c r="BH336">
        <v>3</v>
      </c>
      <c r="BI336">
        <v>2</v>
      </c>
      <c r="BJ336" t="s">
        <v>325</v>
      </c>
      <c r="BM336">
        <v>332</v>
      </c>
      <c r="BN336">
        <v>0</v>
      </c>
      <c r="BO336" t="s">
        <v>323</v>
      </c>
      <c r="BP336">
        <v>1</v>
      </c>
      <c r="BQ336">
        <v>40</v>
      </c>
      <c r="BR336">
        <v>0</v>
      </c>
      <c r="BS336">
        <v>1</v>
      </c>
      <c r="BT336">
        <v>1</v>
      </c>
      <c r="BU336">
        <v>1</v>
      </c>
      <c r="BV336">
        <v>1</v>
      </c>
      <c r="BW336">
        <v>1</v>
      </c>
      <c r="BX336">
        <v>1</v>
      </c>
      <c r="BY336" t="s">
        <v>3</v>
      </c>
      <c r="BZ336">
        <v>0</v>
      </c>
      <c r="CA336">
        <v>0</v>
      </c>
      <c r="CF336">
        <v>0</v>
      </c>
      <c r="CG336">
        <v>0</v>
      </c>
      <c r="CM336">
        <v>0</v>
      </c>
      <c r="CN336" t="s">
        <v>3</v>
      </c>
      <c r="CO336">
        <v>0</v>
      </c>
      <c r="CP336">
        <f t="shared" si="239"/>
        <v>1128.3599999999999</v>
      </c>
      <c r="CQ336">
        <f t="shared" si="240"/>
        <v>34296.758099999999</v>
      </c>
      <c r="CR336">
        <f t="shared" si="241"/>
        <v>0</v>
      </c>
      <c r="CS336">
        <f t="shared" si="242"/>
        <v>0</v>
      </c>
      <c r="CT336">
        <f t="shared" si="243"/>
        <v>0</v>
      </c>
      <c r="CU336">
        <f t="shared" si="244"/>
        <v>0</v>
      </c>
      <c r="CV336">
        <f t="shared" si="245"/>
        <v>0</v>
      </c>
      <c r="CW336">
        <f t="shared" si="246"/>
        <v>0</v>
      </c>
      <c r="CX336">
        <f t="shared" si="247"/>
        <v>0</v>
      </c>
      <c r="CY336">
        <f t="shared" si="248"/>
        <v>0</v>
      </c>
      <c r="CZ336">
        <f t="shared" si="249"/>
        <v>0</v>
      </c>
      <c r="DC336" t="s">
        <v>3</v>
      </c>
      <c r="DD336" t="s">
        <v>3</v>
      </c>
      <c r="DE336" t="s">
        <v>3</v>
      </c>
      <c r="DF336" t="s">
        <v>3</v>
      </c>
      <c r="DG336" t="s">
        <v>3</v>
      </c>
      <c r="DH336" t="s">
        <v>3</v>
      </c>
      <c r="DI336" t="s">
        <v>3</v>
      </c>
      <c r="DJ336" t="s">
        <v>3</v>
      </c>
      <c r="DK336" t="s">
        <v>3</v>
      </c>
      <c r="DL336" t="s">
        <v>3</v>
      </c>
      <c r="DM336" t="s">
        <v>3</v>
      </c>
      <c r="DN336">
        <v>112</v>
      </c>
      <c r="DO336">
        <v>70</v>
      </c>
      <c r="DP336">
        <v>1.0669999999999999</v>
      </c>
      <c r="DQ336">
        <v>1.081</v>
      </c>
      <c r="DU336">
        <v>1009</v>
      </c>
      <c r="DV336" t="s">
        <v>280</v>
      </c>
      <c r="DW336" t="s">
        <v>280</v>
      </c>
      <c r="DX336">
        <v>1000</v>
      </c>
      <c r="EE336">
        <v>42186379</v>
      </c>
      <c r="EF336">
        <v>40</v>
      </c>
      <c r="EG336" t="s">
        <v>39</v>
      </c>
      <c r="EH336">
        <v>0</v>
      </c>
      <c r="EI336" t="s">
        <v>3</v>
      </c>
      <c r="EJ336">
        <v>2</v>
      </c>
      <c r="EK336">
        <v>332</v>
      </c>
      <c r="EL336" t="s">
        <v>336</v>
      </c>
      <c r="EM336" t="s">
        <v>337</v>
      </c>
      <c r="EO336" t="s">
        <v>3</v>
      </c>
      <c r="EQ336">
        <v>0</v>
      </c>
      <c r="ER336">
        <v>8344.7099999999991</v>
      </c>
      <c r="ES336">
        <v>8344.7099999999991</v>
      </c>
      <c r="ET336">
        <v>0</v>
      </c>
      <c r="EU336">
        <v>0</v>
      </c>
      <c r="EV336">
        <v>0</v>
      </c>
      <c r="EW336">
        <v>0</v>
      </c>
      <c r="EX336">
        <v>0</v>
      </c>
      <c r="FQ336">
        <v>0</v>
      </c>
      <c r="FR336">
        <f t="shared" si="250"/>
        <v>0</v>
      </c>
      <c r="FS336">
        <v>0</v>
      </c>
      <c r="FX336">
        <v>112</v>
      </c>
      <c r="FY336">
        <v>70</v>
      </c>
      <c r="GA336" t="s">
        <v>3</v>
      </c>
      <c r="GD336">
        <v>0</v>
      </c>
      <c r="GF336">
        <v>-3861389</v>
      </c>
      <c r="GG336">
        <v>2</v>
      </c>
      <c r="GH336">
        <v>1</v>
      </c>
      <c r="GI336">
        <v>2</v>
      </c>
      <c r="GJ336">
        <v>0</v>
      </c>
      <c r="GK336">
        <f>ROUND(R336*(R12)/100,2)</f>
        <v>0</v>
      </c>
      <c r="GL336">
        <f t="shared" si="251"/>
        <v>0</v>
      </c>
      <c r="GM336">
        <f t="shared" si="252"/>
        <v>1128.3599999999999</v>
      </c>
      <c r="GN336">
        <f t="shared" si="253"/>
        <v>0</v>
      </c>
      <c r="GO336">
        <f t="shared" si="254"/>
        <v>1128.3599999999999</v>
      </c>
      <c r="GP336">
        <f t="shared" si="255"/>
        <v>0</v>
      </c>
      <c r="GR336">
        <v>0</v>
      </c>
      <c r="GS336">
        <v>3</v>
      </c>
      <c r="GT336">
        <v>0</v>
      </c>
      <c r="GU336" t="s">
        <v>3</v>
      </c>
      <c r="GV336">
        <f t="shared" si="256"/>
        <v>0</v>
      </c>
      <c r="GW336">
        <v>1</v>
      </c>
      <c r="GX336">
        <f t="shared" si="257"/>
        <v>0</v>
      </c>
      <c r="HA336">
        <v>0</v>
      </c>
      <c r="HB336">
        <v>0</v>
      </c>
      <c r="IK336">
        <v>0</v>
      </c>
    </row>
    <row r="337" spans="1:245" x14ac:dyDescent="0.2">
      <c r="A337">
        <v>17</v>
      </c>
      <c r="B337">
        <v>1</v>
      </c>
      <c r="E337" t="s">
        <v>349</v>
      </c>
      <c r="F337" t="s">
        <v>350</v>
      </c>
      <c r="G337" t="s">
        <v>351</v>
      </c>
      <c r="H337" t="s">
        <v>280</v>
      </c>
      <c r="I337">
        <v>0.01</v>
      </c>
      <c r="J337">
        <v>0</v>
      </c>
      <c r="O337">
        <f t="shared" si="220"/>
        <v>531.77</v>
      </c>
      <c r="P337">
        <f t="shared" si="221"/>
        <v>531.77</v>
      </c>
      <c r="Q337">
        <f t="shared" si="222"/>
        <v>0</v>
      </c>
      <c r="R337">
        <f t="shared" si="223"/>
        <v>0</v>
      </c>
      <c r="S337">
        <f t="shared" si="224"/>
        <v>0</v>
      </c>
      <c r="T337">
        <f t="shared" si="225"/>
        <v>0</v>
      </c>
      <c r="U337">
        <f t="shared" si="226"/>
        <v>0</v>
      </c>
      <c r="V337">
        <f t="shared" si="227"/>
        <v>0</v>
      </c>
      <c r="W337">
        <f t="shared" si="228"/>
        <v>0</v>
      </c>
      <c r="X337">
        <f t="shared" si="229"/>
        <v>0</v>
      </c>
      <c r="Y337">
        <f t="shared" si="230"/>
        <v>0</v>
      </c>
      <c r="AA337">
        <v>42446460</v>
      </c>
      <c r="AB337">
        <f t="shared" si="231"/>
        <v>11242.42</v>
      </c>
      <c r="AC337">
        <f t="shared" si="258"/>
        <v>11242.42</v>
      </c>
      <c r="AD337">
        <f t="shared" si="232"/>
        <v>0</v>
      </c>
      <c r="AE337">
        <f t="shared" si="233"/>
        <v>0</v>
      </c>
      <c r="AF337">
        <f t="shared" si="234"/>
        <v>0</v>
      </c>
      <c r="AG337">
        <f t="shared" si="235"/>
        <v>0</v>
      </c>
      <c r="AH337">
        <f t="shared" si="236"/>
        <v>0</v>
      </c>
      <c r="AI337">
        <f t="shared" si="237"/>
        <v>0</v>
      </c>
      <c r="AJ337">
        <f t="shared" si="238"/>
        <v>0</v>
      </c>
      <c r="AK337">
        <v>11242.42</v>
      </c>
      <c r="AL337">
        <v>11242.42</v>
      </c>
      <c r="AM337">
        <v>0</v>
      </c>
      <c r="AN337">
        <v>0</v>
      </c>
      <c r="AO337">
        <v>0</v>
      </c>
      <c r="AP337">
        <v>0</v>
      </c>
      <c r="AQ337">
        <v>0</v>
      </c>
      <c r="AR337">
        <v>0</v>
      </c>
      <c r="AS337">
        <v>0</v>
      </c>
      <c r="AT337">
        <v>0</v>
      </c>
      <c r="AU337">
        <v>0</v>
      </c>
      <c r="AV337">
        <v>1</v>
      </c>
      <c r="AW337">
        <v>1</v>
      </c>
      <c r="AZ337">
        <v>1</v>
      </c>
      <c r="BA337">
        <v>1</v>
      </c>
      <c r="BB337">
        <v>1</v>
      </c>
      <c r="BC337">
        <v>4.7300000000000004</v>
      </c>
      <c r="BD337" t="s">
        <v>3</v>
      </c>
      <c r="BE337" t="s">
        <v>3</v>
      </c>
      <c r="BF337" t="s">
        <v>3</v>
      </c>
      <c r="BG337" t="s">
        <v>3</v>
      </c>
      <c r="BH337">
        <v>3</v>
      </c>
      <c r="BI337">
        <v>2</v>
      </c>
      <c r="BJ337" t="s">
        <v>352</v>
      </c>
      <c r="BM337">
        <v>332</v>
      </c>
      <c r="BN337">
        <v>0</v>
      </c>
      <c r="BO337" t="s">
        <v>350</v>
      </c>
      <c r="BP337">
        <v>1</v>
      </c>
      <c r="BQ337">
        <v>40</v>
      </c>
      <c r="BR337">
        <v>0</v>
      </c>
      <c r="BS337">
        <v>1</v>
      </c>
      <c r="BT337">
        <v>1</v>
      </c>
      <c r="BU337">
        <v>1</v>
      </c>
      <c r="BV337">
        <v>1</v>
      </c>
      <c r="BW337">
        <v>1</v>
      </c>
      <c r="BX337">
        <v>1</v>
      </c>
      <c r="BY337" t="s">
        <v>3</v>
      </c>
      <c r="BZ337">
        <v>0</v>
      </c>
      <c r="CA337">
        <v>0</v>
      </c>
      <c r="CF337">
        <v>0</v>
      </c>
      <c r="CG337">
        <v>0</v>
      </c>
      <c r="CM337">
        <v>0</v>
      </c>
      <c r="CN337" t="s">
        <v>3</v>
      </c>
      <c r="CO337">
        <v>0</v>
      </c>
      <c r="CP337">
        <f t="shared" si="239"/>
        <v>531.77</v>
      </c>
      <c r="CQ337">
        <f t="shared" si="240"/>
        <v>53176.646600000007</v>
      </c>
      <c r="CR337">
        <f t="shared" si="241"/>
        <v>0</v>
      </c>
      <c r="CS337">
        <f t="shared" si="242"/>
        <v>0</v>
      </c>
      <c r="CT337">
        <f t="shared" si="243"/>
        <v>0</v>
      </c>
      <c r="CU337">
        <f t="shared" si="244"/>
        <v>0</v>
      </c>
      <c r="CV337">
        <f t="shared" si="245"/>
        <v>0</v>
      </c>
      <c r="CW337">
        <f t="shared" si="246"/>
        <v>0</v>
      </c>
      <c r="CX337">
        <f t="shared" si="247"/>
        <v>0</v>
      </c>
      <c r="CY337">
        <f t="shared" si="248"/>
        <v>0</v>
      </c>
      <c r="CZ337">
        <f t="shared" si="249"/>
        <v>0</v>
      </c>
      <c r="DC337" t="s">
        <v>3</v>
      </c>
      <c r="DD337" t="s">
        <v>3</v>
      </c>
      <c r="DE337" t="s">
        <v>3</v>
      </c>
      <c r="DF337" t="s">
        <v>3</v>
      </c>
      <c r="DG337" t="s">
        <v>3</v>
      </c>
      <c r="DH337" t="s">
        <v>3</v>
      </c>
      <c r="DI337" t="s">
        <v>3</v>
      </c>
      <c r="DJ337" t="s">
        <v>3</v>
      </c>
      <c r="DK337" t="s">
        <v>3</v>
      </c>
      <c r="DL337" t="s">
        <v>3</v>
      </c>
      <c r="DM337" t="s">
        <v>3</v>
      </c>
      <c r="DN337">
        <v>112</v>
      </c>
      <c r="DO337">
        <v>70</v>
      </c>
      <c r="DP337">
        <v>1.0669999999999999</v>
      </c>
      <c r="DQ337">
        <v>1.081</v>
      </c>
      <c r="DU337">
        <v>1009</v>
      </c>
      <c r="DV337" t="s">
        <v>280</v>
      </c>
      <c r="DW337" t="s">
        <v>280</v>
      </c>
      <c r="DX337">
        <v>1000</v>
      </c>
      <c r="EE337">
        <v>42186379</v>
      </c>
      <c r="EF337">
        <v>40</v>
      </c>
      <c r="EG337" t="s">
        <v>39</v>
      </c>
      <c r="EH337">
        <v>0</v>
      </c>
      <c r="EI337" t="s">
        <v>3</v>
      </c>
      <c r="EJ337">
        <v>2</v>
      </c>
      <c r="EK337">
        <v>332</v>
      </c>
      <c r="EL337" t="s">
        <v>336</v>
      </c>
      <c r="EM337" t="s">
        <v>337</v>
      </c>
      <c r="EO337" t="s">
        <v>3</v>
      </c>
      <c r="EQ337">
        <v>0</v>
      </c>
      <c r="ER337">
        <v>11242.42</v>
      </c>
      <c r="ES337">
        <v>11242.42</v>
      </c>
      <c r="ET337">
        <v>0</v>
      </c>
      <c r="EU337">
        <v>0</v>
      </c>
      <c r="EV337">
        <v>0</v>
      </c>
      <c r="EW337">
        <v>0</v>
      </c>
      <c r="EX337">
        <v>0</v>
      </c>
      <c r="EY337">
        <v>0</v>
      </c>
      <c r="FQ337">
        <v>0</v>
      </c>
      <c r="FR337">
        <f t="shared" si="250"/>
        <v>0</v>
      </c>
      <c r="FS337">
        <v>0</v>
      </c>
      <c r="FX337">
        <v>112</v>
      </c>
      <c r="FY337">
        <v>70</v>
      </c>
      <c r="GA337" t="s">
        <v>3</v>
      </c>
      <c r="GD337">
        <v>0</v>
      </c>
      <c r="GF337">
        <v>1192568630</v>
      </c>
      <c r="GG337">
        <v>2</v>
      </c>
      <c r="GH337">
        <v>0</v>
      </c>
      <c r="GI337">
        <v>0</v>
      </c>
      <c r="GJ337">
        <v>0</v>
      </c>
      <c r="GK337">
        <f>ROUND(R337*(R12)/100,2)</f>
        <v>0</v>
      </c>
      <c r="GL337">
        <f t="shared" si="251"/>
        <v>0</v>
      </c>
      <c r="GM337">
        <f t="shared" si="252"/>
        <v>531.77</v>
      </c>
      <c r="GN337">
        <f t="shared" si="253"/>
        <v>0</v>
      </c>
      <c r="GO337">
        <f t="shared" si="254"/>
        <v>531.77</v>
      </c>
      <c r="GP337">
        <f t="shared" si="255"/>
        <v>0</v>
      </c>
      <c r="GR337">
        <v>0</v>
      </c>
      <c r="GS337">
        <v>0</v>
      </c>
      <c r="GT337">
        <v>0</v>
      </c>
      <c r="GU337" t="s">
        <v>3</v>
      </c>
      <c r="GV337">
        <f t="shared" si="256"/>
        <v>0</v>
      </c>
      <c r="GW337">
        <v>1</v>
      </c>
      <c r="GX337">
        <f t="shared" si="257"/>
        <v>0</v>
      </c>
      <c r="HA337">
        <v>0</v>
      </c>
      <c r="HB337">
        <v>0</v>
      </c>
      <c r="IK337">
        <v>0</v>
      </c>
    </row>
    <row r="339" spans="1:245" x14ac:dyDescent="0.2">
      <c r="A339" s="2">
        <v>51</v>
      </c>
      <c r="B339" s="2">
        <f>B318</f>
        <v>1</v>
      </c>
      <c r="C339" s="2">
        <f>A318</f>
        <v>5</v>
      </c>
      <c r="D339" s="2">
        <f>ROW(A318)</f>
        <v>318</v>
      </c>
      <c r="E339" s="2"/>
      <c r="F339" s="2" t="str">
        <f>IF(F318&lt;&gt;"",F318,"")</f>
        <v>Новый подраздел</v>
      </c>
      <c r="G339" s="2" t="str">
        <f>IF(G318&lt;&gt;"",G318,"")</f>
        <v>2.10</v>
      </c>
      <c r="H339" s="2">
        <v>0</v>
      </c>
      <c r="I339" s="2"/>
      <c r="J339" s="2"/>
      <c r="K339" s="2"/>
      <c r="L339" s="2"/>
      <c r="M339" s="2"/>
      <c r="N339" s="2"/>
      <c r="O339" s="2">
        <f t="shared" ref="O339:T339" si="259">ROUND(AB339,2)</f>
        <v>1280043.1399999999</v>
      </c>
      <c r="P339" s="2">
        <f t="shared" si="259"/>
        <v>1246684.9099999999</v>
      </c>
      <c r="Q339" s="2">
        <f t="shared" si="259"/>
        <v>9107.83</v>
      </c>
      <c r="R339" s="2">
        <f t="shared" si="259"/>
        <v>2558.77</v>
      </c>
      <c r="S339" s="2">
        <f t="shared" si="259"/>
        <v>24250.400000000001</v>
      </c>
      <c r="T339" s="2">
        <f t="shared" si="259"/>
        <v>0</v>
      </c>
      <c r="U339" s="2">
        <f>AH339</f>
        <v>105.30323056</v>
      </c>
      <c r="V339" s="2">
        <f>AI339</f>
        <v>0</v>
      </c>
      <c r="W339" s="2">
        <f>ROUND(AJ339,2)</f>
        <v>0</v>
      </c>
      <c r="X339" s="2">
        <f>ROUND(AK339,2)</f>
        <v>22904.880000000001</v>
      </c>
      <c r="Y339" s="2">
        <f>ROUND(AL339,2)</f>
        <v>11262.44</v>
      </c>
      <c r="Z339" s="2"/>
      <c r="AA339" s="2"/>
      <c r="AB339" s="2">
        <f>ROUND(SUMIF(AA322:AA337,"=42446460",O322:O337),2)</f>
        <v>1280043.1399999999</v>
      </c>
      <c r="AC339" s="2">
        <f>ROUND(SUMIF(AA322:AA337,"=42446460",P322:P337),2)</f>
        <v>1246684.9099999999</v>
      </c>
      <c r="AD339" s="2">
        <f>ROUND(SUMIF(AA322:AA337,"=42446460",Q322:Q337),2)</f>
        <v>9107.83</v>
      </c>
      <c r="AE339" s="2">
        <f>ROUND(SUMIF(AA322:AA337,"=42446460",R322:R337),2)</f>
        <v>2558.77</v>
      </c>
      <c r="AF339" s="2">
        <f>ROUND(SUMIF(AA322:AA337,"=42446460",S322:S337),2)</f>
        <v>24250.400000000001</v>
      </c>
      <c r="AG339" s="2">
        <f>ROUND(SUMIF(AA322:AA337,"=42446460",T322:T337),2)</f>
        <v>0</v>
      </c>
      <c r="AH339" s="2">
        <f>SUMIF(AA322:AA337,"=42446460",U322:U337)</f>
        <v>105.30323056</v>
      </c>
      <c r="AI339" s="2">
        <f>SUMIF(AA322:AA337,"=42446460",V322:V337)</f>
        <v>0</v>
      </c>
      <c r="AJ339" s="2">
        <f>ROUND(SUMIF(AA322:AA337,"=42446460",W322:W337),2)</f>
        <v>0</v>
      </c>
      <c r="AK339" s="2">
        <f>ROUND(SUMIF(AA322:AA337,"=42446460",X322:X337),2)</f>
        <v>22904.880000000001</v>
      </c>
      <c r="AL339" s="2">
        <f>ROUND(SUMIF(AA322:AA337,"=42446460",Y322:Y337),2)</f>
        <v>11262.44</v>
      </c>
      <c r="AM339" s="2"/>
      <c r="AN339" s="2"/>
      <c r="AO339" s="2">
        <f t="shared" ref="AO339:BC339" si="260">ROUND(BX339,2)</f>
        <v>0</v>
      </c>
      <c r="AP339" s="2">
        <f t="shared" si="260"/>
        <v>1219962.54</v>
      </c>
      <c r="AQ339" s="2">
        <f t="shared" si="260"/>
        <v>0</v>
      </c>
      <c r="AR339" s="2">
        <f t="shared" si="260"/>
        <v>1318483.6000000001</v>
      </c>
      <c r="AS339" s="2">
        <f t="shared" si="260"/>
        <v>19411.91</v>
      </c>
      <c r="AT339" s="2">
        <f t="shared" si="260"/>
        <v>79109.149999999994</v>
      </c>
      <c r="AU339" s="2">
        <f t="shared" si="260"/>
        <v>0</v>
      </c>
      <c r="AV339" s="2">
        <f t="shared" si="260"/>
        <v>1246684.9099999999</v>
      </c>
      <c r="AW339" s="2">
        <f t="shared" si="260"/>
        <v>26722.37</v>
      </c>
      <c r="AX339" s="2">
        <f t="shared" si="260"/>
        <v>0</v>
      </c>
      <c r="AY339" s="2">
        <f t="shared" si="260"/>
        <v>26722.37</v>
      </c>
      <c r="AZ339" s="2">
        <f t="shared" si="260"/>
        <v>1219962.54</v>
      </c>
      <c r="BA339" s="2">
        <f t="shared" si="260"/>
        <v>0</v>
      </c>
      <c r="BB339" s="2">
        <f t="shared" si="260"/>
        <v>0</v>
      </c>
      <c r="BC339" s="2">
        <f t="shared" si="260"/>
        <v>0</v>
      </c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>
        <f>ROUND(SUMIF(AA322:AA337,"=42446460",FQ322:FQ337),2)</f>
        <v>0</v>
      </c>
      <c r="BY339" s="2">
        <f>ROUND(SUMIF(AA322:AA337,"=42446460",FR322:FR337),2)</f>
        <v>1219962.54</v>
      </c>
      <c r="BZ339" s="2">
        <f>ROUND(SUMIF(AA322:AA337,"=42446460",GL322:GL337),2)</f>
        <v>0</v>
      </c>
      <c r="CA339" s="2">
        <f>ROUND(SUMIF(AA322:AA337,"=42446460",GM322:GM337),2)</f>
        <v>1318483.6000000001</v>
      </c>
      <c r="CB339" s="2">
        <f>ROUND(SUMIF(AA322:AA337,"=42446460",GN322:GN337),2)</f>
        <v>19411.91</v>
      </c>
      <c r="CC339" s="2">
        <f>ROUND(SUMIF(AA322:AA337,"=42446460",GO322:GO337),2)</f>
        <v>79109.149999999994</v>
      </c>
      <c r="CD339" s="2">
        <f>ROUND(SUMIF(AA322:AA337,"=42446460",GP322:GP337),2)</f>
        <v>0</v>
      </c>
      <c r="CE339" s="2">
        <f>AC339-BX339</f>
        <v>1246684.9099999999</v>
      </c>
      <c r="CF339" s="2">
        <f>AC339-BY339</f>
        <v>26722.369999999879</v>
      </c>
      <c r="CG339" s="2">
        <f>BX339-BZ339</f>
        <v>0</v>
      </c>
      <c r="CH339" s="2">
        <f>AC339-BX339-BY339+BZ339</f>
        <v>26722.369999999879</v>
      </c>
      <c r="CI339" s="2">
        <f>BY339-BZ339</f>
        <v>1219962.54</v>
      </c>
      <c r="CJ339" s="2">
        <f>ROUND(SUMIF(AA322:AA337,"=42446460",GX322:GX337),2)</f>
        <v>0</v>
      </c>
      <c r="CK339" s="2">
        <f>ROUND(SUMIF(AA322:AA337,"=42446460",GY322:GY337),2)</f>
        <v>0</v>
      </c>
      <c r="CL339" s="2">
        <f>ROUND(SUMIF(AA322:AA337,"=42446460",GZ322:GZ337),2)</f>
        <v>0</v>
      </c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  <c r="EQ339" s="3"/>
      <c r="ER339" s="3"/>
      <c r="ES339" s="3"/>
      <c r="ET339" s="3"/>
      <c r="EU339" s="3"/>
      <c r="EV339" s="3"/>
      <c r="EW339" s="3"/>
      <c r="EX339" s="3"/>
      <c r="EY339" s="3"/>
      <c r="EZ339" s="3"/>
      <c r="FA339" s="3"/>
      <c r="FB339" s="3"/>
      <c r="FC339" s="3"/>
      <c r="FD339" s="3"/>
      <c r="FE339" s="3"/>
      <c r="FF339" s="3"/>
      <c r="FG339" s="3"/>
      <c r="FH339" s="3"/>
      <c r="FI339" s="3"/>
      <c r="FJ339" s="3"/>
      <c r="FK339" s="3"/>
      <c r="FL339" s="3"/>
      <c r="FM339" s="3"/>
      <c r="FN339" s="3"/>
      <c r="FO339" s="3"/>
      <c r="FP339" s="3"/>
      <c r="FQ339" s="3"/>
      <c r="FR339" s="3"/>
      <c r="FS339" s="3"/>
      <c r="FT339" s="3"/>
      <c r="FU339" s="3"/>
      <c r="FV339" s="3"/>
      <c r="FW339" s="3"/>
      <c r="FX339" s="3"/>
      <c r="FY339" s="3"/>
      <c r="FZ339" s="3"/>
      <c r="GA339" s="3"/>
      <c r="GB339" s="3"/>
      <c r="GC339" s="3"/>
      <c r="GD339" s="3"/>
      <c r="GE339" s="3"/>
      <c r="GF339" s="3"/>
      <c r="GG339" s="3"/>
      <c r="GH339" s="3"/>
      <c r="GI339" s="3"/>
      <c r="GJ339" s="3"/>
      <c r="GK339" s="3"/>
      <c r="GL339" s="3"/>
      <c r="GM339" s="3"/>
      <c r="GN339" s="3"/>
      <c r="GO339" s="3"/>
      <c r="GP339" s="3"/>
      <c r="GQ339" s="3"/>
      <c r="GR339" s="3"/>
      <c r="GS339" s="3"/>
      <c r="GT339" s="3"/>
      <c r="GU339" s="3"/>
      <c r="GV339" s="3"/>
      <c r="GW339" s="3"/>
      <c r="GX339" s="3">
        <v>0</v>
      </c>
    </row>
    <row r="341" spans="1:245" x14ac:dyDescent="0.2">
      <c r="A341" s="4">
        <v>50</v>
      </c>
      <c r="B341" s="4">
        <v>0</v>
      </c>
      <c r="C341" s="4">
        <v>0</v>
      </c>
      <c r="D341" s="4">
        <v>1</v>
      </c>
      <c r="E341" s="4">
        <v>201</v>
      </c>
      <c r="F341" s="4">
        <f>ROUND(Source!O339,O341)</f>
        <v>1280043.1399999999</v>
      </c>
      <c r="G341" s="4" t="s">
        <v>74</v>
      </c>
      <c r="H341" s="4" t="s">
        <v>75</v>
      </c>
      <c r="I341" s="4"/>
      <c r="J341" s="4"/>
      <c r="K341" s="4">
        <v>201</v>
      </c>
      <c r="L341" s="4">
        <v>1</v>
      </c>
      <c r="M341" s="4">
        <v>3</v>
      </c>
      <c r="N341" s="4" t="s">
        <v>3</v>
      </c>
      <c r="O341" s="4">
        <v>2</v>
      </c>
      <c r="P341" s="4"/>
      <c r="Q341" s="4"/>
      <c r="R341" s="4"/>
      <c r="S341" s="4"/>
      <c r="T341" s="4"/>
      <c r="U341" s="4"/>
      <c r="V341" s="4"/>
      <c r="W341" s="4"/>
    </row>
    <row r="342" spans="1:245" x14ac:dyDescent="0.2">
      <c r="A342" s="4">
        <v>50</v>
      </c>
      <c r="B342" s="4">
        <v>0</v>
      </c>
      <c r="C342" s="4">
        <v>0</v>
      </c>
      <c r="D342" s="4">
        <v>1</v>
      </c>
      <c r="E342" s="4">
        <v>202</v>
      </c>
      <c r="F342" s="4">
        <f>ROUND(Source!P339,O342)</f>
        <v>1246684.9099999999</v>
      </c>
      <c r="G342" s="4" t="s">
        <v>76</v>
      </c>
      <c r="H342" s="4" t="s">
        <v>77</v>
      </c>
      <c r="I342" s="4"/>
      <c r="J342" s="4"/>
      <c r="K342" s="4">
        <v>202</v>
      </c>
      <c r="L342" s="4">
        <v>2</v>
      </c>
      <c r="M342" s="4">
        <v>3</v>
      </c>
      <c r="N342" s="4" t="s">
        <v>3</v>
      </c>
      <c r="O342" s="4">
        <v>2</v>
      </c>
      <c r="P342" s="4"/>
      <c r="Q342" s="4"/>
      <c r="R342" s="4"/>
      <c r="S342" s="4"/>
      <c r="T342" s="4"/>
      <c r="U342" s="4"/>
      <c r="V342" s="4"/>
      <c r="W342" s="4"/>
    </row>
    <row r="343" spans="1:245" x14ac:dyDescent="0.2">
      <c r="A343" s="4">
        <v>50</v>
      </c>
      <c r="B343" s="4">
        <v>0</v>
      </c>
      <c r="C343" s="4">
        <v>0</v>
      </c>
      <c r="D343" s="4">
        <v>1</v>
      </c>
      <c r="E343" s="4">
        <v>222</v>
      </c>
      <c r="F343" s="4">
        <f>ROUND(Source!AO339,O343)</f>
        <v>0</v>
      </c>
      <c r="G343" s="4" t="s">
        <v>78</v>
      </c>
      <c r="H343" s="4" t="s">
        <v>79</v>
      </c>
      <c r="I343" s="4"/>
      <c r="J343" s="4"/>
      <c r="K343" s="4">
        <v>222</v>
      </c>
      <c r="L343" s="4">
        <v>3</v>
      </c>
      <c r="M343" s="4">
        <v>3</v>
      </c>
      <c r="N343" s="4" t="s">
        <v>3</v>
      </c>
      <c r="O343" s="4">
        <v>2</v>
      </c>
      <c r="P343" s="4"/>
      <c r="Q343" s="4"/>
      <c r="R343" s="4"/>
      <c r="S343" s="4"/>
      <c r="T343" s="4"/>
      <c r="U343" s="4"/>
      <c r="V343" s="4"/>
      <c r="W343" s="4"/>
    </row>
    <row r="344" spans="1:245" x14ac:dyDescent="0.2">
      <c r="A344" s="4">
        <v>50</v>
      </c>
      <c r="B344" s="4">
        <v>0</v>
      </c>
      <c r="C344" s="4">
        <v>0</v>
      </c>
      <c r="D344" s="4">
        <v>1</v>
      </c>
      <c r="E344" s="4">
        <v>225</v>
      </c>
      <c r="F344" s="4">
        <f>ROUND(Source!AV339,O344)</f>
        <v>1246684.9099999999</v>
      </c>
      <c r="G344" s="4" t="s">
        <v>80</v>
      </c>
      <c r="H344" s="4" t="s">
        <v>81</v>
      </c>
      <c r="I344" s="4"/>
      <c r="J344" s="4"/>
      <c r="K344" s="4">
        <v>225</v>
      </c>
      <c r="L344" s="4">
        <v>4</v>
      </c>
      <c r="M344" s="4">
        <v>3</v>
      </c>
      <c r="N344" s="4" t="s">
        <v>3</v>
      </c>
      <c r="O344" s="4">
        <v>2</v>
      </c>
      <c r="P344" s="4"/>
      <c r="Q344" s="4"/>
      <c r="R344" s="4"/>
      <c r="S344" s="4"/>
      <c r="T344" s="4"/>
      <c r="U344" s="4"/>
      <c r="V344" s="4"/>
      <c r="W344" s="4"/>
    </row>
    <row r="345" spans="1:245" x14ac:dyDescent="0.2">
      <c r="A345" s="4">
        <v>50</v>
      </c>
      <c r="B345" s="4">
        <v>0</v>
      </c>
      <c r="C345" s="4">
        <v>0</v>
      </c>
      <c r="D345" s="4">
        <v>1</v>
      </c>
      <c r="E345" s="4">
        <v>226</v>
      </c>
      <c r="F345" s="4">
        <f>ROUND(Source!AW339,O345)</f>
        <v>26722.37</v>
      </c>
      <c r="G345" s="4" t="s">
        <v>82</v>
      </c>
      <c r="H345" s="4" t="s">
        <v>83</v>
      </c>
      <c r="I345" s="4"/>
      <c r="J345" s="4"/>
      <c r="K345" s="4">
        <v>226</v>
      </c>
      <c r="L345" s="4">
        <v>5</v>
      </c>
      <c r="M345" s="4">
        <v>3</v>
      </c>
      <c r="N345" s="4" t="s">
        <v>3</v>
      </c>
      <c r="O345" s="4">
        <v>2</v>
      </c>
      <c r="P345" s="4"/>
      <c r="Q345" s="4"/>
      <c r="R345" s="4"/>
      <c r="S345" s="4"/>
      <c r="T345" s="4"/>
      <c r="U345" s="4"/>
      <c r="V345" s="4"/>
      <c r="W345" s="4"/>
    </row>
    <row r="346" spans="1:245" x14ac:dyDescent="0.2">
      <c r="A346" s="4">
        <v>50</v>
      </c>
      <c r="B346" s="4">
        <v>0</v>
      </c>
      <c r="C346" s="4">
        <v>0</v>
      </c>
      <c r="D346" s="4">
        <v>1</v>
      </c>
      <c r="E346" s="4">
        <v>227</v>
      </c>
      <c r="F346" s="4">
        <f>ROUND(Source!AX339,O346)</f>
        <v>0</v>
      </c>
      <c r="G346" s="4" t="s">
        <v>84</v>
      </c>
      <c r="H346" s="4" t="s">
        <v>85</v>
      </c>
      <c r="I346" s="4"/>
      <c r="J346" s="4"/>
      <c r="K346" s="4">
        <v>227</v>
      </c>
      <c r="L346" s="4">
        <v>6</v>
      </c>
      <c r="M346" s="4">
        <v>3</v>
      </c>
      <c r="N346" s="4" t="s">
        <v>3</v>
      </c>
      <c r="O346" s="4">
        <v>2</v>
      </c>
      <c r="P346" s="4"/>
      <c r="Q346" s="4"/>
      <c r="R346" s="4"/>
      <c r="S346" s="4"/>
      <c r="T346" s="4"/>
      <c r="U346" s="4"/>
      <c r="V346" s="4"/>
      <c r="W346" s="4"/>
    </row>
    <row r="347" spans="1:245" x14ac:dyDescent="0.2">
      <c r="A347" s="4">
        <v>50</v>
      </c>
      <c r="B347" s="4">
        <v>0</v>
      </c>
      <c r="C347" s="4">
        <v>0</v>
      </c>
      <c r="D347" s="4">
        <v>1</v>
      </c>
      <c r="E347" s="4">
        <v>228</v>
      </c>
      <c r="F347" s="4">
        <f>ROUND(Source!AY339,O347)</f>
        <v>26722.37</v>
      </c>
      <c r="G347" s="4" t="s">
        <v>86</v>
      </c>
      <c r="H347" s="4" t="s">
        <v>87</v>
      </c>
      <c r="I347" s="4"/>
      <c r="J347" s="4"/>
      <c r="K347" s="4">
        <v>228</v>
      </c>
      <c r="L347" s="4">
        <v>7</v>
      </c>
      <c r="M347" s="4">
        <v>3</v>
      </c>
      <c r="N347" s="4" t="s">
        <v>3</v>
      </c>
      <c r="O347" s="4">
        <v>2</v>
      </c>
      <c r="P347" s="4"/>
      <c r="Q347" s="4"/>
      <c r="R347" s="4"/>
      <c r="S347" s="4"/>
      <c r="T347" s="4"/>
      <c r="U347" s="4"/>
      <c r="V347" s="4"/>
      <c r="W347" s="4"/>
    </row>
    <row r="348" spans="1:245" x14ac:dyDescent="0.2">
      <c r="A348" s="4">
        <v>50</v>
      </c>
      <c r="B348" s="4">
        <v>0</v>
      </c>
      <c r="C348" s="4">
        <v>0</v>
      </c>
      <c r="D348" s="4">
        <v>1</v>
      </c>
      <c r="E348" s="4">
        <v>216</v>
      </c>
      <c r="F348" s="4">
        <f>ROUND(Source!AP339,O348)</f>
        <v>1219962.54</v>
      </c>
      <c r="G348" s="4" t="s">
        <v>88</v>
      </c>
      <c r="H348" s="4" t="s">
        <v>89</v>
      </c>
      <c r="I348" s="4"/>
      <c r="J348" s="4"/>
      <c r="K348" s="4">
        <v>216</v>
      </c>
      <c r="L348" s="4">
        <v>8</v>
      </c>
      <c r="M348" s="4">
        <v>3</v>
      </c>
      <c r="N348" s="4" t="s">
        <v>3</v>
      </c>
      <c r="O348" s="4">
        <v>2</v>
      </c>
      <c r="P348" s="4"/>
      <c r="Q348" s="4"/>
      <c r="R348" s="4"/>
      <c r="S348" s="4"/>
      <c r="T348" s="4"/>
      <c r="U348" s="4"/>
      <c r="V348" s="4"/>
      <c r="W348" s="4"/>
    </row>
    <row r="349" spans="1:245" x14ac:dyDescent="0.2">
      <c r="A349" s="4">
        <v>50</v>
      </c>
      <c r="B349" s="4">
        <v>0</v>
      </c>
      <c r="C349" s="4">
        <v>0</v>
      </c>
      <c r="D349" s="4">
        <v>1</v>
      </c>
      <c r="E349" s="4">
        <v>223</v>
      </c>
      <c r="F349" s="4">
        <f>ROUND(Source!AQ339,O349)</f>
        <v>0</v>
      </c>
      <c r="G349" s="4" t="s">
        <v>90</v>
      </c>
      <c r="H349" s="4" t="s">
        <v>91</v>
      </c>
      <c r="I349" s="4"/>
      <c r="J349" s="4"/>
      <c r="K349" s="4">
        <v>223</v>
      </c>
      <c r="L349" s="4">
        <v>9</v>
      </c>
      <c r="M349" s="4">
        <v>3</v>
      </c>
      <c r="N349" s="4" t="s">
        <v>3</v>
      </c>
      <c r="O349" s="4">
        <v>2</v>
      </c>
      <c r="P349" s="4"/>
      <c r="Q349" s="4"/>
      <c r="R349" s="4"/>
      <c r="S349" s="4"/>
      <c r="T349" s="4"/>
      <c r="U349" s="4"/>
      <c r="V349" s="4"/>
      <c r="W349" s="4"/>
    </row>
    <row r="350" spans="1:245" x14ac:dyDescent="0.2">
      <c r="A350" s="4">
        <v>50</v>
      </c>
      <c r="B350" s="4">
        <v>0</v>
      </c>
      <c r="C350" s="4">
        <v>0</v>
      </c>
      <c r="D350" s="4">
        <v>1</v>
      </c>
      <c r="E350" s="4">
        <v>229</v>
      </c>
      <c r="F350" s="4">
        <f>ROUND(Source!AZ339,O350)</f>
        <v>1219962.54</v>
      </c>
      <c r="G350" s="4" t="s">
        <v>92</v>
      </c>
      <c r="H350" s="4" t="s">
        <v>93</v>
      </c>
      <c r="I350" s="4"/>
      <c r="J350" s="4"/>
      <c r="K350" s="4">
        <v>229</v>
      </c>
      <c r="L350" s="4">
        <v>10</v>
      </c>
      <c r="M350" s="4">
        <v>3</v>
      </c>
      <c r="N350" s="4" t="s">
        <v>3</v>
      </c>
      <c r="O350" s="4">
        <v>2</v>
      </c>
      <c r="P350" s="4"/>
      <c r="Q350" s="4"/>
      <c r="R350" s="4"/>
      <c r="S350" s="4"/>
      <c r="T350" s="4"/>
      <c r="U350" s="4"/>
      <c r="V350" s="4"/>
      <c r="W350" s="4"/>
    </row>
    <row r="351" spans="1:245" x14ac:dyDescent="0.2">
      <c r="A351" s="4">
        <v>50</v>
      </c>
      <c r="B351" s="4">
        <v>0</v>
      </c>
      <c r="C351" s="4">
        <v>0</v>
      </c>
      <c r="D351" s="4">
        <v>1</v>
      </c>
      <c r="E351" s="4">
        <v>203</v>
      </c>
      <c r="F351" s="4">
        <f>ROUND(Source!Q339,O351)</f>
        <v>9107.83</v>
      </c>
      <c r="G351" s="4" t="s">
        <v>94</v>
      </c>
      <c r="H351" s="4" t="s">
        <v>95</v>
      </c>
      <c r="I351" s="4"/>
      <c r="J351" s="4"/>
      <c r="K351" s="4">
        <v>203</v>
      </c>
      <c r="L351" s="4">
        <v>11</v>
      </c>
      <c r="M351" s="4">
        <v>3</v>
      </c>
      <c r="N351" s="4" t="s">
        <v>3</v>
      </c>
      <c r="O351" s="4">
        <v>2</v>
      </c>
      <c r="P351" s="4"/>
      <c r="Q351" s="4"/>
      <c r="R351" s="4"/>
      <c r="S351" s="4"/>
      <c r="T351" s="4"/>
      <c r="U351" s="4"/>
      <c r="V351" s="4"/>
      <c r="W351" s="4"/>
    </row>
    <row r="352" spans="1:245" x14ac:dyDescent="0.2">
      <c r="A352" s="4">
        <v>50</v>
      </c>
      <c r="B352" s="4">
        <v>0</v>
      </c>
      <c r="C352" s="4">
        <v>0</v>
      </c>
      <c r="D352" s="4">
        <v>1</v>
      </c>
      <c r="E352" s="4">
        <v>231</v>
      </c>
      <c r="F352" s="4">
        <f>ROUND(Source!BB339,O352)</f>
        <v>0</v>
      </c>
      <c r="G352" s="4" t="s">
        <v>96</v>
      </c>
      <c r="H352" s="4" t="s">
        <v>97</v>
      </c>
      <c r="I352" s="4"/>
      <c r="J352" s="4"/>
      <c r="K352" s="4">
        <v>231</v>
      </c>
      <c r="L352" s="4">
        <v>12</v>
      </c>
      <c r="M352" s="4">
        <v>3</v>
      </c>
      <c r="N352" s="4" t="s">
        <v>3</v>
      </c>
      <c r="O352" s="4">
        <v>2</v>
      </c>
      <c r="P352" s="4"/>
      <c r="Q352" s="4"/>
      <c r="R352" s="4"/>
      <c r="S352" s="4"/>
      <c r="T352" s="4"/>
      <c r="U352" s="4"/>
      <c r="V352" s="4"/>
      <c r="W352" s="4"/>
    </row>
    <row r="353" spans="1:88" x14ac:dyDescent="0.2">
      <c r="A353" s="4">
        <v>50</v>
      </c>
      <c r="B353" s="4">
        <v>0</v>
      </c>
      <c r="C353" s="4">
        <v>0</v>
      </c>
      <c r="D353" s="4">
        <v>1</v>
      </c>
      <c r="E353" s="4">
        <v>204</v>
      </c>
      <c r="F353" s="4">
        <f>ROUND(Source!R339,O353)</f>
        <v>2558.77</v>
      </c>
      <c r="G353" s="4" t="s">
        <v>98</v>
      </c>
      <c r="H353" s="4" t="s">
        <v>99</v>
      </c>
      <c r="I353" s="4"/>
      <c r="J353" s="4"/>
      <c r="K353" s="4">
        <v>204</v>
      </c>
      <c r="L353" s="4">
        <v>13</v>
      </c>
      <c r="M353" s="4">
        <v>3</v>
      </c>
      <c r="N353" s="4" t="s">
        <v>3</v>
      </c>
      <c r="O353" s="4">
        <v>2</v>
      </c>
      <c r="P353" s="4"/>
      <c r="Q353" s="4"/>
      <c r="R353" s="4"/>
      <c r="S353" s="4"/>
      <c r="T353" s="4"/>
      <c r="U353" s="4"/>
      <c r="V353" s="4"/>
      <c r="W353" s="4"/>
    </row>
    <row r="354" spans="1:88" x14ac:dyDescent="0.2">
      <c r="A354" s="4">
        <v>50</v>
      </c>
      <c r="B354" s="4">
        <v>0</v>
      </c>
      <c r="C354" s="4">
        <v>0</v>
      </c>
      <c r="D354" s="4">
        <v>1</v>
      </c>
      <c r="E354" s="4">
        <v>205</v>
      </c>
      <c r="F354" s="4">
        <f>ROUND(Source!S339,O354)</f>
        <v>24250.400000000001</v>
      </c>
      <c r="G354" s="4" t="s">
        <v>100</v>
      </c>
      <c r="H354" s="4" t="s">
        <v>101</v>
      </c>
      <c r="I354" s="4"/>
      <c r="J354" s="4"/>
      <c r="K354" s="4">
        <v>205</v>
      </c>
      <c r="L354" s="4">
        <v>14</v>
      </c>
      <c r="M354" s="4">
        <v>3</v>
      </c>
      <c r="N354" s="4" t="s">
        <v>3</v>
      </c>
      <c r="O354" s="4">
        <v>2</v>
      </c>
      <c r="P354" s="4"/>
      <c r="Q354" s="4"/>
      <c r="R354" s="4"/>
      <c r="S354" s="4"/>
      <c r="T354" s="4"/>
      <c r="U354" s="4"/>
      <c r="V354" s="4"/>
      <c r="W354" s="4"/>
    </row>
    <row r="355" spans="1:88" x14ac:dyDescent="0.2">
      <c r="A355" s="4">
        <v>50</v>
      </c>
      <c r="B355" s="4">
        <v>0</v>
      </c>
      <c r="C355" s="4">
        <v>0</v>
      </c>
      <c r="D355" s="4">
        <v>1</v>
      </c>
      <c r="E355" s="4">
        <v>232</v>
      </c>
      <c r="F355" s="4">
        <f>ROUND(Source!BC339,O355)</f>
        <v>0</v>
      </c>
      <c r="G355" s="4" t="s">
        <v>102</v>
      </c>
      <c r="H355" s="4" t="s">
        <v>103</v>
      </c>
      <c r="I355" s="4"/>
      <c r="J355" s="4"/>
      <c r="K355" s="4">
        <v>232</v>
      </c>
      <c r="L355" s="4">
        <v>15</v>
      </c>
      <c r="M355" s="4">
        <v>3</v>
      </c>
      <c r="N355" s="4" t="s">
        <v>3</v>
      </c>
      <c r="O355" s="4">
        <v>2</v>
      </c>
      <c r="P355" s="4"/>
      <c r="Q355" s="4"/>
      <c r="R355" s="4"/>
      <c r="S355" s="4"/>
      <c r="T355" s="4"/>
      <c r="U355" s="4"/>
      <c r="V355" s="4"/>
      <c r="W355" s="4"/>
    </row>
    <row r="356" spans="1:88" x14ac:dyDescent="0.2">
      <c r="A356" s="4">
        <v>50</v>
      </c>
      <c r="B356" s="4">
        <v>0</v>
      </c>
      <c r="C356" s="4">
        <v>0</v>
      </c>
      <c r="D356" s="4">
        <v>1</v>
      </c>
      <c r="E356" s="4">
        <v>214</v>
      </c>
      <c r="F356" s="4">
        <f>ROUND(Source!AS339,O356)</f>
        <v>19411.91</v>
      </c>
      <c r="G356" s="4" t="s">
        <v>104</v>
      </c>
      <c r="H356" s="4" t="s">
        <v>105</v>
      </c>
      <c r="I356" s="4"/>
      <c r="J356" s="4"/>
      <c r="K356" s="4">
        <v>214</v>
      </c>
      <c r="L356" s="4">
        <v>16</v>
      </c>
      <c r="M356" s="4">
        <v>3</v>
      </c>
      <c r="N356" s="4" t="s">
        <v>3</v>
      </c>
      <c r="O356" s="4">
        <v>2</v>
      </c>
      <c r="P356" s="4"/>
      <c r="Q356" s="4"/>
      <c r="R356" s="4"/>
      <c r="S356" s="4"/>
      <c r="T356" s="4"/>
      <c r="U356" s="4"/>
      <c r="V356" s="4"/>
      <c r="W356" s="4"/>
    </row>
    <row r="357" spans="1:88" x14ac:dyDescent="0.2">
      <c r="A357" s="4">
        <v>50</v>
      </c>
      <c r="B357" s="4">
        <v>0</v>
      </c>
      <c r="C357" s="4">
        <v>0</v>
      </c>
      <c r="D357" s="4">
        <v>1</v>
      </c>
      <c r="E357" s="4">
        <v>215</v>
      </c>
      <c r="F357" s="4">
        <f>ROUND(Source!AT339,O357)</f>
        <v>79109.149999999994</v>
      </c>
      <c r="G357" s="4" t="s">
        <v>106</v>
      </c>
      <c r="H357" s="4" t="s">
        <v>107</v>
      </c>
      <c r="I357" s="4"/>
      <c r="J357" s="4"/>
      <c r="K357" s="4">
        <v>215</v>
      </c>
      <c r="L357" s="4">
        <v>17</v>
      </c>
      <c r="M357" s="4">
        <v>3</v>
      </c>
      <c r="N357" s="4" t="s">
        <v>3</v>
      </c>
      <c r="O357" s="4">
        <v>2</v>
      </c>
      <c r="P357" s="4"/>
      <c r="Q357" s="4"/>
      <c r="R357" s="4"/>
      <c r="S357" s="4"/>
      <c r="T357" s="4"/>
      <c r="U357" s="4"/>
      <c r="V357" s="4"/>
      <c r="W357" s="4"/>
    </row>
    <row r="358" spans="1:88" x14ac:dyDescent="0.2">
      <c r="A358" s="4">
        <v>50</v>
      </c>
      <c r="B358" s="4">
        <v>0</v>
      </c>
      <c r="C358" s="4">
        <v>0</v>
      </c>
      <c r="D358" s="4">
        <v>1</v>
      </c>
      <c r="E358" s="4">
        <v>217</v>
      </c>
      <c r="F358" s="4">
        <f>ROUND(Source!AU339,O358)</f>
        <v>0</v>
      </c>
      <c r="G358" s="4" t="s">
        <v>108</v>
      </c>
      <c r="H358" s="4" t="s">
        <v>109</v>
      </c>
      <c r="I358" s="4"/>
      <c r="J358" s="4"/>
      <c r="K358" s="4">
        <v>217</v>
      </c>
      <c r="L358" s="4">
        <v>18</v>
      </c>
      <c r="M358" s="4">
        <v>3</v>
      </c>
      <c r="N358" s="4" t="s">
        <v>3</v>
      </c>
      <c r="O358" s="4">
        <v>2</v>
      </c>
      <c r="P358" s="4"/>
      <c r="Q358" s="4"/>
      <c r="R358" s="4"/>
      <c r="S358" s="4"/>
      <c r="T358" s="4"/>
      <c r="U358" s="4"/>
      <c r="V358" s="4"/>
      <c r="W358" s="4"/>
    </row>
    <row r="359" spans="1:88" x14ac:dyDescent="0.2">
      <c r="A359" s="4">
        <v>50</v>
      </c>
      <c r="B359" s="4">
        <v>0</v>
      </c>
      <c r="C359" s="4">
        <v>0</v>
      </c>
      <c r="D359" s="4">
        <v>1</v>
      </c>
      <c r="E359" s="4">
        <v>230</v>
      </c>
      <c r="F359" s="4">
        <f>ROUND(Source!BA339,O359)</f>
        <v>0</v>
      </c>
      <c r="G359" s="4" t="s">
        <v>110</v>
      </c>
      <c r="H359" s="4" t="s">
        <v>111</v>
      </c>
      <c r="I359" s="4"/>
      <c r="J359" s="4"/>
      <c r="K359" s="4">
        <v>230</v>
      </c>
      <c r="L359" s="4">
        <v>19</v>
      </c>
      <c r="M359" s="4">
        <v>3</v>
      </c>
      <c r="N359" s="4" t="s">
        <v>3</v>
      </c>
      <c r="O359" s="4">
        <v>2</v>
      </c>
      <c r="P359" s="4"/>
      <c r="Q359" s="4"/>
      <c r="R359" s="4"/>
      <c r="S359" s="4"/>
      <c r="T359" s="4"/>
      <c r="U359" s="4"/>
      <c r="V359" s="4"/>
      <c r="W359" s="4"/>
    </row>
    <row r="360" spans="1:88" x14ac:dyDescent="0.2">
      <c r="A360" s="4">
        <v>50</v>
      </c>
      <c r="B360" s="4">
        <v>0</v>
      </c>
      <c r="C360" s="4">
        <v>0</v>
      </c>
      <c r="D360" s="4">
        <v>1</v>
      </c>
      <c r="E360" s="4">
        <v>206</v>
      </c>
      <c r="F360" s="4">
        <f>ROUND(Source!T339,O360)</f>
        <v>0</v>
      </c>
      <c r="G360" s="4" t="s">
        <v>112</v>
      </c>
      <c r="H360" s="4" t="s">
        <v>113</v>
      </c>
      <c r="I360" s="4"/>
      <c r="J360" s="4"/>
      <c r="K360" s="4">
        <v>206</v>
      </c>
      <c r="L360" s="4">
        <v>20</v>
      </c>
      <c r="M360" s="4">
        <v>3</v>
      </c>
      <c r="N360" s="4" t="s">
        <v>3</v>
      </c>
      <c r="O360" s="4">
        <v>2</v>
      </c>
      <c r="P360" s="4"/>
      <c r="Q360" s="4"/>
      <c r="R360" s="4"/>
      <c r="S360" s="4"/>
      <c r="T360" s="4"/>
      <c r="U360" s="4"/>
      <c r="V360" s="4"/>
      <c r="W360" s="4"/>
    </row>
    <row r="361" spans="1:88" x14ac:dyDescent="0.2">
      <c r="A361" s="4">
        <v>50</v>
      </c>
      <c r="B361" s="4">
        <v>0</v>
      </c>
      <c r="C361" s="4">
        <v>0</v>
      </c>
      <c r="D361" s="4">
        <v>1</v>
      </c>
      <c r="E361" s="4">
        <v>207</v>
      </c>
      <c r="F361" s="4">
        <f>Source!U339</f>
        <v>105.30323056</v>
      </c>
      <c r="G361" s="4" t="s">
        <v>114</v>
      </c>
      <c r="H361" s="4" t="s">
        <v>115</v>
      </c>
      <c r="I361" s="4"/>
      <c r="J361" s="4"/>
      <c r="K361" s="4">
        <v>207</v>
      </c>
      <c r="L361" s="4">
        <v>21</v>
      </c>
      <c r="M361" s="4">
        <v>3</v>
      </c>
      <c r="N361" s="4" t="s">
        <v>3</v>
      </c>
      <c r="O361" s="4">
        <v>-1</v>
      </c>
      <c r="P361" s="4"/>
      <c r="Q361" s="4"/>
      <c r="R361" s="4"/>
      <c r="S361" s="4"/>
      <c r="T361" s="4"/>
      <c r="U361" s="4"/>
      <c r="V361" s="4"/>
      <c r="W361" s="4"/>
    </row>
    <row r="362" spans="1:88" x14ac:dyDescent="0.2">
      <c r="A362" s="4">
        <v>50</v>
      </c>
      <c r="B362" s="4">
        <v>0</v>
      </c>
      <c r="C362" s="4">
        <v>0</v>
      </c>
      <c r="D362" s="4">
        <v>1</v>
      </c>
      <c r="E362" s="4">
        <v>208</v>
      </c>
      <c r="F362" s="4">
        <f>Source!V339</f>
        <v>0</v>
      </c>
      <c r="G362" s="4" t="s">
        <v>116</v>
      </c>
      <c r="H362" s="4" t="s">
        <v>117</v>
      </c>
      <c r="I362" s="4"/>
      <c r="J362" s="4"/>
      <c r="K362" s="4">
        <v>208</v>
      </c>
      <c r="L362" s="4">
        <v>22</v>
      </c>
      <c r="M362" s="4">
        <v>3</v>
      </c>
      <c r="N362" s="4" t="s">
        <v>3</v>
      </c>
      <c r="O362" s="4">
        <v>-1</v>
      </c>
      <c r="P362" s="4"/>
      <c r="Q362" s="4"/>
      <c r="R362" s="4"/>
      <c r="S362" s="4"/>
      <c r="T362" s="4"/>
      <c r="U362" s="4"/>
      <c r="V362" s="4"/>
      <c r="W362" s="4"/>
    </row>
    <row r="363" spans="1:88" x14ac:dyDescent="0.2">
      <c r="A363" s="4">
        <v>50</v>
      </c>
      <c r="B363" s="4">
        <v>0</v>
      </c>
      <c r="C363" s="4">
        <v>0</v>
      </c>
      <c r="D363" s="4">
        <v>1</v>
      </c>
      <c r="E363" s="4">
        <v>209</v>
      </c>
      <c r="F363" s="4">
        <f>ROUND(Source!W339,O363)</f>
        <v>0</v>
      </c>
      <c r="G363" s="4" t="s">
        <v>118</v>
      </c>
      <c r="H363" s="4" t="s">
        <v>119</v>
      </c>
      <c r="I363" s="4"/>
      <c r="J363" s="4"/>
      <c r="K363" s="4">
        <v>209</v>
      </c>
      <c r="L363" s="4">
        <v>23</v>
      </c>
      <c r="M363" s="4">
        <v>3</v>
      </c>
      <c r="N363" s="4" t="s">
        <v>3</v>
      </c>
      <c r="O363" s="4">
        <v>2</v>
      </c>
      <c r="P363" s="4"/>
      <c r="Q363" s="4"/>
      <c r="R363" s="4"/>
      <c r="S363" s="4"/>
      <c r="T363" s="4"/>
      <c r="U363" s="4"/>
      <c r="V363" s="4"/>
      <c r="W363" s="4"/>
    </row>
    <row r="364" spans="1:88" x14ac:dyDescent="0.2">
      <c r="A364" s="4">
        <v>50</v>
      </c>
      <c r="B364" s="4">
        <v>0</v>
      </c>
      <c r="C364" s="4">
        <v>0</v>
      </c>
      <c r="D364" s="4">
        <v>1</v>
      </c>
      <c r="E364" s="4">
        <v>210</v>
      </c>
      <c r="F364" s="4">
        <f>ROUND(Source!X339,O364)</f>
        <v>22904.880000000001</v>
      </c>
      <c r="G364" s="4" t="s">
        <v>120</v>
      </c>
      <c r="H364" s="4" t="s">
        <v>121</v>
      </c>
      <c r="I364" s="4"/>
      <c r="J364" s="4"/>
      <c r="K364" s="4">
        <v>210</v>
      </c>
      <c r="L364" s="4">
        <v>24</v>
      </c>
      <c r="M364" s="4">
        <v>3</v>
      </c>
      <c r="N364" s="4" t="s">
        <v>3</v>
      </c>
      <c r="O364" s="4">
        <v>2</v>
      </c>
      <c r="P364" s="4"/>
      <c r="Q364" s="4"/>
      <c r="R364" s="4"/>
      <c r="S364" s="4"/>
      <c r="T364" s="4"/>
      <c r="U364" s="4"/>
      <c r="V364" s="4"/>
      <c r="W364" s="4"/>
    </row>
    <row r="365" spans="1:88" x14ac:dyDescent="0.2">
      <c r="A365" s="4">
        <v>50</v>
      </c>
      <c r="B365" s="4">
        <v>0</v>
      </c>
      <c r="C365" s="4">
        <v>0</v>
      </c>
      <c r="D365" s="4">
        <v>1</v>
      </c>
      <c r="E365" s="4">
        <v>211</v>
      </c>
      <c r="F365" s="4">
        <f>ROUND(Source!Y339,O365)</f>
        <v>11262.44</v>
      </c>
      <c r="G365" s="4" t="s">
        <v>122</v>
      </c>
      <c r="H365" s="4" t="s">
        <v>123</v>
      </c>
      <c r="I365" s="4"/>
      <c r="J365" s="4"/>
      <c r="K365" s="4">
        <v>211</v>
      </c>
      <c r="L365" s="4">
        <v>25</v>
      </c>
      <c r="M365" s="4">
        <v>3</v>
      </c>
      <c r="N365" s="4" t="s">
        <v>3</v>
      </c>
      <c r="O365" s="4">
        <v>2</v>
      </c>
      <c r="P365" s="4"/>
      <c r="Q365" s="4"/>
      <c r="R365" s="4"/>
      <c r="S365" s="4"/>
      <c r="T365" s="4"/>
      <c r="U365" s="4"/>
      <c r="V365" s="4"/>
      <c r="W365" s="4"/>
    </row>
    <row r="366" spans="1:88" x14ac:dyDescent="0.2">
      <c r="A366" s="4">
        <v>50</v>
      </c>
      <c r="B366" s="4">
        <v>0</v>
      </c>
      <c r="C366" s="4">
        <v>0</v>
      </c>
      <c r="D366" s="4">
        <v>1</v>
      </c>
      <c r="E366" s="4">
        <v>224</v>
      </c>
      <c r="F366" s="4">
        <f>ROUND(Source!AR339,O366)</f>
        <v>1318483.6000000001</v>
      </c>
      <c r="G366" s="4" t="s">
        <v>124</v>
      </c>
      <c r="H366" s="4" t="s">
        <v>125</v>
      </c>
      <c r="I366" s="4"/>
      <c r="J366" s="4"/>
      <c r="K366" s="4">
        <v>224</v>
      </c>
      <c r="L366" s="4">
        <v>26</v>
      </c>
      <c r="M366" s="4">
        <v>3</v>
      </c>
      <c r="N366" s="4" t="s">
        <v>3</v>
      </c>
      <c r="O366" s="4">
        <v>2</v>
      </c>
      <c r="P366" s="4"/>
      <c r="Q366" s="4"/>
      <c r="R366" s="4"/>
      <c r="S366" s="4"/>
      <c r="T366" s="4"/>
      <c r="U366" s="4"/>
      <c r="V366" s="4"/>
      <c r="W366" s="4"/>
    </row>
    <row r="368" spans="1:88" x14ac:dyDescent="0.2">
      <c r="A368" s="1">
        <v>5</v>
      </c>
      <c r="B368" s="1">
        <v>1</v>
      </c>
      <c r="C368" s="1"/>
      <c r="D368" s="1">
        <f>ROW(A383)</f>
        <v>383</v>
      </c>
      <c r="E368" s="1"/>
      <c r="F368" s="1" t="s">
        <v>15</v>
      </c>
      <c r="G368" s="1" t="s">
        <v>353</v>
      </c>
      <c r="H368" s="1" t="s">
        <v>3</v>
      </c>
      <c r="I368" s="1">
        <v>0</v>
      </c>
      <c r="J368" s="1"/>
      <c r="K368" s="1">
        <v>-1</v>
      </c>
      <c r="L368" s="1"/>
      <c r="M368" s="1"/>
      <c r="N368" s="1"/>
      <c r="O368" s="1"/>
      <c r="P368" s="1"/>
      <c r="Q368" s="1"/>
      <c r="R368" s="1"/>
      <c r="S368" s="1"/>
      <c r="T368" s="1"/>
      <c r="U368" s="1" t="s">
        <v>3</v>
      </c>
      <c r="V368" s="1">
        <v>0</v>
      </c>
      <c r="W368" s="1"/>
      <c r="X368" s="1"/>
      <c r="Y368" s="1"/>
      <c r="Z368" s="1"/>
      <c r="AA368" s="1"/>
      <c r="AB368" s="1" t="s">
        <v>3</v>
      </c>
      <c r="AC368" s="1" t="s">
        <v>3</v>
      </c>
      <c r="AD368" s="1" t="s">
        <v>3</v>
      </c>
      <c r="AE368" s="1" t="s">
        <v>3</v>
      </c>
      <c r="AF368" s="1" t="s">
        <v>3</v>
      </c>
      <c r="AG368" s="1" t="s">
        <v>3</v>
      </c>
      <c r="AH368" s="1"/>
      <c r="AI368" s="1"/>
      <c r="AJ368" s="1"/>
      <c r="AK368" s="1"/>
      <c r="AL368" s="1"/>
      <c r="AM368" s="1"/>
      <c r="AN368" s="1"/>
      <c r="AO368" s="1"/>
      <c r="AP368" s="1" t="s">
        <v>3</v>
      </c>
      <c r="AQ368" s="1" t="s">
        <v>3</v>
      </c>
      <c r="AR368" s="1" t="s">
        <v>3</v>
      </c>
      <c r="AS368" s="1"/>
      <c r="AT368" s="1"/>
      <c r="AU368" s="1"/>
      <c r="AV368" s="1"/>
      <c r="AW368" s="1"/>
      <c r="AX368" s="1"/>
      <c r="AY368" s="1"/>
      <c r="AZ368" s="1" t="s">
        <v>3</v>
      </c>
      <c r="BA368" s="1"/>
      <c r="BB368" s="1" t="s">
        <v>3</v>
      </c>
      <c r="BC368" s="1" t="s">
        <v>3</v>
      </c>
      <c r="BD368" s="1" t="s">
        <v>3</v>
      </c>
      <c r="BE368" s="1" t="s">
        <v>3</v>
      </c>
      <c r="BF368" s="1" t="s">
        <v>3</v>
      </c>
      <c r="BG368" s="1" t="s">
        <v>3</v>
      </c>
      <c r="BH368" s="1" t="s">
        <v>3</v>
      </c>
      <c r="BI368" s="1" t="s">
        <v>3</v>
      </c>
      <c r="BJ368" s="1" t="s">
        <v>3</v>
      </c>
      <c r="BK368" s="1" t="s">
        <v>3</v>
      </c>
      <c r="BL368" s="1" t="s">
        <v>3</v>
      </c>
      <c r="BM368" s="1" t="s">
        <v>3</v>
      </c>
      <c r="BN368" s="1" t="s">
        <v>3</v>
      </c>
      <c r="BO368" s="1" t="s">
        <v>3</v>
      </c>
      <c r="BP368" s="1" t="s">
        <v>3</v>
      </c>
      <c r="BQ368" s="1"/>
      <c r="BR368" s="1"/>
      <c r="BS368" s="1"/>
      <c r="BT368" s="1"/>
      <c r="BU368" s="1"/>
      <c r="BV368" s="1"/>
      <c r="BW368" s="1"/>
      <c r="BX368" s="1">
        <v>0</v>
      </c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>
        <v>0</v>
      </c>
    </row>
    <row r="370" spans="1:245" x14ac:dyDescent="0.2">
      <c r="A370" s="2">
        <v>52</v>
      </c>
      <c r="B370" s="2">
        <f t="shared" ref="B370:G370" si="261">B383</f>
        <v>1</v>
      </c>
      <c r="C370" s="2">
        <f t="shared" si="261"/>
        <v>5</v>
      </c>
      <c r="D370" s="2">
        <f t="shared" si="261"/>
        <v>368</v>
      </c>
      <c r="E370" s="2">
        <f t="shared" si="261"/>
        <v>0</v>
      </c>
      <c r="F370" s="2" t="str">
        <f t="shared" si="261"/>
        <v>Новый подраздел</v>
      </c>
      <c r="G370" s="2" t="str">
        <f t="shared" si="261"/>
        <v>3.1 ПНР</v>
      </c>
      <c r="H370" s="2"/>
      <c r="I370" s="2"/>
      <c r="J370" s="2"/>
      <c r="K370" s="2"/>
      <c r="L370" s="2"/>
      <c r="M370" s="2"/>
      <c r="N370" s="2"/>
      <c r="O370" s="2">
        <f t="shared" ref="O370:AT370" si="262">O383</f>
        <v>2196832.2200000002</v>
      </c>
      <c r="P370" s="2">
        <f t="shared" si="262"/>
        <v>0</v>
      </c>
      <c r="Q370" s="2">
        <f t="shared" si="262"/>
        <v>433319.24</v>
      </c>
      <c r="R370" s="2">
        <f t="shared" si="262"/>
        <v>167700.29999999999</v>
      </c>
      <c r="S370" s="2">
        <f t="shared" si="262"/>
        <v>1763512.98</v>
      </c>
      <c r="T370" s="2">
        <f t="shared" si="262"/>
        <v>0</v>
      </c>
      <c r="U370" s="2">
        <f t="shared" si="262"/>
        <v>5724.8319999999994</v>
      </c>
      <c r="V370" s="2">
        <f t="shared" si="262"/>
        <v>0</v>
      </c>
      <c r="W370" s="2">
        <f t="shared" si="262"/>
        <v>0</v>
      </c>
      <c r="X370" s="2">
        <f t="shared" si="262"/>
        <v>1269729.3500000001</v>
      </c>
      <c r="Y370" s="2">
        <f t="shared" si="262"/>
        <v>775945.71</v>
      </c>
      <c r="Z370" s="2">
        <f t="shared" si="262"/>
        <v>0</v>
      </c>
      <c r="AA370" s="2">
        <f t="shared" si="262"/>
        <v>0</v>
      </c>
      <c r="AB370" s="2">
        <f t="shared" si="262"/>
        <v>2196832.2200000002</v>
      </c>
      <c r="AC370" s="2">
        <f t="shared" si="262"/>
        <v>0</v>
      </c>
      <c r="AD370" s="2">
        <f t="shared" si="262"/>
        <v>433319.24</v>
      </c>
      <c r="AE370" s="2">
        <f t="shared" si="262"/>
        <v>167700.29999999999</v>
      </c>
      <c r="AF370" s="2">
        <f t="shared" si="262"/>
        <v>1763512.98</v>
      </c>
      <c r="AG370" s="2">
        <f t="shared" si="262"/>
        <v>0</v>
      </c>
      <c r="AH370" s="2">
        <f t="shared" si="262"/>
        <v>5724.8319999999994</v>
      </c>
      <c r="AI370" s="2">
        <f t="shared" si="262"/>
        <v>0</v>
      </c>
      <c r="AJ370" s="2">
        <f t="shared" si="262"/>
        <v>0</v>
      </c>
      <c r="AK370" s="2">
        <f t="shared" si="262"/>
        <v>1269729.3500000001</v>
      </c>
      <c r="AL370" s="2">
        <f t="shared" si="262"/>
        <v>775945.71</v>
      </c>
      <c r="AM370" s="2">
        <f t="shared" si="262"/>
        <v>0</v>
      </c>
      <c r="AN370" s="2">
        <f t="shared" si="262"/>
        <v>0</v>
      </c>
      <c r="AO370" s="2">
        <f t="shared" si="262"/>
        <v>0</v>
      </c>
      <c r="AP370" s="2">
        <f t="shared" si="262"/>
        <v>0</v>
      </c>
      <c r="AQ370" s="2">
        <f t="shared" si="262"/>
        <v>0</v>
      </c>
      <c r="AR370" s="2">
        <f t="shared" si="262"/>
        <v>4522566.78</v>
      </c>
      <c r="AS370" s="2">
        <f t="shared" si="262"/>
        <v>713378.74</v>
      </c>
      <c r="AT370" s="2">
        <f t="shared" si="262"/>
        <v>0</v>
      </c>
      <c r="AU370" s="2">
        <f t="shared" ref="AU370:BZ370" si="263">AU383</f>
        <v>3809188.04</v>
      </c>
      <c r="AV370" s="2">
        <f t="shared" si="263"/>
        <v>0</v>
      </c>
      <c r="AW370" s="2">
        <f t="shared" si="263"/>
        <v>0</v>
      </c>
      <c r="AX370" s="2">
        <f t="shared" si="263"/>
        <v>0</v>
      </c>
      <c r="AY370" s="2">
        <f t="shared" si="263"/>
        <v>0</v>
      </c>
      <c r="AZ370" s="2">
        <f t="shared" si="263"/>
        <v>0</v>
      </c>
      <c r="BA370" s="2">
        <f t="shared" si="263"/>
        <v>0</v>
      </c>
      <c r="BB370" s="2">
        <f t="shared" si="263"/>
        <v>0</v>
      </c>
      <c r="BC370" s="2">
        <f t="shared" si="263"/>
        <v>0</v>
      </c>
      <c r="BD370" s="2">
        <f t="shared" si="263"/>
        <v>0</v>
      </c>
      <c r="BE370" s="2">
        <f t="shared" si="263"/>
        <v>0</v>
      </c>
      <c r="BF370" s="2">
        <f t="shared" si="263"/>
        <v>0</v>
      </c>
      <c r="BG370" s="2">
        <f t="shared" si="263"/>
        <v>0</v>
      </c>
      <c r="BH370" s="2">
        <f t="shared" si="263"/>
        <v>0</v>
      </c>
      <c r="BI370" s="2">
        <f t="shared" si="263"/>
        <v>0</v>
      </c>
      <c r="BJ370" s="2">
        <f t="shared" si="263"/>
        <v>0</v>
      </c>
      <c r="BK370" s="2">
        <f t="shared" si="263"/>
        <v>0</v>
      </c>
      <c r="BL370" s="2">
        <f t="shared" si="263"/>
        <v>0</v>
      </c>
      <c r="BM370" s="2">
        <f t="shared" si="263"/>
        <v>0</v>
      </c>
      <c r="BN370" s="2">
        <f t="shared" si="263"/>
        <v>0</v>
      </c>
      <c r="BO370" s="2">
        <f t="shared" si="263"/>
        <v>0</v>
      </c>
      <c r="BP370" s="2">
        <f t="shared" si="263"/>
        <v>0</v>
      </c>
      <c r="BQ370" s="2">
        <f t="shared" si="263"/>
        <v>0</v>
      </c>
      <c r="BR370" s="2">
        <f t="shared" si="263"/>
        <v>0</v>
      </c>
      <c r="BS370" s="2">
        <f t="shared" si="263"/>
        <v>0</v>
      </c>
      <c r="BT370" s="2">
        <f t="shared" si="263"/>
        <v>0</v>
      </c>
      <c r="BU370" s="2">
        <f t="shared" si="263"/>
        <v>0</v>
      </c>
      <c r="BV370" s="2">
        <f t="shared" si="263"/>
        <v>0</v>
      </c>
      <c r="BW370" s="2">
        <f t="shared" si="263"/>
        <v>0</v>
      </c>
      <c r="BX370" s="2">
        <f t="shared" si="263"/>
        <v>0</v>
      </c>
      <c r="BY370" s="2">
        <f t="shared" si="263"/>
        <v>0</v>
      </c>
      <c r="BZ370" s="2">
        <f t="shared" si="263"/>
        <v>0</v>
      </c>
      <c r="CA370" s="2">
        <f t="shared" ref="CA370:DF370" si="264">CA383</f>
        <v>4522566.78</v>
      </c>
      <c r="CB370" s="2">
        <f t="shared" si="264"/>
        <v>713378.74</v>
      </c>
      <c r="CC370" s="2">
        <f t="shared" si="264"/>
        <v>0</v>
      </c>
      <c r="CD370" s="2">
        <f t="shared" si="264"/>
        <v>3809188.04</v>
      </c>
      <c r="CE370" s="2">
        <f t="shared" si="264"/>
        <v>0</v>
      </c>
      <c r="CF370" s="2">
        <f t="shared" si="264"/>
        <v>0</v>
      </c>
      <c r="CG370" s="2">
        <f t="shared" si="264"/>
        <v>0</v>
      </c>
      <c r="CH370" s="2">
        <f t="shared" si="264"/>
        <v>0</v>
      </c>
      <c r="CI370" s="2">
        <f t="shared" si="264"/>
        <v>0</v>
      </c>
      <c r="CJ370" s="2">
        <f t="shared" si="264"/>
        <v>0</v>
      </c>
      <c r="CK370" s="2">
        <f t="shared" si="264"/>
        <v>0</v>
      </c>
      <c r="CL370" s="2">
        <f t="shared" si="264"/>
        <v>0</v>
      </c>
      <c r="CM370" s="2">
        <f t="shared" si="264"/>
        <v>0</v>
      </c>
      <c r="CN370" s="2">
        <f t="shared" si="264"/>
        <v>0</v>
      </c>
      <c r="CO370" s="2">
        <f t="shared" si="264"/>
        <v>0</v>
      </c>
      <c r="CP370" s="2">
        <f t="shared" si="264"/>
        <v>0</v>
      </c>
      <c r="CQ370" s="2">
        <f t="shared" si="264"/>
        <v>0</v>
      </c>
      <c r="CR370" s="2">
        <f t="shared" si="264"/>
        <v>0</v>
      </c>
      <c r="CS370" s="2">
        <f t="shared" si="264"/>
        <v>0</v>
      </c>
      <c r="CT370" s="2">
        <f t="shared" si="264"/>
        <v>0</v>
      </c>
      <c r="CU370" s="2">
        <f t="shared" si="264"/>
        <v>0</v>
      </c>
      <c r="CV370" s="2">
        <f t="shared" si="264"/>
        <v>0</v>
      </c>
      <c r="CW370" s="2">
        <f t="shared" si="264"/>
        <v>0</v>
      </c>
      <c r="CX370" s="2">
        <f t="shared" si="264"/>
        <v>0</v>
      </c>
      <c r="CY370" s="2">
        <f t="shared" si="264"/>
        <v>0</v>
      </c>
      <c r="CZ370" s="2">
        <f t="shared" si="264"/>
        <v>0</v>
      </c>
      <c r="DA370" s="2">
        <f t="shared" si="264"/>
        <v>0</v>
      </c>
      <c r="DB370" s="2">
        <f t="shared" si="264"/>
        <v>0</v>
      </c>
      <c r="DC370" s="2">
        <f t="shared" si="264"/>
        <v>0</v>
      </c>
      <c r="DD370" s="2">
        <f t="shared" si="264"/>
        <v>0</v>
      </c>
      <c r="DE370" s="2">
        <f t="shared" si="264"/>
        <v>0</v>
      </c>
      <c r="DF370" s="2">
        <f t="shared" si="264"/>
        <v>0</v>
      </c>
      <c r="DG370" s="3">
        <f t="shared" ref="DG370:EL370" si="265">DG383</f>
        <v>0</v>
      </c>
      <c r="DH370" s="3">
        <f t="shared" si="265"/>
        <v>0</v>
      </c>
      <c r="DI370" s="3">
        <f t="shared" si="265"/>
        <v>0</v>
      </c>
      <c r="DJ370" s="3">
        <f t="shared" si="265"/>
        <v>0</v>
      </c>
      <c r="DK370" s="3">
        <f t="shared" si="265"/>
        <v>0</v>
      </c>
      <c r="DL370" s="3">
        <f t="shared" si="265"/>
        <v>0</v>
      </c>
      <c r="DM370" s="3">
        <f t="shared" si="265"/>
        <v>0</v>
      </c>
      <c r="DN370" s="3">
        <f t="shared" si="265"/>
        <v>0</v>
      </c>
      <c r="DO370" s="3">
        <f t="shared" si="265"/>
        <v>0</v>
      </c>
      <c r="DP370" s="3">
        <f t="shared" si="265"/>
        <v>0</v>
      </c>
      <c r="DQ370" s="3">
        <f t="shared" si="265"/>
        <v>0</v>
      </c>
      <c r="DR370" s="3">
        <f t="shared" si="265"/>
        <v>0</v>
      </c>
      <c r="DS370" s="3">
        <f t="shared" si="265"/>
        <v>0</v>
      </c>
      <c r="DT370" s="3">
        <f t="shared" si="265"/>
        <v>0</v>
      </c>
      <c r="DU370" s="3">
        <f t="shared" si="265"/>
        <v>0</v>
      </c>
      <c r="DV370" s="3">
        <f t="shared" si="265"/>
        <v>0</v>
      </c>
      <c r="DW370" s="3">
        <f t="shared" si="265"/>
        <v>0</v>
      </c>
      <c r="DX370" s="3">
        <f t="shared" si="265"/>
        <v>0</v>
      </c>
      <c r="DY370" s="3">
        <f t="shared" si="265"/>
        <v>0</v>
      </c>
      <c r="DZ370" s="3">
        <f t="shared" si="265"/>
        <v>0</v>
      </c>
      <c r="EA370" s="3">
        <f t="shared" si="265"/>
        <v>0</v>
      </c>
      <c r="EB370" s="3">
        <f t="shared" si="265"/>
        <v>0</v>
      </c>
      <c r="EC370" s="3">
        <f t="shared" si="265"/>
        <v>0</v>
      </c>
      <c r="ED370" s="3">
        <f t="shared" si="265"/>
        <v>0</v>
      </c>
      <c r="EE370" s="3">
        <f t="shared" si="265"/>
        <v>0</v>
      </c>
      <c r="EF370" s="3">
        <f t="shared" si="265"/>
        <v>0</v>
      </c>
      <c r="EG370" s="3">
        <f t="shared" si="265"/>
        <v>0</v>
      </c>
      <c r="EH370" s="3">
        <f t="shared" si="265"/>
        <v>0</v>
      </c>
      <c r="EI370" s="3">
        <f t="shared" si="265"/>
        <v>0</v>
      </c>
      <c r="EJ370" s="3">
        <f t="shared" si="265"/>
        <v>0</v>
      </c>
      <c r="EK370" s="3">
        <f t="shared" si="265"/>
        <v>0</v>
      </c>
      <c r="EL370" s="3">
        <f t="shared" si="265"/>
        <v>0</v>
      </c>
      <c r="EM370" s="3">
        <f t="shared" ref="EM370:FR370" si="266">EM383</f>
        <v>0</v>
      </c>
      <c r="EN370" s="3">
        <f t="shared" si="266"/>
        <v>0</v>
      </c>
      <c r="EO370" s="3">
        <f t="shared" si="266"/>
        <v>0</v>
      </c>
      <c r="EP370" s="3">
        <f t="shared" si="266"/>
        <v>0</v>
      </c>
      <c r="EQ370" s="3">
        <f t="shared" si="266"/>
        <v>0</v>
      </c>
      <c r="ER370" s="3">
        <f t="shared" si="266"/>
        <v>0</v>
      </c>
      <c r="ES370" s="3">
        <f t="shared" si="266"/>
        <v>0</v>
      </c>
      <c r="ET370" s="3">
        <f t="shared" si="266"/>
        <v>0</v>
      </c>
      <c r="EU370" s="3">
        <f t="shared" si="266"/>
        <v>0</v>
      </c>
      <c r="EV370" s="3">
        <f t="shared" si="266"/>
        <v>0</v>
      </c>
      <c r="EW370" s="3">
        <f t="shared" si="266"/>
        <v>0</v>
      </c>
      <c r="EX370" s="3">
        <f t="shared" si="266"/>
        <v>0</v>
      </c>
      <c r="EY370" s="3">
        <f t="shared" si="266"/>
        <v>0</v>
      </c>
      <c r="EZ370" s="3">
        <f t="shared" si="266"/>
        <v>0</v>
      </c>
      <c r="FA370" s="3">
        <f t="shared" si="266"/>
        <v>0</v>
      </c>
      <c r="FB370" s="3">
        <f t="shared" si="266"/>
        <v>0</v>
      </c>
      <c r="FC370" s="3">
        <f t="shared" si="266"/>
        <v>0</v>
      </c>
      <c r="FD370" s="3">
        <f t="shared" si="266"/>
        <v>0</v>
      </c>
      <c r="FE370" s="3">
        <f t="shared" si="266"/>
        <v>0</v>
      </c>
      <c r="FF370" s="3">
        <f t="shared" si="266"/>
        <v>0</v>
      </c>
      <c r="FG370" s="3">
        <f t="shared" si="266"/>
        <v>0</v>
      </c>
      <c r="FH370" s="3">
        <f t="shared" si="266"/>
        <v>0</v>
      </c>
      <c r="FI370" s="3">
        <f t="shared" si="266"/>
        <v>0</v>
      </c>
      <c r="FJ370" s="3">
        <f t="shared" si="266"/>
        <v>0</v>
      </c>
      <c r="FK370" s="3">
        <f t="shared" si="266"/>
        <v>0</v>
      </c>
      <c r="FL370" s="3">
        <f t="shared" si="266"/>
        <v>0</v>
      </c>
      <c r="FM370" s="3">
        <f t="shared" si="266"/>
        <v>0</v>
      </c>
      <c r="FN370" s="3">
        <f t="shared" si="266"/>
        <v>0</v>
      </c>
      <c r="FO370" s="3">
        <f t="shared" si="266"/>
        <v>0</v>
      </c>
      <c r="FP370" s="3">
        <f t="shared" si="266"/>
        <v>0</v>
      </c>
      <c r="FQ370" s="3">
        <f t="shared" si="266"/>
        <v>0</v>
      </c>
      <c r="FR370" s="3">
        <f t="shared" si="266"/>
        <v>0</v>
      </c>
      <c r="FS370" s="3">
        <f t="shared" ref="FS370:GX370" si="267">FS383</f>
        <v>0</v>
      </c>
      <c r="FT370" s="3">
        <f t="shared" si="267"/>
        <v>0</v>
      </c>
      <c r="FU370" s="3">
        <f t="shared" si="267"/>
        <v>0</v>
      </c>
      <c r="FV370" s="3">
        <f t="shared" si="267"/>
        <v>0</v>
      </c>
      <c r="FW370" s="3">
        <f t="shared" si="267"/>
        <v>0</v>
      </c>
      <c r="FX370" s="3">
        <f t="shared" si="267"/>
        <v>0</v>
      </c>
      <c r="FY370" s="3">
        <f t="shared" si="267"/>
        <v>0</v>
      </c>
      <c r="FZ370" s="3">
        <f t="shared" si="267"/>
        <v>0</v>
      </c>
      <c r="GA370" s="3">
        <f t="shared" si="267"/>
        <v>0</v>
      </c>
      <c r="GB370" s="3">
        <f t="shared" si="267"/>
        <v>0</v>
      </c>
      <c r="GC370" s="3">
        <f t="shared" si="267"/>
        <v>0</v>
      </c>
      <c r="GD370" s="3">
        <f t="shared" si="267"/>
        <v>0</v>
      </c>
      <c r="GE370" s="3">
        <f t="shared" si="267"/>
        <v>0</v>
      </c>
      <c r="GF370" s="3">
        <f t="shared" si="267"/>
        <v>0</v>
      </c>
      <c r="GG370" s="3">
        <f t="shared" si="267"/>
        <v>0</v>
      </c>
      <c r="GH370" s="3">
        <f t="shared" si="267"/>
        <v>0</v>
      </c>
      <c r="GI370" s="3">
        <f t="shared" si="267"/>
        <v>0</v>
      </c>
      <c r="GJ370" s="3">
        <f t="shared" si="267"/>
        <v>0</v>
      </c>
      <c r="GK370" s="3">
        <f t="shared" si="267"/>
        <v>0</v>
      </c>
      <c r="GL370" s="3">
        <f t="shared" si="267"/>
        <v>0</v>
      </c>
      <c r="GM370" s="3">
        <f t="shared" si="267"/>
        <v>0</v>
      </c>
      <c r="GN370" s="3">
        <f t="shared" si="267"/>
        <v>0</v>
      </c>
      <c r="GO370" s="3">
        <f t="shared" si="267"/>
        <v>0</v>
      </c>
      <c r="GP370" s="3">
        <f t="shared" si="267"/>
        <v>0</v>
      </c>
      <c r="GQ370" s="3">
        <f t="shared" si="267"/>
        <v>0</v>
      </c>
      <c r="GR370" s="3">
        <f t="shared" si="267"/>
        <v>0</v>
      </c>
      <c r="GS370" s="3">
        <f t="shared" si="267"/>
        <v>0</v>
      </c>
      <c r="GT370" s="3">
        <f t="shared" si="267"/>
        <v>0</v>
      </c>
      <c r="GU370" s="3">
        <f t="shared" si="267"/>
        <v>0</v>
      </c>
      <c r="GV370" s="3">
        <f t="shared" si="267"/>
        <v>0</v>
      </c>
      <c r="GW370" s="3">
        <f t="shared" si="267"/>
        <v>0</v>
      </c>
      <c r="GX370" s="3">
        <f t="shared" si="267"/>
        <v>0</v>
      </c>
    </row>
    <row r="372" spans="1:245" x14ac:dyDescent="0.2">
      <c r="A372">
        <v>17</v>
      </c>
      <c r="B372">
        <v>1</v>
      </c>
      <c r="C372">
        <f>ROW(SmtRes!A69)</f>
        <v>69</v>
      </c>
      <c r="D372">
        <f>ROW(EtalonRes!A70)</f>
        <v>70</v>
      </c>
      <c r="E372" t="s">
        <v>354</v>
      </c>
      <c r="F372" t="s">
        <v>355</v>
      </c>
      <c r="G372" t="s">
        <v>356</v>
      </c>
      <c r="H372" t="s">
        <v>357</v>
      </c>
      <c r="I372">
        <v>30</v>
      </c>
      <c r="J372">
        <v>0</v>
      </c>
      <c r="O372">
        <f t="shared" ref="O372:O381" si="268">ROUND(CP372,2)</f>
        <v>35258</v>
      </c>
      <c r="P372">
        <f t="shared" ref="P372:P381" si="269">ROUND(CQ372*I372,2)</f>
        <v>0</v>
      </c>
      <c r="Q372">
        <f t="shared" ref="Q372:Q381" si="270">ROUND(CR372*I372,2)</f>
        <v>0</v>
      </c>
      <c r="R372">
        <f t="shared" ref="R372:R381" si="271">ROUND(CS372*I372,2)</f>
        <v>0</v>
      </c>
      <c r="S372">
        <f t="shared" ref="S372:S381" si="272">ROUND(CT372*I372,2)</f>
        <v>35258</v>
      </c>
      <c r="T372">
        <f t="shared" ref="T372:T381" si="273">ROUND(CU372*I372,2)</f>
        <v>0</v>
      </c>
      <c r="U372">
        <f t="shared" ref="U372:U381" si="274">CV372*I372</f>
        <v>129.60000000000002</v>
      </c>
      <c r="V372">
        <f t="shared" ref="V372:V381" si="275">CW372*I372</f>
        <v>0</v>
      </c>
      <c r="W372">
        <f t="shared" ref="W372:W381" si="276">ROUND(CX372*I372,2)</f>
        <v>0</v>
      </c>
      <c r="X372">
        <f t="shared" ref="X372:X381" si="277">ROUND(CY372,2)</f>
        <v>25385.759999999998</v>
      </c>
      <c r="Y372">
        <f t="shared" ref="Y372:Y381" si="278">ROUND(CZ372,2)</f>
        <v>15513.52</v>
      </c>
      <c r="AA372">
        <v>42446460</v>
      </c>
      <c r="AB372">
        <f t="shared" ref="AB372:AB381" si="279">ROUND((AC372+AD372+AF372),6)</f>
        <v>64.896000000000001</v>
      </c>
      <c r="AC372">
        <f t="shared" ref="AC372:AC381" si="280">ROUND((ES372),6)</f>
        <v>0</v>
      </c>
      <c r="AD372">
        <f t="shared" ref="AD372:AD381" si="281">ROUND((((ET372)-(EU372))+AE372),6)</f>
        <v>0</v>
      </c>
      <c r="AE372">
        <f t="shared" ref="AE372:AE381" si="282">ROUND((EU372),6)</f>
        <v>0</v>
      </c>
      <c r="AF372">
        <f t="shared" ref="AF372:AF380" si="283">ROUND(((EV372*0.8)),6)</f>
        <v>64.896000000000001</v>
      </c>
      <c r="AG372">
        <f t="shared" ref="AG372:AG381" si="284">ROUND((AP372),6)</f>
        <v>0</v>
      </c>
      <c r="AH372">
        <f t="shared" ref="AH372:AH380" si="285">((EW372*0.8))</f>
        <v>4.32</v>
      </c>
      <c r="AI372">
        <f t="shared" ref="AI372:AI381" si="286">(EX372)</f>
        <v>0</v>
      </c>
      <c r="AJ372">
        <f t="shared" ref="AJ372:AJ381" si="287">ROUND((AS372),6)</f>
        <v>0</v>
      </c>
      <c r="AK372">
        <v>81.12</v>
      </c>
      <c r="AL372">
        <v>0</v>
      </c>
      <c r="AM372">
        <v>0</v>
      </c>
      <c r="AN372">
        <v>0</v>
      </c>
      <c r="AO372">
        <v>81.12</v>
      </c>
      <c r="AP372">
        <v>0</v>
      </c>
      <c r="AQ372">
        <v>5.4</v>
      </c>
      <c r="AR372">
        <v>0</v>
      </c>
      <c r="AS372">
        <v>0</v>
      </c>
      <c r="AT372">
        <v>72</v>
      </c>
      <c r="AU372">
        <v>44</v>
      </c>
      <c r="AV372">
        <v>1</v>
      </c>
      <c r="AW372">
        <v>1</v>
      </c>
      <c r="AZ372">
        <v>1</v>
      </c>
      <c r="BA372">
        <v>18.11</v>
      </c>
      <c r="BB372">
        <v>1</v>
      </c>
      <c r="BC372">
        <v>1</v>
      </c>
      <c r="BD372" t="s">
        <v>3</v>
      </c>
      <c r="BE372" t="s">
        <v>3</v>
      </c>
      <c r="BF372" t="s">
        <v>3</v>
      </c>
      <c r="BG372" t="s">
        <v>3</v>
      </c>
      <c r="BH372">
        <v>0</v>
      </c>
      <c r="BI372">
        <v>4</v>
      </c>
      <c r="BJ372" t="s">
        <v>358</v>
      </c>
      <c r="BM372">
        <v>381</v>
      </c>
      <c r="BN372">
        <v>0</v>
      </c>
      <c r="BO372" t="s">
        <v>3</v>
      </c>
      <c r="BP372">
        <v>0</v>
      </c>
      <c r="BQ372">
        <v>50</v>
      </c>
      <c r="BR372">
        <v>0</v>
      </c>
      <c r="BS372">
        <v>1</v>
      </c>
      <c r="BT372">
        <v>1</v>
      </c>
      <c r="BU372">
        <v>1</v>
      </c>
      <c r="BV372">
        <v>1</v>
      </c>
      <c r="BW372">
        <v>1</v>
      </c>
      <c r="BX372">
        <v>1</v>
      </c>
      <c r="BY372" t="s">
        <v>3</v>
      </c>
      <c r="BZ372">
        <v>72</v>
      </c>
      <c r="CA372">
        <v>44</v>
      </c>
      <c r="CF372">
        <v>0</v>
      </c>
      <c r="CG372">
        <v>0</v>
      </c>
      <c r="CM372">
        <v>0</v>
      </c>
      <c r="CN372" t="s">
        <v>467</v>
      </c>
      <c r="CO372">
        <v>0</v>
      </c>
      <c r="CP372">
        <f t="shared" ref="CP372:CP381" si="288">(P372+Q372+S372)</f>
        <v>35258</v>
      </c>
      <c r="CQ372">
        <f t="shared" ref="CQ372:CQ381" si="289">(AC372*BC372*AW372)</f>
        <v>0</v>
      </c>
      <c r="CR372">
        <f t="shared" ref="CR372:CR381" si="290">((((ET372)*BB372-(EU372)*BS372)+AE372*BS372)*AV372)</f>
        <v>0</v>
      </c>
      <c r="CS372">
        <f t="shared" ref="CS372:CS381" si="291">(AE372*BS372*AV372)</f>
        <v>0</v>
      </c>
      <c r="CT372">
        <f t="shared" ref="CT372:CT381" si="292">(AF372*BA372*AV372)</f>
        <v>1175.26656</v>
      </c>
      <c r="CU372">
        <f t="shared" ref="CU372:CU381" si="293">AG372</f>
        <v>0</v>
      </c>
      <c r="CV372">
        <f t="shared" ref="CV372:CV381" si="294">(AH372*AV372)</f>
        <v>4.32</v>
      </c>
      <c r="CW372">
        <f t="shared" ref="CW372:CW381" si="295">AI372</f>
        <v>0</v>
      </c>
      <c r="CX372">
        <f t="shared" ref="CX372:CX381" si="296">AJ372</f>
        <v>0</v>
      </c>
      <c r="CY372">
        <f t="shared" ref="CY372:CY381" si="297">S372*(BZ372/100)</f>
        <v>25385.759999999998</v>
      </c>
      <c r="CZ372">
        <f t="shared" ref="CZ372:CZ381" si="298">S372*(CA372/100)</f>
        <v>15513.52</v>
      </c>
      <c r="DC372" t="s">
        <v>3</v>
      </c>
      <c r="DD372" t="s">
        <v>3</v>
      </c>
      <c r="DE372" t="s">
        <v>3</v>
      </c>
      <c r="DF372" t="s">
        <v>3</v>
      </c>
      <c r="DG372" t="s">
        <v>359</v>
      </c>
      <c r="DH372" t="s">
        <v>3</v>
      </c>
      <c r="DI372" t="s">
        <v>359</v>
      </c>
      <c r="DJ372" t="s">
        <v>3</v>
      </c>
      <c r="DK372" t="s">
        <v>3</v>
      </c>
      <c r="DL372" t="s">
        <v>3</v>
      </c>
      <c r="DM372" t="s">
        <v>3</v>
      </c>
      <c r="DN372">
        <v>75</v>
      </c>
      <c r="DO372">
        <v>70</v>
      </c>
      <c r="DP372">
        <v>1</v>
      </c>
      <c r="DQ372">
        <v>1</v>
      </c>
      <c r="DU372">
        <v>1013</v>
      </c>
      <c r="DV372" t="s">
        <v>357</v>
      </c>
      <c r="DW372" t="s">
        <v>357</v>
      </c>
      <c r="DX372">
        <v>1</v>
      </c>
      <c r="EE372">
        <v>42186428</v>
      </c>
      <c r="EF372">
        <v>50</v>
      </c>
      <c r="EG372" t="s">
        <v>360</v>
      </c>
      <c r="EH372">
        <v>0</v>
      </c>
      <c r="EI372" t="s">
        <v>3</v>
      </c>
      <c r="EJ372">
        <v>4</v>
      </c>
      <c r="EK372">
        <v>381</v>
      </c>
      <c r="EL372" t="s">
        <v>361</v>
      </c>
      <c r="EM372" t="s">
        <v>362</v>
      </c>
      <c r="EO372" t="s">
        <v>363</v>
      </c>
      <c r="EQ372">
        <v>0</v>
      </c>
      <c r="ER372">
        <v>81.12</v>
      </c>
      <c r="ES372">
        <v>0</v>
      </c>
      <c r="ET372">
        <v>0</v>
      </c>
      <c r="EU372">
        <v>0</v>
      </c>
      <c r="EV372">
        <v>81.12</v>
      </c>
      <c r="EW372">
        <v>5.4</v>
      </c>
      <c r="EX372">
        <v>0</v>
      </c>
      <c r="EY372">
        <v>0</v>
      </c>
      <c r="FQ372">
        <v>0</v>
      </c>
      <c r="FR372">
        <f t="shared" ref="FR372:FR381" si="299">ROUND(IF(AND(BH372=3,BI372=3),P372,0),2)</f>
        <v>0</v>
      </c>
      <c r="FS372">
        <v>0</v>
      </c>
      <c r="FX372">
        <v>75</v>
      </c>
      <c r="FY372">
        <v>70</v>
      </c>
      <c r="GA372" t="s">
        <v>3</v>
      </c>
      <c r="GD372">
        <v>0</v>
      </c>
      <c r="GF372">
        <v>-809514091</v>
      </c>
      <c r="GG372">
        <v>2</v>
      </c>
      <c r="GH372">
        <v>1</v>
      </c>
      <c r="GI372">
        <v>2</v>
      </c>
      <c r="GJ372">
        <v>0</v>
      </c>
      <c r="GK372">
        <f>ROUND(R372*(R12)/100,2)</f>
        <v>0</v>
      </c>
      <c r="GL372">
        <f t="shared" ref="GL372:GL381" si="300">ROUND(IF(AND(BH372=3,BI372=3,FS372&lt;&gt;0),P372,0),2)</f>
        <v>0</v>
      </c>
      <c r="GM372">
        <f t="shared" ref="GM372:GM381" si="301">ROUND(O372+X372+Y372+GK372,2)+GX372</f>
        <v>76157.279999999999</v>
      </c>
      <c r="GN372">
        <f t="shared" ref="GN372:GN381" si="302">IF(OR(BI372=0,BI372=1),ROUND(O372+X372+Y372+GK372,2),0)</f>
        <v>0</v>
      </c>
      <c r="GO372">
        <f t="shared" ref="GO372:GO381" si="303">IF(BI372=2,ROUND(O372+X372+Y372+GK372,2),0)</f>
        <v>0</v>
      </c>
      <c r="GP372">
        <f t="shared" ref="GP372:GP381" si="304">IF(BI372=4,ROUND(O372+X372+Y372+GK372,2)+GX372,0)</f>
        <v>76157.279999999999</v>
      </c>
      <c r="GR372">
        <v>0</v>
      </c>
      <c r="GS372">
        <v>3</v>
      </c>
      <c r="GT372">
        <v>0</v>
      </c>
      <c r="GU372" t="s">
        <v>3</v>
      </c>
      <c r="GV372">
        <f t="shared" ref="GV372:GV381" si="305">ROUND(GT372,6)</f>
        <v>0</v>
      </c>
      <c r="GW372">
        <v>1</v>
      </c>
      <c r="GX372">
        <f t="shared" ref="GX372:GX381" si="306">ROUND(GV372*GW372*I372,2)</f>
        <v>0</v>
      </c>
      <c r="HA372">
        <v>0</v>
      </c>
      <c r="HB372">
        <v>0</v>
      </c>
      <c r="IK372">
        <v>0</v>
      </c>
    </row>
    <row r="373" spans="1:245" x14ac:dyDescent="0.2">
      <c r="A373">
        <v>17</v>
      </c>
      <c r="B373">
        <v>1</v>
      </c>
      <c r="C373">
        <f>ROW(SmtRes!A70)</f>
        <v>70</v>
      </c>
      <c r="D373">
        <f>ROW(EtalonRes!A71)</f>
        <v>71</v>
      </c>
      <c r="E373" t="s">
        <v>364</v>
      </c>
      <c r="F373" t="s">
        <v>365</v>
      </c>
      <c r="G373" t="s">
        <v>366</v>
      </c>
      <c r="H373" t="s">
        <v>367</v>
      </c>
      <c r="I373">
        <v>4</v>
      </c>
      <c r="J373">
        <v>0</v>
      </c>
      <c r="O373">
        <f t="shared" si="268"/>
        <v>25040.48</v>
      </c>
      <c r="P373">
        <f t="shared" si="269"/>
        <v>0</v>
      </c>
      <c r="Q373">
        <f t="shared" si="270"/>
        <v>0</v>
      </c>
      <c r="R373">
        <f t="shared" si="271"/>
        <v>0</v>
      </c>
      <c r="S373">
        <f t="shared" si="272"/>
        <v>25040.48</v>
      </c>
      <c r="T373">
        <f t="shared" si="273"/>
        <v>0</v>
      </c>
      <c r="U373">
        <f t="shared" si="274"/>
        <v>83.2</v>
      </c>
      <c r="V373">
        <f t="shared" si="275"/>
        <v>0</v>
      </c>
      <c r="W373">
        <f t="shared" si="276"/>
        <v>0</v>
      </c>
      <c r="X373">
        <f t="shared" si="277"/>
        <v>18029.150000000001</v>
      </c>
      <c r="Y373">
        <f t="shared" si="278"/>
        <v>11017.81</v>
      </c>
      <c r="AA373">
        <v>42446460</v>
      </c>
      <c r="AB373">
        <f t="shared" si="279"/>
        <v>345.67200000000003</v>
      </c>
      <c r="AC373">
        <f t="shared" si="280"/>
        <v>0</v>
      </c>
      <c r="AD373">
        <f t="shared" si="281"/>
        <v>0</v>
      </c>
      <c r="AE373">
        <f t="shared" si="282"/>
        <v>0</v>
      </c>
      <c r="AF373">
        <f t="shared" si="283"/>
        <v>345.67200000000003</v>
      </c>
      <c r="AG373">
        <f t="shared" si="284"/>
        <v>0</v>
      </c>
      <c r="AH373">
        <f t="shared" si="285"/>
        <v>20.8</v>
      </c>
      <c r="AI373">
        <f t="shared" si="286"/>
        <v>0</v>
      </c>
      <c r="AJ373">
        <f t="shared" si="287"/>
        <v>0</v>
      </c>
      <c r="AK373">
        <v>432.09</v>
      </c>
      <c r="AL373">
        <v>0</v>
      </c>
      <c r="AM373">
        <v>0</v>
      </c>
      <c r="AN373">
        <v>0</v>
      </c>
      <c r="AO373">
        <v>432.09</v>
      </c>
      <c r="AP373">
        <v>0</v>
      </c>
      <c r="AQ373">
        <v>26</v>
      </c>
      <c r="AR373">
        <v>0</v>
      </c>
      <c r="AS373">
        <v>0</v>
      </c>
      <c r="AT373">
        <v>72</v>
      </c>
      <c r="AU373">
        <v>44</v>
      </c>
      <c r="AV373">
        <v>1</v>
      </c>
      <c r="AW373">
        <v>1</v>
      </c>
      <c r="AZ373">
        <v>1</v>
      </c>
      <c r="BA373">
        <v>18.11</v>
      </c>
      <c r="BB373">
        <v>18.11</v>
      </c>
      <c r="BC373">
        <v>18.11</v>
      </c>
      <c r="BD373" t="s">
        <v>3</v>
      </c>
      <c r="BE373" t="s">
        <v>3</v>
      </c>
      <c r="BF373" t="s">
        <v>3</v>
      </c>
      <c r="BG373" t="s">
        <v>3</v>
      </c>
      <c r="BH373">
        <v>0</v>
      </c>
      <c r="BI373">
        <v>4</v>
      </c>
      <c r="BJ373" t="s">
        <v>368</v>
      </c>
      <c r="BM373">
        <v>381</v>
      </c>
      <c r="BN373">
        <v>0</v>
      </c>
      <c r="BO373" t="s">
        <v>3</v>
      </c>
      <c r="BP373">
        <v>0</v>
      </c>
      <c r="BQ373">
        <v>50</v>
      </c>
      <c r="BR373">
        <v>0</v>
      </c>
      <c r="BS373">
        <v>18.11</v>
      </c>
      <c r="BT373">
        <v>1</v>
      </c>
      <c r="BU373">
        <v>1</v>
      </c>
      <c r="BV373">
        <v>1</v>
      </c>
      <c r="BW373">
        <v>1</v>
      </c>
      <c r="BX373">
        <v>1</v>
      </c>
      <c r="BY373" t="s">
        <v>3</v>
      </c>
      <c r="BZ373">
        <v>72</v>
      </c>
      <c r="CA373">
        <v>44</v>
      </c>
      <c r="CF373">
        <v>0</v>
      </c>
      <c r="CG373">
        <v>0</v>
      </c>
      <c r="CM373">
        <v>0</v>
      </c>
      <c r="CN373" t="s">
        <v>468</v>
      </c>
      <c r="CO373">
        <v>0</v>
      </c>
      <c r="CP373">
        <f t="shared" si="288"/>
        <v>25040.48</v>
      </c>
      <c r="CQ373">
        <f t="shared" si="289"/>
        <v>0</v>
      </c>
      <c r="CR373">
        <f t="shared" si="290"/>
        <v>0</v>
      </c>
      <c r="CS373">
        <f t="shared" si="291"/>
        <v>0</v>
      </c>
      <c r="CT373">
        <f t="shared" si="292"/>
        <v>6260.1199200000001</v>
      </c>
      <c r="CU373">
        <f t="shared" si="293"/>
        <v>0</v>
      </c>
      <c r="CV373">
        <f t="shared" si="294"/>
        <v>20.8</v>
      </c>
      <c r="CW373">
        <f t="shared" si="295"/>
        <v>0</v>
      </c>
      <c r="CX373">
        <f t="shared" si="296"/>
        <v>0</v>
      </c>
      <c r="CY373">
        <f t="shared" si="297"/>
        <v>18029.1456</v>
      </c>
      <c r="CZ373">
        <f t="shared" si="298"/>
        <v>11017.8112</v>
      </c>
      <c r="DC373" t="s">
        <v>3</v>
      </c>
      <c r="DD373" t="s">
        <v>3</v>
      </c>
      <c r="DE373" t="s">
        <v>3</v>
      </c>
      <c r="DF373" t="s">
        <v>3</v>
      </c>
      <c r="DG373" t="s">
        <v>359</v>
      </c>
      <c r="DH373" t="s">
        <v>3</v>
      </c>
      <c r="DI373" t="s">
        <v>359</v>
      </c>
      <c r="DJ373" t="s">
        <v>3</v>
      </c>
      <c r="DK373" t="s">
        <v>3</v>
      </c>
      <c r="DL373" t="s">
        <v>3</v>
      </c>
      <c r="DM373" t="s">
        <v>3</v>
      </c>
      <c r="DN373">
        <v>75</v>
      </c>
      <c r="DO373">
        <v>70</v>
      </c>
      <c r="DP373">
        <v>1</v>
      </c>
      <c r="DQ373">
        <v>1</v>
      </c>
      <c r="DU373">
        <v>1013</v>
      </c>
      <c r="DV373" t="s">
        <v>367</v>
      </c>
      <c r="DW373" t="s">
        <v>367</v>
      </c>
      <c r="DX373">
        <v>1</v>
      </c>
      <c r="EE373">
        <v>42186428</v>
      </c>
      <c r="EF373">
        <v>50</v>
      </c>
      <c r="EG373" t="s">
        <v>360</v>
      </c>
      <c r="EH373">
        <v>0</v>
      </c>
      <c r="EI373" t="s">
        <v>3</v>
      </c>
      <c r="EJ373">
        <v>4</v>
      </c>
      <c r="EK373">
        <v>381</v>
      </c>
      <c r="EL373" t="s">
        <v>361</v>
      </c>
      <c r="EM373" t="s">
        <v>362</v>
      </c>
      <c r="EO373" t="s">
        <v>369</v>
      </c>
      <c r="EQ373">
        <v>131072</v>
      </c>
      <c r="ER373">
        <v>432.09</v>
      </c>
      <c r="ES373">
        <v>0</v>
      </c>
      <c r="ET373">
        <v>0</v>
      </c>
      <c r="EU373">
        <v>0</v>
      </c>
      <c r="EV373">
        <v>432.09</v>
      </c>
      <c r="EW373">
        <v>26</v>
      </c>
      <c r="EX373">
        <v>0</v>
      </c>
      <c r="EY373">
        <v>0</v>
      </c>
      <c r="FQ373">
        <v>0</v>
      </c>
      <c r="FR373">
        <f t="shared" si="299"/>
        <v>0</v>
      </c>
      <c r="FS373">
        <v>0</v>
      </c>
      <c r="FX373">
        <v>75</v>
      </c>
      <c r="FY373">
        <v>70</v>
      </c>
      <c r="GA373" t="s">
        <v>3</v>
      </c>
      <c r="GD373">
        <v>0</v>
      </c>
      <c r="GF373">
        <v>1652092705</v>
      </c>
      <c r="GG373">
        <v>2</v>
      </c>
      <c r="GH373">
        <v>0</v>
      </c>
      <c r="GI373">
        <v>0</v>
      </c>
      <c r="GJ373">
        <v>0</v>
      </c>
      <c r="GK373">
        <f>ROUND(R373*(R12)/100,2)</f>
        <v>0</v>
      </c>
      <c r="GL373">
        <f t="shared" si="300"/>
        <v>0</v>
      </c>
      <c r="GM373">
        <f t="shared" si="301"/>
        <v>54087.44</v>
      </c>
      <c r="GN373">
        <f t="shared" si="302"/>
        <v>0</v>
      </c>
      <c r="GO373">
        <f t="shared" si="303"/>
        <v>0</v>
      </c>
      <c r="GP373">
        <f t="shared" si="304"/>
        <v>54087.44</v>
      </c>
      <c r="GR373">
        <v>0</v>
      </c>
      <c r="GS373">
        <v>0</v>
      </c>
      <c r="GT373">
        <v>0</v>
      </c>
      <c r="GU373" t="s">
        <v>3</v>
      </c>
      <c r="GV373">
        <f t="shared" si="305"/>
        <v>0</v>
      </c>
      <c r="GW373">
        <v>1</v>
      </c>
      <c r="GX373">
        <f t="shared" si="306"/>
        <v>0</v>
      </c>
      <c r="HA373">
        <v>0</v>
      </c>
      <c r="HB373">
        <v>0</v>
      </c>
      <c r="IK373">
        <v>0</v>
      </c>
    </row>
    <row r="374" spans="1:245" x14ac:dyDescent="0.2">
      <c r="A374">
        <v>17</v>
      </c>
      <c r="B374">
        <v>1</v>
      </c>
      <c r="C374">
        <f>ROW(SmtRes!A71)</f>
        <v>71</v>
      </c>
      <c r="D374">
        <f>ROW(EtalonRes!A72)</f>
        <v>72</v>
      </c>
      <c r="E374" t="s">
        <v>370</v>
      </c>
      <c r="F374" t="s">
        <v>371</v>
      </c>
      <c r="G374" t="s">
        <v>372</v>
      </c>
      <c r="H374" t="s">
        <v>367</v>
      </c>
      <c r="I374">
        <v>25</v>
      </c>
      <c r="J374">
        <v>0</v>
      </c>
      <c r="O374">
        <f t="shared" si="268"/>
        <v>938021.94</v>
      </c>
      <c r="P374">
        <f t="shared" si="269"/>
        <v>0</v>
      </c>
      <c r="Q374">
        <f t="shared" si="270"/>
        <v>0</v>
      </c>
      <c r="R374">
        <f t="shared" si="271"/>
        <v>0</v>
      </c>
      <c r="S374">
        <f t="shared" si="272"/>
        <v>938021.94</v>
      </c>
      <c r="T374">
        <f t="shared" si="273"/>
        <v>0</v>
      </c>
      <c r="U374">
        <f t="shared" si="274"/>
        <v>2860</v>
      </c>
      <c r="V374">
        <f t="shared" si="275"/>
        <v>0</v>
      </c>
      <c r="W374">
        <f t="shared" si="276"/>
        <v>0</v>
      </c>
      <c r="X374">
        <f t="shared" si="277"/>
        <v>675375.8</v>
      </c>
      <c r="Y374">
        <f t="shared" si="278"/>
        <v>412729.65</v>
      </c>
      <c r="AA374">
        <v>42446460</v>
      </c>
      <c r="AB374">
        <f t="shared" si="279"/>
        <v>2071.8319999999999</v>
      </c>
      <c r="AC374">
        <f t="shared" si="280"/>
        <v>0</v>
      </c>
      <c r="AD374">
        <f t="shared" si="281"/>
        <v>0</v>
      </c>
      <c r="AE374">
        <f t="shared" si="282"/>
        <v>0</v>
      </c>
      <c r="AF374">
        <f t="shared" si="283"/>
        <v>2071.8319999999999</v>
      </c>
      <c r="AG374">
        <f t="shared" si="284"/>
        <v>0</v>
      </c>
      <c r="AH374">
        <f t="shared" si="285"/>
        <v>114.4</v>
      </c>
      <c r="AI374">
        <f t="shared" si="286"/>
        <v>0</v>
      </c>
      <c r="AJ374">
        <f t="shared" si="287"/>
        <v>0</v>
      </c>
      <c r="AK374">
        <v>2589.79</v>
      </c>
      <c r="AL374">
        <v>0</v>
      </c>
      <c r="AM374">
        <v>0</v>
      </c>
      <c r="AN374">
        <v>0</v>
      </c>
      <c r="AO374">
        <v>2589.79</v>
      </c>
      <c r="AP374">
        <v>0</v>
      </c>
      <c r="AQ374">
        <v>143</v>
      </c>
      <c r="AR374">
        <v>0</v>
      </c>
      <c r="AS374">
        <v>0</v>
      </c>
      <c r="AT374">
        <v>72</v>
      </c>
      <c r="AU374">
        <v>44</v>
      </c>
      <c r="AV374">
        <v>1</v>
      </c>
      <c r="AW374">
        <v>1</v>
      </c>
      <c r="AZ374">
        <v>1</v>
      </c>
      <c r="BA374">
        <v>18.11</v>
      </c>
      <c r="BB374">
        <v>18.11</v>
      </c>
      <c r="BC374">
        <v>18.11</v>
      </c>
      <c r="BD374" t="s">
        <v>3</v>
      </c>
      <c r="BE374" t="s">
        <v>3</v>
      </c>
      <c r="BF374" t="s">
        <v>3</v>
      </c>
      <c r="BG374" t="s">
        <v>3</v>
      </c>
      <c r="BH374">
        <v>0</v>
      </c>
      <c r="BI374">
        <v>4</v>
      </c>
      <c r="BJ374" t="s">
        <v>373</v>
      </c>
      <c r="BM374">
        <v>381</v>
      </c>
      <c r="BN374">
        <v>0</v>
      </c>
      <c r="BO374" t="s">
        <v>3</v>
      </c>
      <c r="BP374">
        <v>0</v>
      </c>
      <c r="BQ374">
        <v>50</v>
      </c>
      <c r="BR374">
        <v>0</v>
      </c>
      <c r="BS374">
        <v>18.11</v>
      </c>
      <c r="BT374">
        <v>1</v>
      </c>
      <c r="BU374">
        <v>1</v>
      </c>
      <c r="BV374">
        <v>1</v>
      </c>
      <c r="BW374">
        <v>1</v>
      </c>
      <c r="BX374">
        <v>1</v>
      </c>
      <c r="BY374" t="s">
        <v>3</v>
      </c>
      <c r="BZ374">
        <v>72</v>
      </c>
      <c r="CA374">
        <v>44</v>
      </c>
      <c r="CF374">
        <v>0</v>
      </c>
      <c r="CG374">
        <v>0</v>
      </c>
      <c r="CM374">
        <v>0</v>
      </c>
      <c r="CN374" t="s">
        <v>468</v>
      </c>
      <c r="CO374">
        <v>0</v>
      </c>
      <c r="CP374">
        <f t="shared" si="288"/>
        <v>938021.94</v>
      </c>
      <c r="CQ374">
        <f t="shared" si="289"/>
        <v>0</v>
      </c>
      <c r="CR374">
        <f t="shared" si="290"/>
        <v>0</v>
      </c>
      <c r="CS374">
        <f t="shared" si="291"/>
        <v>0</v>
      </c>
      <c r="CT374">
        <f t="shared" si="292"/>
        <v>37520.877519999995</v>
      </c>
      <c r="CU374">
        <f t="shared" si="293"/>
        <v>0</v>
      </c>
      <c r="CV374">
        <f t="shared" si="294"/>
        <v>114.4</v>
      </c>
      <c r="CW374">
        <f t="shared" si="295"/>
        <v>0</v>
      </c>
      <c r="CX374">
        <f t="shared" si="296"/>
        <v>0</v>
      </c>
      <c r="CY374">
        <f t="shared" si="297"/>
        <v>675375.79679999989</v>
      </c>
      <c r="CZ374">
        <f t="shared" si="298"/>
        <v>412729.65359999996</v>
      </c>
      <c r="DC374" t="s">
        <v>3</v>
      </c>
      <c r="DD374" t="s">
        <v>3</v>
      </c>
      <c r="DE374" t="s">
        <v>3</v>
      </c>
      <c r="DF374" t="s">
        <v>3</v>
      </c>
      <c r="DG374" t="s">
        <v>359</v>
      </c>
      <c r="DH374" t="s">
        <v>3</v>
      </c>
      <c r="DI374" t="s">
        <v>359</v>
      </c>
      <c r="DJ374" t="s">
        <v>3</v>
      </c>
      <c r="DK374" t="s">
        <v>3</v>
      </c>
      <c r="DL374" t="s">
        <v>3</v>
      </c>
      <c r="DM374" t="s">
        <v>3</v>
      </c>
      <c r="DN374">
        <v>75</v>
      </c>
      <c r="DO374">
        <v>70</v>
      </c>
      <c r="DP374">
        <v>1</v>
      </c>
      <c r="DQ374">
        <v>1</v>
      </c>
      <c r="DU374">
        <v>1013</v>
      </c>
      <c r="DV374" t="s">
        <v>367</v>
      </c>
      <c r="DW374" t="s">
        <v>367</v>
      </c>
      <c r="DX374">
        <v>1</v>
      </c>
      <c r="EE374">
        <v>42186428</v>
      </c>
      <c r="EF374">
        <v>50</v>
      </c>
      <c r="EG374" t="s">
        <v>360</v>
      </c>
      <c r="EH374">
        <v>0</v>
      </c>
      <c r="EI374" t="s">
        <v>3</v>
      </c>
      <c r="EJ374">
        <v>4</v>
      </c>
      <c r="EK374">
        <v>381</v>
      </c>
      <c r="EL374" t="s">
        <v>361</v>
      </c>
      <c r="EM374" t="s">
        <v>362</v>
      </c>
      <c r="EO374" t="s">
        <v>369</v>
      </c>
      <c r="EQ374">
        <v>131072</v>
      </c>
      <c r="ER374">
        <v>2589.79</v>
      </c>
      <c r="ES374">
        <v>0</v>
      </c>
      <c r="ET374">
        <v>0</v>
      </c>
      <c r="EU374">
        <v>0</v>
      </c>
      <c r="EV374">
        <v>2589.79</v>
      </c>
      <c r="EW374">
        <v>143</v>
      </c>
      <c r="EX374">
        <v>0</v>
      </c>
      <c r="EY374">
        <v>0</v>
      </c>
      <c r="FQ374">
        <v>0</v>
      </c>
      <c r="FR374">
        <f t="shared" si="299"/>
        <v>0</v>
      </c>
      <c r="FS374">
        <v>0</v>
      </c>
      <c r="FX374">
        <v>75</v>
      </c>
      <c r="FY374">
        <v>70</v>
      </c>
      <c r="GA374" t="s">
        <v>3</v>
      </c>
      <c r="GD374">
        <v>0</v>
      </c>
      <c r="GF374">
        <v>-208501610</v>
      </c>
      <c r="GG374">
        <v>2</v>
      </c>
      <c r="GH374">
        <v>0</v>
      </c>
      <c r="GI374">
        <v>0</v>
      </c>
      <c r="GJ374">
        <v>0</v>
      </c>
      <c r="GK374">
        <f>ROUND(R374*(R12)/100,2)</f>
        <v>0</v>
      </c>
      <c r="GL374">
        <f t="shared" si="300"/>
        <v>0</v>
      </c>
      <c r="GM374">
        <f t="shared" si="301"/>
        <v>2026127.39</v>
      </c>
      <c r="GN374">
        <f t="shared" si="302"/>
        <v>0</v>
      </c>
      <c r="GO374">
        <f t="shared" si="303"/>
        <v>0</v>
      </c>
      <c r="GP374">
        <f t="shared" si="304"/>
        <v>2026127.39</v>
      </c>
      <c r="GR374">
        <v>0</v>
      </c>
      <c r="GS374">
        <v>0</v>
      </c>
      <c r="GT374">
        <v>0</v>
      </c>
      <c r="GU374" t="s">
        <v>3</v>
      </c>
      <c r="GV374">
        <f t="shared" si="305"/>
        <v>0</v>
      </c>
      <c r="GW374">
        <v>1</v>
      </c>
      <c r="GX374">
        <f t="shared" si="306"/>
        <v>0</v>
      </c>
      <c r="HA374">
        <v>0</v>
      </c>
      <c r="HB374">
        <v>0</v>
      </c>
      <c r="IK374">
        <v>0</v>
      </c>
    </row>
    <row r="375" spans="1:245" x14ac:dyDescent="0.2">
      <c r="A375">
        <v>17</v>
      </c>
      <c r="B375">
        <v>1</v>
      </c>
      <c r="C375">
        <f>ROW(SmtRes!A72)</f>
        <v>72</v>
      </c>
      <c r="D375">
        <f>ROW(EtalonRes!A73)</f>
        <v>73</v>
      </c>
      <c r="E375" t="s">
        <v>374</v>
      </c>
      <c r="F375" t="s">
        <v>375</v>
      </c>
      <c r="G375" t="s">
        <v>376</v>
      </c>
      <c r="H375" t="s">
        <v>377</v>
      </c>
      <c r="I375">
        <v>4</v>
      </c>
      <c r="J375">
        <v>0</v>
      </c>
      <c r="O375">
        <f t="shared" si="268"/>
        <v>330.33</v>
      </c>
      <c r="P375">
        <f t="shared" si="269"/>
        <v>0</v>
      </c>
      <c r="Q375">
        <f t="shared" si="270"/>
        <v>0</v>
      </c>
      <c r="R375">
        <f t="shared" si="271"/>
        <v>0</v>
      </c>
      <c r="S375">
        <f t="shared" si="272"/>
        <v>330.33</v>
      </c>
      <c r="T375">
        <f t="shared" si="273"/>
        <v>0</v>
      </c>
      <c r="U375">
        <f t="shared" si="274"/>
        <v>1.1519999999999999</v>
      </c>
      <c r="V375">
        <f t="shared" si="275"/>
        <v>0</v>
      </c>
      <c r="W375">
        <f t="shared" si="276"/>
        <v>0</v>
      </c>
      <c r="X375">
        <f t="shared" si="277"/>
        <v>237.84</v>
      </c>
      <c r="Y375">
        <f t="shared" si="278"/>
        <v>145.35</v>
      </c>
      <c r="AA375">
        <v>42446460</v>
      </c>
      <c r="AB375">
        <f t="shared" si="279"/>
        <v>4.5599999999999996</v>
      </c>
      <c r="AC375">
        <f t="shared" si="280"/>
        <v>0</v>
      </c>
      <c r="AD375">
        <f t="shared" si="281"/>
        <v>0</v>
      </c>
      <c r="AE375">
        <f t="shared" si="282"/>
        <v>0</v>
      </c>
      <c r="AF375">
        <f t="shared" si="283"/>
        <v>4.5599999999999996</v>
      </c>
      <c r="AG375">
        <f t="shared" si="284"/>
        <v>0</v>
      </c>
      <c r="AH375">
        <f t="shared" si="285"/>
        <v>0.28799999999999998</v>
      </c>
      <c r="AI375">
        <f t="shared" si="286"/>
        <v>0</v>
      </c>
      <c r="AJ375">
        <f t="shared" si="287"/>
        <v>0</v>
      </c>
      <c r="AK375">
        <v>5.7</v>
      </c>
      <c r="AL375">
        <v>0</v>
      </c>
      <c r="AM375">
        <v>0</v>
      </c>
      <c r="AN375">
        <v>0</v>
      </c>
      <c r="AO375">
        <v>5.7</v>
      </c>
      <c r="AP375">
        <v>0</v>
      </c>
      <c r="AQ375">
        <v>0.36</v>
      </c>
      <c r="AR375">
        <v>0</v>
      </c>
      <c r="AS375">
        <v>0</v>
      </c>
      <c r="AT375">
        <v>72</v>
      </c>
      <c r="AU375">
        <v>44</v>
      </c>
      <c r="AV375">
        <v>1</v>
      </c>
      <c r="AW375">
        <v>1</v>
      </c>
      <c r="AZ375">
        <v>1</v>
      </c>
      <c r="BA375">
        <v>18.11</v>
      </c>
      <c r="BB375">
        <v>18.11</v>
      </c>
      <c r="BC375">
        <v>18.11</v>
      </c>
      <c r="BD375" t="s">
        <v>3</v>
      </c>
      <c r="BE375" t="s">
        <v>3</v>
      </c>
      <c r="BF375" t="s">
        <v>3</v>
      </c>
      <c r="BG375" t="s">
        <v>3</v>
      </c>
      <c r="BH375">
        <v>0</v>
      </c>
      <c r="BI375">
        <v>4</v>
      </c>
      <c r="BJ375" t="s">
        <v>378</v>
      </c>
      <c r="BM375">
        <v>381</v>
      </c>
      <c r="BN375">
        <v>0</v>
      </c>
      <c r="BO375" t="s">
        <v>3</v>
      </c>
      <c r="BP375">
        <v>0</v>
      </c>
      <c r="BQ375">
        <v>50</v>
      </c>
      <c r="BR375">
        <v>0</v>
      </c>
      <c r="BS375">
        <v>18.11</v>
      </c>
      <c r="BT375">
        <v>1</v>
      </c>
      <c r="BU375">
        <v>1</v>
      </c>
      <c r="BV375">
        <v>1</v>
      </c>
      <c r="BW375">
        <v>1</v>
      </c>
      <c r="BX375">
        <v>1</v>
      </c>
      <c r="BY375" t="s">
        <v>3</v>
      </c>
      <c r="BZ375">
        <v>72</v>
      </c>
      <c r="CA375">
        <v>44</v>
      </c>
      <c r="CF375">
        <v>0</v>
      </c>
      <c r="CG375">
        <v>0</v>
      </c>
      <c r="CM375">
        <v>0</v>
      </c>
      <c r="CN375" t="s">
        <v>468</v>
      </c>
      <c r="CO375">
        <v>0</v>
      </c>
      <c r="CP375">
        <f t="shared" si="288"/>
        <v>330.33</v>
      </c>
      <c r="CQ375">
        <f t="shared" si="289"/>
        <v>0</v>
      </c>
      <c r="CR375">
        <f t="shared" si="290"/>
        <v>0</v>
      </c>
      <c r="CS375">
        <f t="shared" si="291"/>
        <v>0</v>
      </c>
      <c r="CT375">
        <f t="shared" si="292"/>
        <v>82.581599999999995</v>
      </c>
      <c r="CU375">
        <f t="shared" si="293"/>
        <v>0</v>
      </c>
      <c r="CV375">
        <f t="shared" si="294"/>
        <v>0.28799999999999998</v>
      </c>
      <c r="CW375">
        <f t="shared" si="295"/>
        <v>0</v>
      </c>
      <c r="CX375">
        <f t="shared" si="296"/>
        <v>0</v>
      </c>
      <c r="CY375">
        <f t="shared" si="297"/>
        <v>237.83759999999998</v>
      </c>
      <c r="CZ375">
        <f t="shared" si="298"/>
        <v>145.34520000000001</v>
      </c>
      <c r="DC375" t="s">
        <v>3</v>
      </c>
      <c r="DD375" t="s">
        <v>3</v>
      </c>
      <c r="DE375" t="s">
        <v>3</v>
      </c>
      <c r="DF375" t="s">
        <v>3</v>
      </c>
      <c r="DG375" t="s">
        <v>359</v>
      </c>
      <c r="DH375" t="s">
        <v>3</v>
      </c>
      <c r="DI375" t="s">
        <v>359</v>
      </c>
      <c r="DJ375" t="s">
        <v>3</v>
      </c>
      <c r="DK375" t="s">
        <v>3</v>
      </c>
      <c r="DL375" t="s">
        <v>3</v>
      </c>
      <c r="DM375" t="s">
        <v>3</v>
      </c>
      <c r="DN375">
        <v>75</v>
      </c>
      <c r="DO375">
        <v>70</v>
      </c>
      <c r="DP375">
        <v>1</v>
      </c>
      <c r="DQ375">
        <v>1</v>
      </c>
      <c r="DU375">
        <v>1013</v>
      </c>
      <c r="DV375" t="s">
        <v>377</v>
      </c>
      <c r="DW375" t="s">
        <v>377</v>
      </c>
      <c r="DX375">
        <v>1</v>
      </c>
      <c r="EE375">
        <v>42186428</v>
      </c>
      <c r="EF375">
        <v>50</v>
      </c>
      <c r="EG375" t="s">
        <v>360</v>
      </c>
      <c r="EH375">
        <v>0</v>
      </c>
      <c r="EI375" t="s">
        <v>3</v>
      </c>
      <c r="EJ375">
        <v>4</v>
      </c>
      <c r="EK375">
        <v>381</v>
      </c>
      <c r="EL375" t="s">
        <v>361</v>
      </c>
      <c r="EM375" t="s">
        <v>362</v>
      </c>
      <c r="EO375" t="s">
        <v>379</v>
      </c>
      <c r="EQ375">
        <v>131072</v>
      </c>
      <c r="ER375">
        <v>5.7</v>
      </c>
      <c r="ES375">
        <v>0</v>
      </c>
      <c r="ET375">
        <v>0</v>
      </c>
      <c r="EU375">
        <v>0</v>
      </c>
      <c r="EV375">
        <v>5.7</v>
      </c>
      <c r="EW375">
        <v>0.36</v>
      </c>
      <c r="EX375">
        <v>0</v>
      </c>
      <c r="EY375">
        <v>0</v>
      </c>
      <c r="FQ375">
        <v>0</v>
      </c>
      <c r="FR375">
        <f t="shared" si="299"/>
        <v>0</v>
      </c>
      <c r="FS375">
        <v>0</v>
      </c>
      <c r="FX375">
        <v>75</v>
      </c>
      <c r="FY375">
        <v>70</v>
      </c>
      <c r="GA375" t="s">
        <v>3</v>
      </c>
      <c r="GD375">
        <v>0</v>
      </c>
      <c r="GF375">
        <v>-119820855</v>
      </c>
      <c r="GG375">
        <v>2</v>
      </c>
      <c r="GH375">
        <v>0</v>
      </c>
      <c r="GI375">
        <v>0</v>
      </c>
      <c r="GJ375">
        <v>0</v>
      </c>
      <c r="GK375">
        <f>ROUND(R375*(R12)/100,2)</f>
        <v>0</v>
      </c>
      <c r="GL375">
        <f t="shared" si="300"/>
        <v>0</v>
      </c>
      <c r="GM375">
        <f t="shared" si="301"/>
        <v>713.52</v>
      </c>
      <c r="GN375">
        <f t="shared" si="302"/>
        <v>0</v>
      </c>
      <c r="GO375">
        <f t="shared" si="303"/>
        <v>0</v>
      </c>
      <c r="GP375">
        <f t="shared" si="304"/>
        <v>713.52</v>
      </c>
      <c r="GR375">
        <v>0</v>
      </c>
      <c r="GS375">
        <v>0</v>
      </c>
      <c r="GT375">
        <v>0</v>
      </c>
      <c r="GU375" t="s">
        <v>3</v>
      </c>
      <c r="GV375">
        <f t="shared" si="305"/>
        <v>0</v>
      </c>
      <c r="GW375">
        <v>1</v>
      </c>
      <c r="GX375">
        <f t="shared" si="306"/>
        <v>0</v>
      </c>
      <c r="HA375">
        <v>0</v>
      </c>
      <c r="HB375">
        <v>0</v>
      </c>
      <c r="IK375">
        <v>0</v>
      </c>
    </row>
    <row r="376" spans="1:245" x14ac:dyDescent="0.2">
      <c r="A376">
        <v>17</v>
      </c>
      <c r="B376">
        <v>1</v>
      </c>
      <c r="C376">
        <f>ROW(SmtRes!A73)</f>
        <v>73</v>
      </c>
      <c r="D376">
        <f>ROW(EtalonRes!A74)</f>
        <v>74</v>
      </c>
      <c r="E376" t="s">
        <v>380</v>
      </c>
      <c r="F376" t="s">
        <v>381</v>
      </c>
      <c r="G376" t="s">
        <v>382</v>
      </c>
      <c r="H376" t="s">
        <v>383</v>
      </c>
      <c r="I376">
        <v>4</v>
      </c>
      <c r="J376">
        <v>0</v>
      </c>
      <c r="O376">
        <f t="shared" si="268"/>
        <v>327776.51</v>
      </c>
      <c r="P376">
        <f t="shared" si="269"/>
        <v>0</v>
      </c>
      <c r="Q376">
        <f t="shared" si="270"/>
        <v>0</v>
      </c>
      <c r="R376">
        <f t="shared" si="271"/>
        <v>0</v>
      </c>
      <c r="S376">
        <f t="shared" si="272"/>
        <v>327776.51</v>
      </c>
      <c r="T376">
        <f t="shared" si="273"/>
        <v>0</v>
      </c>
      <c r="U376">
        <f t="shared" si="274"/>
        <v>1136</v>
      </c>
      <c r="V376">
        <f t="shared" si="275"/>
        <v>0</v>
      </c>
      <c r="W376">
        <f t="shared" si="276"/>
        <v>0</v>
      </c>
      <c r="X376">
        <f t="shared" si="277"/>
        <v>235999.09</v>
      </c>
      <c r="Y376">
        <f t="shared" si="278"/>
        <v>144221.66</v>
      </c>
      <c r="AA376">
        <v>42446460</v>
      </c>
      <c r="AB376">
        <f t="shared" si="279"/>
        <v>4524.8</v>
      </c>
      <c r="AC376">
        <f t="shared" si="280"/>
        <v>0</v>
      </c>
      <c r="AD376">
        <f t="shared" si="281"/>
        <v>0</v>
      </c>
      <c r="AE376">
        <f t="shared" si="282"/>
        <v>0</v>
      </c>
      <c r="AF376">
        <f t="shared" si="283"/>
        <v>4524.8</v>
      </c>
      <c r="AG376">
        <f t="shared" si="284"/>
        <v>0</v>
      </c>
      <c r="AH376">
        <f t="shared" si="285"/>
        <v>284</v>
      </c>
      <c r="AI376">
        <f t="shared" si="286"/>
        <v>0</v>
      </c>
      <c r="AJ376">
        <f t="shared" si="287"/>
        <v>0</v>
      </c>
      <c r="AK376">
        <v>5656</v>
      </c>
      <c r="AL376">
        <v>0</v>
      </c>
      <c r="AM376">
        <v>0</v>
      </c>
      <c r="AN376">
        <v>0</v>
      </c>
      <c r="AO376">
        <v>5656</v>
      </c>
      <c r="AP376">
        <v>0</v>
      </c>
      <c r="AQ376">
        <v>355</v>
      </c>
      <c r="AR376">
        <v>0</v>
      </c>
      <c r="AS376">
        <v>0</v>
      </c>
      <c r="AT376">
        <v>72</v>
      </c>
      <c r="AU376">
        <v>44</v>
      </c>
      <c r="AV376">
        <v>1</v>
      </c>
      <c r="AW376">
        <v>1</v>
      </c>
      <c r="AZ376">
        <v>1</v>
      </c>
      <c r="BA376">
        <v>18.11</v>
      </c>
      <c r="BB376">
        <v>18.11</v>
      </c>
      <c r="BC376">
        <v>18.11</v>
      </c>
      <c r="BD376" t="s">
        <v>3</v>
      </c>
      <c r="BE376" t="s">
        <v>3</v>
      </c>
      <c r="BF376" t="s">
        <v>3</v>
      </c>
      <c r="BG376" t="s">
        <v>3</v>
      </c>
      <c r="BH376">
        <v>0</v>
      </c>
      <c r="BI376">
        <v>4</v>
      </c>
      <c r="BJ376" t="s">
        <v>384</v>
      </c>
      <c r="BM376">
        <v>388</v>
      </c>
      <c r="BN376">
        <v>0</v>
      </c>
      <c r="BO376" t="s">
        <v>3</v>
      </c>
      <c r="BP376">
        <v>0</v>
      </c>
      <c r="BQ376">
        <v>50</v>
      </c>
      <c r="BR376">
        <v>0</v>
      </c>
      <c r="BS376">
        <v>18.11</v>
      </c>
      <c r="BT376">
        <v>1</v>
      </c>
      <c r="BU376">
        <v>1</v>
      </c>
      <c r="BV376">
        <v>1</v>
      </c>
      <c r="BW376">
        <v>1</v>
      </c>
      <c r="BX376">
        <v>1</v>
      </c>
      <c r="BY376" t="s">
        <v>3</v>
      </c>
      <c r="BZ376">
        <v>72</v>
      </c>
      <c r="CA376">
        <v>44</v>
      </c>
      <c r="CF376">
        <v>0</v>
      </c>
      <c r="CG376">
        <v>0</v>
      </c>
      <c r="CM376">
        <v>0</v>
      </c>
      <c r="CN376" t="s">
        <v>468</v>
      </c>
      <c r="CO376">
        <v>0</v>
      </c>
      <c r="CP376">
        <f t="shared" si="288"/>
        <v>327776.51</v>
      </c>
      <c r="CQ376">
        <f t="shared" si="289"/>
        <v>0</v>
      </c>
      <c r="CR376">
        <f t="shared" si="290"/>
        <v>0</v>
      </c>
      <c r="CS376">
        <f t="shared" si="291"/>
        <v>0</v>
      </c>
      <c r="CT376">
        <f t="shared" si="292"/>
        <v>81944.127999999997</v>
      </c>
      <c r="CU376">
        <f t="shared" si="293"/>
        <v>0</v>
      </c>
      <c r="CV376">
        <f t="shared" si="294"/>
        <v>284</v>
      </c>
      <c r="CW376">
        <f t="shared" si="295"/>
        <v>0</v>
      </c>
      <c r="CX376">
        <f t="shared" si="296"/>
        <v>0</v>
      </c>
      <c r="CY376">
        <f t="shared" si="297"/>
        <v>235999.08720000001</v>
      </c>
      <c r="CZ376">
        <f t="shared" si="298"/>
        <v>144221.66440000001</v>
      </c>
      <c r="DC376" t="s">
        <v>3</v>
      </c>
      <c r="DD376" t="s">
        <v>3</v>
      </c>
      <c r="DE376" t="s">
        <v>3</v>
      </c>
      <c r="DF376" t="s">
        <v>3</v>
      </c>
      <c r="DG376" t="s">
        <v>359</v>
      </c>
      <c r="DH376" t="s">
        <v>3</v>
      </c>
      <c r="DI376" t="s">
        <v>359</v>
      </c>
      <c r="DJ376" t="s">
        <v>3</v>
      </c>
      <c r="DK376" t="s">
        <v>3</v>
      </c>
      <c r="DL376" t="s">
        <v>3</v>
      </c>
      <c r="DM376" t="s">
        <v>3</v>
      </c>
      <c r="DN376">
        <v>75</v>
      </c>
      <c r="DO376">
        <v>70</v>
      </c>
      <c r="DP376">
        <v>1</v>
      </c>
      <c r="DQ376">
        <v>1</v>
      </c>
      <c r="DU376">
        <v>1013</v>
      </c>
      <c r="DV376" t="s">
        <v>383</v>
      </c>
      <c r="DW376" t="s">
        <v>383</v>
      </c>
      <c r="DX376">
        <v>1</v>
      </c>
      <c r="EE376">
        <v>42186435</v>
      </c>
      <c r="EF376">
        <v>50</v>
      </c>
      <c r="EG376" t="s">
        <v>360</v>
      </c>
      <c r="EH376">
        <v>0</v>
      </c>
      <c r="EI376" t="s">
        <v>3</v>
      </c>
      <c r="EJ376">
        <v>4</v>
      </c>
      <c r="EK376">
        <v>388</v>
      </c>
      <c r="EL376" t="s">
        <v>385</v>
      </c>
      <c r="EM376" t="s">
        <v>386</v>
      </c>
      <c r="EO376" t="s">
        <v>369</v>
      </c>
      <c r="EQ376">
        <v>131072</v>
      </c>
      <c r="ER376">
        <v>5656</v>
      </c>
      <c r="ES376">
        <v>0</v>
      </c>
      <c r="ET376">
        <v>0</v>
      </c>
      <c r="EU376">
        <v>0</v>
      </c>
      <c r="EV376">
        <v>5656</v>
      </c>
      <c r="EW376">
        <v>355</v>
      </c>
      <c r="EX376">
        <v>0</v>
      </c>
      <c r="EY376">
        <v>0</v>
      </c>
      <c r="FQ376">
        <v>0</v>
      </c>
      <c r="FR376">
        <f t="shared" si="299"/>
        <v>0</v>
      </c>
      <c r="FS376">
        <v>0</v>
      </c>
      <c r="FX376">
        <v>75</v>
      </c>
      <c r="FY376">
        <v>70</v>
      </c>
      <c r="GA376" t="s">
        <v>3</v>
      </c>
      <c r="GD376">
        <v>0</v>
      </c>
      <c r="GF376">
        <v>-225192109</v>
      </c>
      <c r="GG376">
        <v>2</v>
      </c>
      <c r="GH376">
        <v>0</v>
      </c>
      <c r="GI376">
        <v>0</v>
      </c>
      <c r="GJ376">
        <v>0</v>
      </c>
      <c r="GK376">
        <f>ROUND(R376*(R12)/100,2)</f>
        <v>0</v>
      </c>
      <c r="GL376">
        <f t="shared" si="300"/>
        <v>0</v>
      </c>
      <c r="GM376">
        <f t="shared" si="301"/>
        <v>707997.26</v>
      </c>
      <c r="GN376">
        <f t="shared" si="302"/>
        <v>0</v>
      </c>
      <c r="GO376">
        <f t="shared" si="303"/>
        <v>0</v>
      </c>
      <c r="GP376">
        <f t="shared" si="304"/>
        <v>707997.26</v>
      </c>
      <c r="GR376">
        <v>0</v>
      </c>
      <c r="GS376">
        <v>0</v>
      </c>
      <c r="GT376">
        <v>0</v>
      </c>
      <c r="GU376" t="s">
        <v>3</v>
      </c>
      <c r="GV376">
        <f t="shared" si="305"/>
        <v>0</v>
      </c>
      <c r="GW376">
        <v>1</v>
      </c>
      <c r="GX376">
        <f t="shared" si="306"/>
        <v>0</v>
      </c>
      <c r="HA376">
        <v>0</v>
      </c>
      <c r="HB376">
        <v>0</v>
      </c>
      <c r="IK376">
        <v>0</v>
      </c>
    </row>
    <row r="377" spans="1:245" x14ac:dyDescent="0.2">
      <c r="A377">
        <v>17</v>
      </c>
      <c r="B377">
        <v>1</v>
      </c>
      <c r="C377">
        <f>ROW(SmtRes!A74)</f>
        <v>74</v>
      </c>
      <c r="D377">
        <f>ROW(EtalonRes!A75)</f>
        <v>75</v>
      </c>
      <c r="E377" t="s">
        <v>387</v>
      </c>
      <c r="F377" t="s">
        <v>388</v>
      </c>
      <c r="G377" t="s">
        <v>389</v>
      </c>
      <c r="H377" t="s">
        <v>377</v>
      </c>
      <c r="I377">
        <v>4</v>
      </c>
      <c r="J377">
        <v>0</v>
      </c>
      <c r="O377">
        <f t="shared" si="268"/>
        <v>917.38</v>
      </c>
      <c r="P377">
        <f t="shared" si="269"/>
        <v>0</v>
      </c>
      <c r="Q377">
        <f t="shared" si="270"/>
        <v>0</v>
      </c>
      <c r="R377">
        <f t="shared" si="271"/>
        <v>0</v>
      </c>
      <c r="S377">
        <f t="shared" si="272"/>
        <v>917.38</v>
      </c>
      <c r="T377">
        <f t="shared" si="273"/>
        <v>0</v>
      </c>
      <c r="U377">
        <f t="shared" si="274"/>
        <v>3.2</v>
      </c>
      <c r="V377">
        <f t="shared" si="275"/>
        <v>0</v>
      </c>
      <c r="W377">
        <f t="shared" si="276"/>
        <v>0</v>
      </c>
      <c r="X377">
        <f t="shared" si="277"/>
        <v>660.51</v>
      </c>
      <c r="Y377">
        <f t="shared" si="278"/>
        <v>403.65</v>
      </c>
      <c r="AA377">
        <v>42446460</v>
      </c>
      <c r="AB377">
        <f t="shared" si="279"/>
        <v>12.664</v>
      </c>
      <c r="AC377">
        <f t="shared" si="280"/>
        <v>0</v>
      </c>
      <c r="AD377">
        <f t="shared" si="281"/>
        <v>0</v>
      </c>
      <c r="AE377">
        <f t="shared" si="282"/>
        <v>0</v>
      </c>
      <c r="AF377">
        <f t="shared" si="283"/>
        <v>12.664</v>
      </c>
      <c r="AG377">
        <f t="shared" si="284"/>
        <v>0</v>
      </c>
      <c r="AH377">
        <f t="shared" si="285"/>
        <v>0.8</v>
      </c>
      <c r="AI377">
        <f t="shared" si="286"/>
        <v>0</v>
      </c>
      <c r="AJ377">
        <f t="shared" si="287"/>
        <v>0</v>
      </c>
      <c r="AK377">
        <v>15.83</v>
      </c>
      <c r="AL377">
        <v>0</v>
      </c>
      <c r="AM377">
        <v>0</v>
      </c>
      <c r="AN377">
        <v>0</v>
      </c>
      <c r="AO377">
        <v>15.83</v>
      </c>
      <c r="AP377">
        <v>0</v>
      </c>
      <c r="AQ377">
        <v>1</v>
      </c>
      <c r="AR377">
        <v>0</v>
      </c>
      <c r="AS377">
        <v>0</v>
      </c>
      <c r="AT377">
        <v>72</v>
      </c>
      <c r="AU377">
        <v>44</v>
      </c>
      <c r="AV377">
        <v>1</v>
      </c>
      <c r="AW377">
        <v>1</v>
      </c>
      <c r="AZ377">
        <v>1</v>
      </c>
      <c r="BA377">
        <v>18.11</v>
      </c>
      <c r="BB377">
        <v>18.11</v>
      </c>
      <c r="BC377">
        <v>18.11</v>
      </c>
      <c r="BD377" t="s">
        <v>3</v>
      </c>
      <c r="BE377" t="s">
        <v>3</v>
      </c>
      <c r="BF377" t="s">
        <v>3</v>
      </c>
      <c r="BG377" t="s">
        <v>3</v>
      </c>
      <c r="BH377">
        <v>0</v>
      </c>
      <c r="BI377">
        <v>4</v>
      </c>
      <c r="BJ377" t="s">
        <v>390</v>
      </c>
      <c r="BM377">
        <v>381</v>
      </c>
      <c r="BN377">
        <v>0</v>
      </c>
      <c r="BO377" t="s">
        <v>3</v>
      </c>
      <c r="BP377">
        <v>0</v>
      </c>
      <c r="BQ377">
        <v>50</v>
      </c>
      <c r="BR377">
        <v>0</v>
      </c>
      <c r="BS377">
        <v>18.11</v>
      </c>
      <c r="BT377">
        <v>1</v>
      </c>
      <c r="BU377">
        <v>1</v>
      </c>
      <c r="BV377">
        <v>1</v>
      </c>
      <c r="BW377">
        <v>1</v>
      </c>
      <c r="BX377">
        <v>1</v>
      </c>
      <c r="BY377" t="s">
        <v>3</v>
      </c>
      <c r="BZ377">
        <v>72</v>
      </c>
      <c r="CA377">
        <v>44</v>
      </c>
      <c r="CF377">
        <v>0</v>
      </c>
      <c r="CG377">
        <v>0</v>
      </c>
      <c r="CM377">
        <v>0</v>
      </c>
      <c r="CN377" t="s">
        <v>468</v>
      </c>
      <c r="CO377">
        <v>0</v>
      </c>
      <c r="CP377">
        <f t="shared" si="288"/>
        <v>917.38</v>
      </c>
      <c r="CQ377">
        <f t="shared" si="289"/>
        <v>0</v>
      </c>
      <c r="CR377">
        <f t="shared" si="290"/>
        <v>0</v>
      </c>
      <c r="CS377">
        <f t="shared" si="291"/>
        <v>0</v>
      </c>
      <c r="CT377">
        <f t="shared" si="292"/>
        <v>229.34503999999998</v>
      </c>
      <c r="CU377">
        <f t="shared" si="293"/>
        <v>0</v>
      </c>
      <c r="CV377">
        <f t="shared" si="294"/>
        <v>0.8</v>
      </c>
      <c r="CW377">
        <f t="shared" si="295"/>
        <v>0</v>
      </c>
      <c r="CX377">
        <f t="shared" si="296"/>
        <v>0</v>
      </c>
      <c r="CY377">
        <f t="shared" si="297"/>
        <v>660.5136</v>
      </c>
      <c r="CZ377">
        <f t="shared" si="298"/>
        <v>403.6472</v>
      </c>
      <c r="DC377" t="s">
        <v>3</v>
      </c>
      <c r="DD377" t="s">
        <v>3</v>
      </c>
      <c r="DE377" t="s">
        <v>3</v>
      </c>
      <c r="DF377" t="s">
        <v>3</v>
      </c>
      <c r="DG377" t="s">
        <v>359</v>
      </c>
      <c r="DH377" t="s">
        <v>3</v>
      </c>
      <c r="DI377" t="s">
        <v>359</v>
      </c>
      <c r="DJ377" t="s">
        <v>3</v>
      </c>
      <c r="DK377" t="s">
        <v>3</v>
      </c>
      <c r="DL377" t="s">
        <v>3</v>
      </c>
      <c r="DM377" t="s">
        <v>3</v>
      </c>
      <c r="DN377">
        <v>75</v>
      </c>
      <c r="DO377">
        <v>70</v>
      </c>
      <c r="DP377">
        <v>1</v>
      </c>
      <c r="DQ377">
        <v>1</v>
      </c>
      <c r="DU377">
        <v>1013</v>
      </c>
      <c r="DV377" t="s">
        <v>377</v>
      </c>
      <c r="DW377" t="s">
        <v>377</v>
      </c>
      <c r="DX377">
        <v>1</v>
      </c>
      <c r="EE377">
        <v>42186428</v>
      </c>
      <c r="EF377">
        <v>50</v>
      </c>
      <c r="EG377" t="s">
        <v>360</v>
      </c>
      <c r="EH377">
        <v>0</v>
      </c>
      <c r="EI377" t="s">
        <v>3</v>
      </c>
      <c r="EJ377">
        <v>4</v>
      </c>
      <c r="EK377">
        <v>381</v>
      </c>
      <c r="EL377" t="s">
        <v>361</v>
      </c>
      <c r="EM377" t="s">
        <v>362</v>
      </c>
      <c r="EO377" t="s">
        <v>369</v>
      </c>
      <c r="EQ377">
        <v>131072</v>
      </c>
      <c r="ER377">
        <v>15.83</v>
      </c>
      <c r="ES377">
        <v>0</v>
      </c>
      <c r="ET377">
        <v>0</v>
      </c>
      <c r="EU377">
        <v>0</v>
      </c>
      <c r="EV377">
        <v>15.83</v>
      </c>
      <c r="EW377">
        <v>1</v>
      </c>
      <c r="EX377">
        <v>0</v>
      </c>
      <c r="EY377">
        <v>0</v>
      </c>
      <c r="FQ377">
        <v>0</v>
      </c>
      <c r="FR377">
        <f t="shared" si="299"/>
        <v>0</v>
      </c>
      <c r="FS377">
        <v>0</v>
      </c>
      <c r="FX377">
        <v>75</v>
      </c>
      <c r="FY377">
        <v>70</v>
      </c>
      <c r="GA377" t="s">
        <v>3</v>
      </c>
      <c r="GD377">
        <v>0</v>
      </c>
      <c r="GF377">
        <v>1410826513</v>
      </c>
      <c r="GG377">
        <v>2</v>
      </c>
      <c r="GH377">
        <v>0</v>
      </c>
      <c r="GI377">
        <v>0</v>
      </c>
      <c r="GJ377">
        <v>0</v>
      </c>
      <c r="GK377">
        <f>ROUND(R377*(R12)/100,2)</f>
        <v>0</v>
      </c>
      <c r="GL377">
        <f t="shared" si="300"/>
        <v>0</v>
      </c>
      <c r="GM377">
        <f t="shared" si="301"/>
        <v>1981.54</v>
      </c>
      <c r="GN377">
        <f t="shared" si="302"/>
        <v>0</v>
      </c>
      <c r="GO377">
        <f t="shared" si="303"/>
        <v>0</v>
      </c>
      <c r="GP377">
        <f t="shared" si="304"/>
        <v>1981.54</v>
      </c>
      <c r="GR377">
        <v>0</v>
      </c>
      <c r="GS377">
        <v>0</v>
      </c>
      <c r="GT377">
        <v>0</v>
      </c>
      <c r="GU377" t="s">
        <v>3</v>
      </c>
      <c r="GV377">
        <f t="shared" si="305"/>
        <v>0</v>
      </c>
      <c r="GW377">
        <v>1</v>
      </c>
      <c r="GX377">
        <f t="shared" si="306"/>
        <v>0</v>
      </c>
      <c r="HA377">
        <v>0</v>
      </c>
      <c r="HB377">
        <v>0</v>
      </c>
      <c r="IK377">
        <v>0</v>
      </c>
    </row>
    <row r="378" spans="1:245" x14ac:dyDescent="0.2">
      <c r="A378">
        <v>17</v>
      </c>
      <c r="B378">
        <v>1</v>
      </c>
      <c r="C378">
        <f>ROW(SmtRes!A75)</f>
        <v>75</v>
      </c>
      <c r="D378">
        <f>ROW(EtalonRes!A76)</f>
        <v>76</v>
      </c>
      <c r="E378" t="s">
        <v>391</v>
      </c>
      <c r="F378" t="s">
        <v>392</v>
      </c>
      <c r="G378" t="s">
        <v>393</v>
      </c>
      <c r="H378" t="s">
        <v>394</v>
      </c>
      <c r="I378">
        <v>4</v>
      </c>
      <c r="J378">
        <v>0</v>
      </c>
      <c r="O378">
        <f t="shared" si="268"/>
        <v>137.35</v>
      </c>
      <c r="P378">
        <f t="shared" si="269"/>
        <v>0</v>
      </c>
      <c r="Q378">
        <f t="shared" si="270"/>
        <v>0</v>
      </c>
      <c r="R378">
        <f t="shared" si="271"/>
        <v>0</v>
      </c>
      <c r="S378">
        <f t="shared" si="272"/>
        <v>137.35</v>
      </c>
      <c r="T378">
        <f t="shared" si="273"/>
        <v>0</v>
      </c>
      <c r="U378">
        <f t="shared" si="274"/>
        <v>0.48</v>
      </c>
      <c r="V378">
        <f t="shared" si="275"/>
        <v>0</v>
      </c>
      <c r="W378">
        <f t="shared" si="276"/>
        <v>0</v>
      </c>
      <c r="X378">
        <f t="shared" si="277"/>
        <v>98.89</v>
      </c>
      <c r="Y378">
        <f t="shared" si="278"/>
        <v>60.43</v>
      </c>
      <c r="AA378">
        <v>42446460</v>
      </c>
      <c r="AB378">
        <f t="shared" si="279"/>
        <v>1.8959999999999999</v>
      </c>
      <c r="AC378">
        <f t="shared" si="280"/>
        <v>0</v>
      </c>
      <c r="AD378">
        <f t="shared" si="281"/>
        <v>0</v>
      </c>
      <c r="AE378">
        <f t="shared" si="282"/>
        <v>0</v>
      </c>
      <c r="AF378">
        <f t="shared" si="283"/>
        <v>1.8959999999999999</v>
      </c>
      <c r="AG378">
        <f t="shared" si="284"/>
        <v>0</v>
      </c>
      <c r="AH378">
        <f t="shared" si="285"/>
        <v>0.12</v>
      </c>
      <c r="AI378">
        <f t="shared" si="286"/>
        <v>0</v>
      </c>
      <c r="AJ378">
        <f t="shared" si="287"/>
        <v>0</v>
      </c>
      <c r="AK378">
        <v>2.37</v>
      </c>
      <c r="AL378">
        <v>0</v>
      </c>
      <c r="AM378">
        <v>0</v>
      </c>
      <c r="AN378">
        <v>0</v>
      </c>
      <c r="AO378">
        <v>2.37</v>
      </c>
      <c r="AP378">
        <v>0</v>
      </c>
      <c r="AQ378">
        <v>0.15</v>
      </c>
      <c r="AR378">
        <v>0</v>
      </c>
      <c r="AS378">
        <v>0</v>
      </c>
      <c r="AT378">
        <v>72</v>
      </c>
      <c r="AU378">
        <v>44</v>
      </c>
      <c r="AV378">
        <v>1</v>
      </c>
      <c r="AW378">
        <v>1</v>
      </c>
      <c r="AZ378">
        <v>1</v>
      </c>
      <c r="BA378">
        <v>18.11</v>
      </c>
      <c r="BB378">
        <v>18.11</v>
      </c>
      <c r="BC378">
        <v>18.11</v>
      </c>
      <c r="BD378" t="s">
        <v>3</v>
      </c>
      <c r="BE378" t="s">
        <v>3</v>
      </c>
      <c r="BF378" t="s">
        <v>3</v>
      </c>
      <c r="BG378" t="s">
        <v>3</v>
      </c>
      <c r="BH378">
        <v>0</v>
      </c>
      <c r="BI378">
        <v>4</v>
      </c>
      <c r="BJ378" t="s">
        <v>395</v>
      </c>
      <c r="BM378">
        <v>381</v>
      </c>
      <c r="BN378">
        <v>0</v>
      </c>
      <c r="BO378" t="s">
        <v>3</v>
      </c>
      <c r="BP378">
        <v>0</v>
      </c>
      <c r="BQ378">
        <v>50</v>
      </c>
      <c r="BR378">
        <v>0</v>
      </c>
      <c r="BS378">
        <v>18.11</v>
      </c>
      <c r="BT378">
        <v>1</v>
      </c>
      <c r="BU378">
        <v>1</v>
      </c>
      <c r="BV378">
        <v>1</v>
      </c>
      <c r="BW378">
        <v>1</v>
      </c>
      <c r="BX378">
        <v>1</v>
      </c>
      <c r="BY378" t="s">
        <v>3</v>
      </c>
      <c r="BZ378">
        <v>72</v>
      </c>
      <c r="CA378">
        <v>44</v>
      </c>
      <c r="CF378">
        <v>0</v>
      </c>
      <c r="CG378">
        <v>0</v>
      </c>
      <c r="CM378">
        <v>0</v>
      </c>
      <c r="CN378" t="s">
        <v>468</v>
      </c>
      <c r="CO378">
        <v>0</v>
      </c>
      <c r="CP378">
        <f t="shared" si="288"/>
        <v>137.35</v>
      </c>
      <c r="CQ378">
        <f t="shared" si="289"/>
        <v>0</v>
      </c>
      <c r="CR378">
        <f t="shared" si="290"/>
        <v>0</v>
      </c>
      <c r="CS378">
        <f t="shared" si="291"/>
        <v>0</v>
      </c>
      <c r="CT378">
        <f t="shared" si="292"/>
        <v>34.336559999999999</v>
      </c>
      <c r="CU378">
        <f t="shared" si="293"/>
        <v>0</v>
      </c>
      <c r="CV378">
        <f t="shared" si="294"/>
        <v>0.12</v>
      </c>
      <c r="CW378">
        <f t="shared" si="295"/>
        <v>0</v>
      </c>
      <c r="CX378">
        <f t="shared" si="296"/>
        <v>0</v>
      </c>
      <c r="CY378">
        <f t="shared" si="297"/>
        <v>98.891999999999996</v>
      </c>
      <c r="CZ378">
        <f t="shared" si="298"/>
        <v>60.433999999999997</v>
      </c>
      <c r="DC378" t="s">
        <v>3</v>
      </c>
      <c r="DD378" t="s">
        <v>3</v>
      </c>
      <c r="DE378" t="s">
        <v>3</v>
      </c>
      <c r="DF378" t="s">
        <v>3</v>
      </c>
      <c r="DG378" t="s">
        <v>359</v>
      </c>
      <c r="DH378" t="s">
        <v>3</v>
      </c>
      <c r="DI378" t="s">
        <v>359</v>
      </c>
      <c r="DJ378" t="s">
        <v>3</v>
      </c>
      <c r="DK378" t="s">
        <v>3</v>
      </c>
      <c r="DL378" t="s">
        <v>3</v>
      </c>
      <c r="DM378" t="s">
        <v>3</v>
      </c>
      <c r="DN378">
        <v>75</v>
      </c>
      <c r="DO378">
        <v>70</v>
      </c>
      <c r="DP378">
        <v>1</v>
      </c>
      <c r="DQ378">
        <v>1</v>
      </c>
      <c r="DU378">
        <v>1013</v>
      </c>
      <c r="DV378" t="s">
        <v>394</v>
      </c>
      <c r="DW378" t="s">
        <v>394</v>
      </c>
      <c r="DX378">
        <v>1</v>
      </c>
      <c r="EE378">
        <v>42186428</v>
      </c>
      <c r="EF378">
        <v>50</v>
      </c>
      <c r="EG378" t="s">
        <v>360</v>
      </c>
      <c r="EH378">
        <v>0</v>
      </c>
      <c r="EI378" t="s">
        <v>3</v>
      </c>
      <c r="EJ378">
        <v>4</v>
      </c>
      <c r="EK378">
        <v>381</v>
      </c>
      <c r="EL378" t="s">
        <v>361</v>
      </c>
      <c r="EM378" t="s">
        <v>362</v>
      </c>
      <c r="EO378" t="s">
        <v>369</v>
      </c>
      <c r="EQ378">
        <v>131072</v>
      </c>
      <c r="ER378">
        <v>2.37</v>
      </c>
      <c r="ES378">
        <v>0</v>
      </c>
      <c r="ET378">
        <v>0</v>
      </c>
      <c r="EU378">
        <v>0</v>
      </c>
      <c r="EV378">
        <v>2.37</v>
      </c>
      <c r="EW378">
        <v>0.15</v>
      </c>
      <c r="EX378">
        <v>0</v>
      </c>
      <c r="EY378">
        <v>0</v>
      </c>
      <c r="FQ378">
        <v>0</v>
      </c>
      <c r="FR378">
        <f t="shared" si="299"/>
        <v>0</v>
      </c>
      <c r="FS378">
        <v>0</v>
      </c>
      <c r="FX378">
        <v>75</v>
      </c>
      <c r="FY378">
        <v>70</v>
      </c>
      <c r="GA378" t="s">
        <v>3</v>
      </c>
      <c r="GD378">
        <v>0</v>
      </c>
      <c r="GF378">
        <v>1779724524</v>
      </c>
      <c r="GG378">
        <v>2</v>
      </c>
      <c r="GH378">
        <v>0</v>
      </c>
      <c r="GI378">
        <v>0</v>
      </c>
      <c r="GJ378">
        <v>0</v>
      </c>
      <c r="GK378">
        <f>ROUND(R378*(R12)/100,2)</f>
        <v>0</v>
      </c>
      <c r="GL378">
        <f t="shared" si="300"/>
        <v>0</v>
      </c>
      <c r="GM378">
        <f t="shared" si="301"/>
        <v>296.67</v>
      </c>
      <c r="GN378">
        <f t="shared" si="302"/>
        <v>0</v>
      </c>
      <c r="GO378">
        <f t="shared" si="303"/>
        <v>0</v>
      </c>
      <c r="GP378">
        <f t="shared" si="304"/>
        <v>296.67</v>
      </c>
      <c r="GR378">
        <v>0</v>
      </c>
      <c r="GS378">
        <v>0</v>
      </c>
      <c r="GT378">
        <v>0</v>
      </c>
      <c r="GU378" t="s">
        <v>3</v>
      </c>
      <c r="GV378">
        <f t="shared" si="305"/>
        <v>0</v>
      </c>
      <c r="GW378">
        <v>1</v>
      </c>
      <c r="GX378">
        <f t="shared" si="306"/>
        <v>0</v>
      </c>
      <c r="HA378">
        <v>0</v>
      </c>
      <c r="HB378">
        <v>0</v>
      </c>
      <c r="IK378">
        <v>0</v>
      </c>
    </row>
    <row r="379" spans="1:245" x14ac:dyDescent="0.2">
      <c r="A379">
        <v>17</v>
      </c>
      <c r="B379">
        <v>1</v>
      </c>
      <c r="C379">
        <f>ROW(SmtRes!A76)</f>
        <v>76</v>
      </c>
      <c r="D379">
        <f>ROW(EtalonRes!A77)</f>
        <v>77</v>
      </c>
      <c r="E379" t="s">
        <v>396</v>
      </c>
      <c r="F379" t="s">
        <v>397</v>
      </c>
      <c r="G379" t="s">
        <v>398</v>
      </c>
      <c r="H379" t="s">
        <v>399</v>
      </c>
      <c r="I379">
        <v>4</v>
      </c>
      <c r="J379">
        <v>0</v>
      </c>
      <c r="O379">
        <f t="shared" si="268"/>
        <v>917.38</v>
      </c>
      <c r="P379">
        <f t="shared" si="269"/>
        <v>0</v>
      </c>
      <c r="Q379">
        <f t="shared" si="270"/>
        <v>0</v>
      </c>
      <c r="R379">
        <f t="shared" si="271"/>
        <v>0</v>
      </c>
      <c r="S379">
        <f t="shared" si="272"/>
        <v>917.38</v>
      </c>
      <c r="T379">
        <f t="shared" si="273"/>
        <v>0</v>
      </c>
      <c r="U379">
        <f t="shared" si="274"/>
        <v>3.2</v>
      </c>
      <c r="V379">
        <f t="shared" si="275"/>
        <v>0</v>
      </c>
      <c r="W379">
        <f t="shared" si="276"/>
        <v>0</v>
      </c>
      <c r="X379">
        <f t="shared" si="277"/>
        <v>660.51</v>
      </c>
      <c r="Y379">
        <f t="shared" si="278"/>
        <v>403.65</v>
      </c>
      <c r="AA379">
        <v>42446460</v>
      </c>
      <c r="AB379">
        <f t="shared" si="279"/>
        <v>12.664</v>
      </c>
      <c r="AC379">
        <f t="shared" si="280"/>
        <v>0</v>
      </c>
      <c r="AD379">
        <f t="shared" si="281"/>
        <v>0</v>
      </c>
      <c r="AE379">
        <f t="shared" si="282"/>
        <v>0</v>
      </c>
      <c r="AF379">
        <f t="shared" si="283"/>
        <v>12.664</v>
      </c>
      <c r="AG379">
        <f t="shared" si="284"/>
        <v>0</v>
      </c>
      <c r="AH379">
        <f t="shared" si="285"/>
        <v>0.8</v>
      </c>
      <c r="AI379">
        <f t="shared" si="286"/>
        <v>0</v>
      </c>
      <c r="AJ379">
        <f t="shared" si="287"/>
        <v>0</v>
      </c>
      <c r="AK379">
        <v>15.83</v>
      </c>
      <c r="AL379">
        <v>0</v>
      </c>
      <c r="AM379">
        <v>0</v>
      </c>
      <c r="AN379">
        <v>0</v>
      </c>
      <c r="AO379">
        <v>15.83</v>
      </c>
      <c r="AP379">
        <v>0</v>
      </c>
      <c r="AQ379">
        <v>1</v>
      </c>
      <c r="AR379">
        <v>0</v>
      </c>
      <c r="AS379">
        <v>0</v>
      </c>
      <c r="AT379">
        <v>72</v>
      </c>
      <c r="AU379">
        <v>44</v>
      </c>
      <c r="AV379">
        <v>1</v>
      </c>
      <c r="AW379">
        <v>1</v>
      </c>
      <c r="AZ379">
        <v>1</v>
      </c>
      <c r="BA379">
        <v>18.11</v>
      </c>
      <c r="BB379">
        <v>18.11</v>
      </c>
      <c r="BC379">
        <v>18.11</v>
      </c>
      <c r="BD379" t="s">
        <v>3</v>
      </c>
      <c r="BE379" t="s">
        <v>3</v>
      </c>
      <c r="BF379" t="s">
        <v>3</v>
      </c>
      <c r="BG379" t="s">
        <v>3</v>
      </c>
      <c r="BH379">
        <v>0</v>
      </c>
      <c r="BI379">
        <v>4</v>
      </c>
      <c r="BJ379" t="s">
        <v>400</v>
      </c>
      <c r="BM379">
        <v>381</v>
      </c>
      <c r="BN379">
        <v>0</v>
      </c>
      <c r="BO379" t="s">
        <v>3</v>
      </c>
      <c r="BP379">
        <v>0</v>
      </c>
      <c r="BQ379">
        <v>50</v>
      </c>
      <c r="BR379">
        <v>0</v>
      </c>
      <c r="BS379">
        <v>18.11</v>
      </c>
      <c r="BT379">
        <v>1</v>
      </c>
      <c r="BU379">
        <v>1</v>
      </c>
      <c r="BV379">
        <v>1</v>
      </c>
      <c r="BW379">
        <v>1</v>
      </c>
      <c r="BX379">
        <v>1</v>
      </c>
      <c r="BY379" t="s">
        <v>3</v>
      </c>
      <c r="BZ379">
        <v>72</v>
      </c>
      <c r="CA379">
        <v>44</v>
      </c>
      <c r="CF379">
        <v>0</v>
      </c>
      <c r="CG379">
        <v>0</v>
      </c>
      <c r="CM379">
        <v>0</v>
      </c>
      <c r="CN379" t="s">
        <v>468</v>
      </c>
      <c r="CO379">
        <v>0</v>
      </c>
      <c r="CP379">
        <f t="shared" si="288"/>
        <v>917.38</v>
      </c>
      <c r="CQ379">
        <f t="shared" si="289"/>
        <v>0</v>
      </c>
      <c r="CR379">
        <f t="shared" si="290"/>
        <v>0</v>
      </c>
      <c r="CS379">
        <f t="shared" si="291"/>
        <v>0</v>
      </c>
      <c r="CT379">
        <f t="shared" si="292"/>
        <v>229.34503999999998</v>
      </c>
      <c r="CU379">
        <f t="shared" si="293"/>
        <v>0</v>
      </c>
      <c r="CV379">
        <f t="shared" si="294"/>
        <v>0.8</v>
      </c>
      <c r="CW379">
        <f t="shared" si="295"/>
        <v>0</v>
      </c>
      <c r="CX379">
        <f t="shared" si="296"/>
        <v>0</v>
      </c>
      <c r="CY379">
        <f t="shared" si="297"/>
        <v>660.5136</v>
      </c>
      <c r="CZ379">
        <f t="shared" si="298"/>
        <v>403.6472</v>
      </c>
      <c r="DC379" t="s">
        <v>3</v>
      </c>
      <c r="DD379" t="s">
        <v>3</v>
      </c>
      <c r="DE379" t="s">
        <v>3</v>
      </c>
      <c r="DF379" t="s">
        <v>3</v>
      </c>
      <c r="DG379" t="s">
        <v>359</v>
      </c>
      <c r="DH379" t="s">
        <v>3</v>
      </c>
      <c r="DI379" t="s">
        <v>359</v>
      </c>
      <c r="DJ379" t="s">
        <v>3</v>
      </c>
      <c r="DK379" t="s">
        <v>3</v>
      </c>
      <c r="DL379" t="s">
        <v>3</v>
      </c>
      <c r="DM379" t="s">
        <v>3</v>
      </c>
      <c r="DN379">
        <v>75</v>
      </c>
      <c r="DO379">
        <v>70</v>
      </c>
      <c r="DP379">
        <v>1</v>
      </c>
      <c r="DQ379">
        <v>1</v>
      </c>
      <c r="DU379">
        <v>1013</v>
      </c>
      <c r="DV379" t="s">
        <v>399</v>
      </c>
      <c r="DW379" t="s">
        <v>399</v>
      </c>
      <c r="DX379">
        <v>1</v>
      </c>
      <c r="EE379">
        <v>42186428</v>
      </c>
      <c r="EF379">
        <v>50</v>
      </c>
      <c r="EG379" t="s">
        <v>360</v>
      </c>
      <c r="EH379">
        <v>0</v>
      </c>
      <c r="EI379" t="s">
        <v>3</v>
      </c>
      <c r="EJ379">
        <v>4</v>
      </c>
      <c r="EK379">
        <v>381</v>
      </c>
      <c r="EL379" t="s">
        <v>361</v>
      </c>
      <c r="EM379" t="s">
        <v>362</v>
      </c>
      <c r="EO379" t="s">
        <v>369</v>
      </c>
      <c r="EQ379">
        <v>131072</v>
      </c>
      <c r="ER379">
        <v>15.83</v>
      </c>
      <c r="ES379">
        <v>0</v>
      </c>
      <c r="ET379">
        <v>0</v>
      </c>
      <c r="EU379">
        <v>0</v>
      </c>
      <c r="EV379">
        <v>15.83</v>
      </c>
      <c r="EW379">
        <v>1</v>
      </c>
      <c r="EX379">
        <v>0</v>
      </c>
      <c r="EY379">
        <v>0</v>
      </c>
      <c r="FQ379">
        <v>0</v>
      </c>
      <c r="FR379">
        <f t="shared" si="299"/>
        <v>0</v>
      </c>
      <c r="FS379">
        <v>0</v>
      </c>
      <c r="FX379">
        <v>75</v>
      </c>
      <c r="FY379">
        <v>70</v>
      </c>
      <c r="GA379" t="s">
        <v>3</v>
      </c>
      <c r="GD379">
        <v>0</v>
      </c>
      <c r="GF379">
        <v>669677000</v>
      </c>
      <c r="GG379">
        <v>2</v>
      </c>
      <c r="GH379">
        <v>0</v>
      </c>
      <c r="GI379">
        <v>0</v>
      </c>
      <c r="GJ379">
        <v>0</v>
      </c>
      <c r="GK379">
        <f>ROUND(R379*(R12)/100,2)</f>
        <v>0</v>
      </c>
      <c r="GL379">
        <f t="shared" si="300"/>
        <v>0</v>
      </c>
      <c r="GM379">
        <f t="shared" si="301"/>
        <v>1981.54</v>
      </c>
      <c r="GN379">
        <f t="shared" si="302"/>
        <v>0</v>
      </c>
      <c r="GO379">
        <f t="shared" si="303"/>
        <v>0</v>
      </c>
      <c r="GP379">
        <f t="shared" si="304"/>
        <v>1981.54</v>
      </c>
      <c r="GR379">
        <v>0</v>
      </c>
      <c r="GS379">
        <v>0</v>
      </c>
      <c r="GT379">
        <v>0</v>
      </c>
      <c r="GU379" t="s">
        <v>3</v>
      </c>
      <c r="GV379">
        <f t="shared" si="305"/>
        <v>0</v>
      </c>
      <c r="GW379">
        <v>1</v>
      </c>
      <c r="GX379">
        <f t="shared" si="306"/>
        <v>0</v>
      </c>
      <c r="HA379">
        <v>0</v>
      </c>
      <c r="HB379">
        <v>0</v>
      </c>
      <c r="IK379">
        <v>0</v>
      </c>
    </row>
    <row r="380" spans="1:245" x14ac:dyDescent="0.2">
      <c r="A380">
        <v>17</v>
      </c>
      <c r="B380">
        <v>1</v>
      </c>
      <c r="C380">
        <f>ROW(SmtRes!A77)</f>
        <v>77</v>
      </c>
      <c r="D380">
        <f>ROW(EtalonRes!A78)</f>
        <v>78</v>
      </c>
      <c r="E380" t="s">
        <v>401</v>
      </c>
      <c r="F380" t="s">
        <v>402</v>
      </c>
      <c r="G380" t="s">
        <v>403</v>
      </c>
      <c r="H380" t="s">
        <v>404</v>
      </c>
      <c r="I380">
        <v>29</v>
      </c>
      <c r="J380">
        <v>0</v>
      </c>
      <c r="O380">
        <f t="shared" si="268"/>
        <v>435113.61</v>
      </c>
      <c r="P380">
        <f t="shared" si="269"/>
        <v>0</v>
      </c>
      <c r="Q380">
        <f t="shared" si="270"/>
        <v>0</v>
      </c>
      <c r="R380">
        <f t="shared" si="271"/>
        <v>0</v>
      </c>
      <c r="S380">
        <f t="shared" si="272"/>
        <v>435113.61</v>
      </c>
      <c r="T380">
        <f t="shared" si="273"/>
        <v>0</v>
      </c>
      <c r="U380">
        <f t="shared" si="274"/>
        <v>1508</v>
      </c>
      <c r="V380">
        <f t="shared" si="275"/>
        <v>0</v>
      </c>
      <c r="W380">
        <f t="shared" si="276"/>
        <v>0</v>
      </c>
      <c r="X380">
        <f t="shared" si="277"/>
        <v>313281.8</v>
      </c>
      <c r="Y380">
        <f t="shared" si="278"/>
        <v>191449.99</v>
      </c>
      <c r="AA380">
        <v>42446460</v>
      </c>
      <c r="AB380">
        <f t="shared" si="279"/>
        <v>828.48800000000006</v>
      </c>
      <c r="AC380">
        <f t="shared" si="280"/>
        <v>0</v>
      </c>
      <c r="AD380">
        <f t="shared" si="281"/>
        <v>0</v>
      </c>
      <c r="AE380">
        <f t="shared" si="282"/>
        <v>0</v>
      </c>
      <c r="AF380">
        <f t="shared" si="283"/>
        <v>828.48800000000006</v>
      </c>
      <c r="AG380">
        <f t="shared" si="284"/>
        <v>0</v>
      </c>
      <c r="AH380">
        <f t="shared" si="285"/>
        <v>52</v>
      </c>
      <c r="AI380">
        <f t="shared" si="286"/>
        <v>0</v>
      </c>
      <c r="AJ380">
        <f t="shared" si="287"/>
        <v>0</v>
      </c>
      <c r="AK380">
        <v>1035.6099999999999</v>
      </c>
      <c r="AL380">
        <v>0</v>
      </c>
      <c r="AM380">
        <v>0</v>
      </c>
      <c r="AN380">
        <v>0</v>
      </c>
      <c r="AO380">
        <v>1035.6099999999999</v>
      </c>
      <c r="AP380">
        <v>0</v>
      </c>
      <c r="AQ380">
        <v>65</v>
      </c>
      <c r="AR380">
        <v>0</v>
      </c>
      <c r="AS380">
        <v>0</v>
      </c>
      <c r="AT380">
        <v>72</v>
      </c>
      <c r="AU380">
        <v>44</v>
      </c>
      <c r="AV380">
        <v>1</v>
      </c>
      <c r="AW380">
        <v>1</v>
      </c>
      <c r="AZ380">
        <v>1</v>
      </c>
      <c r="BA380">
        <v>18.11</v>
      </c>
      <c r="BB380">
        <v>18.11</v>
      </c>
      <c r="BC380">
        <v>18.11</v>
      </c>
      <c r="BD380" t="s">
        <v>3</v>
      </c>
      <c r="BE380" t="s">
        <v>3</v>
      </c>
      <c r="BF380" t="s">
        <v>3</v>
      </c>
      <c r="BG380" t="s">
        <v>3</v>
      </c>
      <c r="BH380">
        <v>0</v>
      </c>
      <c r="BI380">
        <v>4</v>
      </c>
      <c r="BJ380" t="s">
        <v>405</v>
      </c>
      <c r="BM380">
        <v>388</v>
      </c>
      <c r="BN380">
        <v>0</v>
      </c>
      <c r="BO380" t="s">
        <v>3</v>
      </c>
      <c r="BP380">
        <v>0</v>
      </c>
      <c r="BQ380">
        <v>50</v>
      </c>
      <c r="BR380">
        <v>0</v>
      </c>
      <c r="BS380">
        <v>18.11</v>
      </c>
      <c r="BT380">
        <v>1</v>
      </c>
      <c r="BU380">
        <v>1</v>
      </c>
      <c r="BV380">
        <v>1</v>
      </c>
      <c r="BW380">
        <v>1</v>
      </c>
      <c r="BX380">
        <v>1</v>
      </c>
      <c r="BY380" t="s">
        <v>3</v>
      </c>
      <c r="BZ380">
        <v>72</v>
      </c>
      <c r="CA380">
        <v>44</v>
      </c>
      <c r="CF380">
        <v>0</v>
      </c>
      <c r="CG380">
        <v>0</v>
      </c>
      <c r="CM380">
        <v>0</v>
      </c>
      <c r="CN380" t="s">
        <v>467</v>
      </c>
      <c r="CO380">
        <v>0</v>
      </c>
      <c r="CP380">
        <f t="shared" si="288"/>
        <v>435113.61</v>
      </c>
      <c r="CQ380">
        <f t="shared" si="289"/>
        <v>0</v>
      </c>
      <c r="CR380">
        <f t="shared" si="290"/>
        <v>0</v>
      </c>
      <c r="CS380">
        <f t="shared" si="291"/>
        <v>0</v>
      </c>
      <c r="CT380">
        <f t="shared" si="292"/>
        <v>15003.91768</v>
      </c>
      <c r="CU380">
        <f t="shared" si="293"/>
        <v>0</v>
      </c>
      <c r="CV380">
        <f t="shared" si="294"/>
        <v>52</v>
      </c>
      <c r="CW380">
        <f t="shared" si="295"/>
        <v>0</v>
      </c>
      <c r="CX380">
        <f t="shared" si="296"/>
        <v>0</v>
      </c>
      <c r="CY380">
        <f t="shared" si="297"/>
        <v>313281.79919999995</v>
      </c>
      <c r="CZ380">
        <f t="shared" si="298"/>
        <v>191449.9884</v>
      </c>
      <c r="DC380" t="s">
        <v>3</v>
      </c>
      <c r="DD380" t="s">
        <v>3</v>
      </c>
      <c r="DE380" t="s">
        <v>3</v>
      </c>
      <c r="DF380" t="s">
        <v>3</v>
      </c>
      <c r="DG380" t="s">
        <v>359</v>
      </c>
      <c r="DH380" t="s">
        <v>3</v>
      </c>
      <c r="DI380" t="s">
        <v>359</v>
      </c>
      <c r="DJ380" t="s">
        <v>3</v>
      </c>
      <c r="DK380" t="s">
        <v>3</v>
      </c>
      <c r="DL380" t="s">
        <v>3</v>
      </c>
      <c r="DM380" t="s">
        <v>3</v>
      </c>
      <c r="DN380">
        <v>75</v>
      </c>
      <c r="DO380">
        <v>70</v>
      </c>
      <c r="DP380">
        <v>1</v>
      </c>
      <c r="DQ380">
        <v>1</v>
      </c>
      <c r="DU380">
        <v>1013</v>
      </c>
      <c r="DV380" t="s">
        <v>404</v>
      </c>
      <c r="DW380" t="s">
        <v>404</v>
      </c>
      <c r="DX380">
        <v>1</v>
      </c>
      <c r="EE380">
        <v>42186435</v>
      </c>
      <c r="EF380">
        <v>50</v>
      </c>
      <c r="EG380" t="s">
        <v>360</v>
      </c>
      <c r="EH380">
        <v>0</v>
      </c>
      <c r="EI380" t="s">
        <v>3</v>
      </c>
      <c r="EJ380">
        <v>4</v>
      </c>
      <c r="EK380">
        <v>388</v>
      </c>
      <c r="EL380" t="s">
        <v>385</v>
      </c>
      <c r="EM380" t="s">
        <v>386</v>
      </c>
      <c r="EO380" t="s">
        <v>363</v>
      </c>
      <c r="EQ380">
        <v>131072</v>
      </c>
      <c r="ER380">
        <v>1035.6099999999999</v>
      </c>
      <c r="ES380">
        <v>0</v>
      </c>
      <c r="ET380">
        <v>0</v>
      </c>
      <c r="EU380">
        <v>0</v>
      </c>
      <c r="EV380">
        <v>1035.6099999999999</v>
      </c>
      <c r="EW380">
        <v>65</v>
      </c>
      <c r="EX380">
        <v>0</v>
      </c>
      <c r="EY380">
        <v>0</v>
      </c>
      <c r="FQ380">
        <v>0</v>
      </c>
      <c r="FR380">
        <f t="shared" si="299"/>
        <v>0</v>
      </c>
      <c r="FS380">
        <v>0</v>
      </c>
      <c r="FX380">
        <v>75</v>
      </c>
      <c r="FY380">
        <v>70</v>
      </c>
      <c r="GA380" t="s">
        <v>3</v>
      </c>
      <c r="GD380">
        <v>0</v>
      </c>
      <c r="GF380">
        <v>-1703785093</v>
      </c>
      <c r="GG380">
        <v>2</v>
      </c>
      <c r="GH380">
        <v>0</v>
      </c>
      <c r="GI380">
        <v>0</v>
      </c>
      <c r="GJ380">
        <v>0</v>
      </c>
      <c r="GK380">
        <f>ROUND(R380*(R12)/100,2)</f>
        <v>0</v>
      </c>
      <c r="GL380">
        <f t="shared" si="300"/>
        <v>0</v>
      </c>
      <c r="GM380">
        <f t="shared" si="301"/>
        <v>939845.4</v>
      </c>
      <c r="GN380">
        <f t="shared" si="302"/>
        <v>0</v>
      </c>
      <c r="GO380">
        <f t="shared" si="303"/>
        <v>0</v>
      </c>
      <c r="GP380">
        <f t="shared" si="304"/>
        <v>939845.4</v>
      </c>
      <c r="GR380">
        <v>0</v>
      </c>
      <c r="GS380">
        <v>0</v>
      </c>
      <c r="GT380">
        <v>0</v>
      </c>
      <c r="GU380" t="s">
        <v>3</v>
      </c>
      <c r="GV380">
        <f t="shared" si="305"/>
        <v>0</v>
      </c>
      <c r="GW380">
        <v>1</v>
      </c>
      <c r="GX380">
        <f t="shared" si="306"/>
        <v>0</v>
      </c>
      <c r="HA380">
        <v>0</v>
      </c>
      <c r="HB380">
        <v>0</v>
      </c>
      <c r="IK380">
        <v>0</v>
      </c>
    </row>
    <row r="381" spans="1:245" x14ac:dyDescent="0.2">
      <c r="A381">
        <v>17</v>
      </c>
      <c r="B381">
        <v>1</v>
      </c>
      <c r="E381" t="s">
        <v>406</v>
      </c>
      <c r="F381" t="s">
        <v>407</v>
      </c>
      <c r="G381" t="s">
        <v>408</v>
      </c>
      <c r="H381" t="s">
        <v>409</v>
      </c>
      <c r="I381">
        <f>ROUND(39*10.23,9)</f>
        <v>398.97</v>
      </c>
      <c r="J381">
        <v>0</v>
      </c>
      <c r="O381">
        <f t="shared" si="268"/>
        <v>433319.24</v>
      </c>
      <c r="P381">
        <f t="shared" si="269"/>
        <v>0</v>
      </c>
      <c r="Q381">
        <f t="shared" si="270"/>
        <v>433319.24</v>
      </c>
      <c r="R381">
        <f t="shared" si="271"/>
        <v>167700.29999999999</v>
      </c>
      <c r="S381">
        <f t="shared" si="272"/>
        <v>0</v>
      </c>
      <c r="T381">
        <f t="shared" si="273"/>
        <v>0</v>
      </c>
      <c r="U381">
        <f t="shared" si="274"/>
        <v>0</v>
      </c>
      <c r="V381">
        <f t="shared" si="275"/>
        <v>0</v>
      </c>
      <c r="W381">
        <f t="shared" si="276"/>
        <v>0</v>
      </c>
      <c r="X381">
        <f t="shared" si="277"/>
        <v>0</v>
      </c>
      <c r="Y381">
        <f t="shared" si="278"/>
        <v>0</v>
      </c>
      <c r="AA381">
        <v>42446460</v>
      </c>
      <c r="AB381">
        <f t="shared" si="279"/>
        <v>128.38</v>
      </c>
      <c r="AC381">
        <f t="shared" si="280"/>
        <v>0</v>
      </c>
      <c r="AD381">
        <f t="shared" si="281"/>
        <v>128.38</v>
      </c>
      <c r="AE381">
        <f t="shared" si="282"/>
        <v>23.21</v>
      </c>
      <c r="AF381">
        <f>ROUND((EV381),6)</f>
        <v>0</v>
      </c>
      <c r="AG381">
        <f t="shared" si="284"/>
        <v>0</v>
      </c>
      <c r="AH381">
        <f>(EW381)</f>
        <v>0</v>
      </c>
      <c r="AI381">
        <f t="shared" si="286"/>
        <v>0</v>
      </c>
      <c r="AJ381">
        <f t="shared" si="287"/>
        <v>0</v>
      </c>
      <c r="AK381">
        <v>128.38</v>
      </c>
      <c r="AL381">
        <v>0</v>
      </c>
      <c r="AM381">
        <v>128.38</v>
      </c>
      <c r="AN381">
        <v>23.21</v>
      </c>
      <c r="AO381">
        <v>0</v>
      </c>
      <c r="AP381">
        <v>0</v>
      </c>
      <c r="AQ381">
        <v>0</v>
      </c>
      <c r="AR381">
        <v>0</v>
      </c>
      <c r="AS381">
        <v>0</v>
      </c>
      <c r="AT381">
        <v>0</v>
      </c>
      <c r="AU381">
        <v>0</v>
      </c>
      <c r="AV381">
        <v>1</v>
      </c>
      <c r="AW381">
        <v>1</v>
      </c>
      <c r="AZ381">
        <v>1</v>
      </c>
      <c r="BA381">
        <v>1</v>
      </c>
      <c r="BB381">
        <v>8.4600000000000009</v>
      </c>
      <c r="BC381">
        <v>1</v>
      </c>
      <c r="BD381" t="s">
        <v>3</v>
      </c>
      <c r="BE381" t="s">
        <v>3</v>
      </c>
      <c r="BF381" t="s">
        <v>3</v>
      </c>
      <c r="BG381" t="s">
        <v>3</v>
      </c>
      <c r="BH381">
        <v>2</v>
      </c>
      <c r="BI381">
        <v>1</v>
      </c>
      <c r="BJ381" t="s">
        <v>410</v>
      </c>
      <c r="BM381">
        <v>400001</v>
      </c>
      <c r="BN381">
        <v>0</v>
      </c>
      <c r="BO381" t="s">
        <v>407</v>
      </c>
      <c r="BP381">
        <v>1</v>
      </c>
      <c r="BQ381">
        <v>190</v>
      </c>
      <c r="BR381">
        <v>0</v>
      </c>
      <c r="BS381">
        <v>18.11</v>
      </c>
      <c r="BT381">
        <v>1</v>
      </c>
      <c r="BU381">
        <v>1</v>
      </c>
      <c r="BV381">
        <v>1</v>
      </c>
      <c r="BW381">
        <v>1</v>
      </c>
      <c r="BX381">
        <v>1</v>
      </c>
      <c r="BY381" t="s">
        <v>3</v>
      </c>
      <c r="BZ381">
        <v>0</v>
      </c>
      <c r="CA381">
        <v>0</v>
      </c>
      <c r="CF381">
        <v>0</v>
      </c>
      <c r="CG381">
        <v>0</v>
      </c>
      <c r="CM381">
        <v>0</v>
      </c>
      <c r="CN381" t="s">
        <v>3</v>
      </c>
      <c r="CO381">
        <v>0</v>
      </c>
      <c r="CP381">
        <f t="shared" si="288"/>
        <v>433319.24</v>
      </c>
      <c r="CQ381">
        <f t="shared" si="289"/>
        <v>0</v>
      </c>
      <c r="CR381">
        <f t="shared" si="290"/>
        <v>1086.0948000000001</v>
      </c>
      <c r="CS381">
        <f t="shared" si="291"/>
        <v>420.3331</v>
      </c>
      <c r="CT381">
        <f t="shared" si="292"/>
        <v>0</v>
      </c>
      <c r="CU381">
        <f t="shared" si="293"/>
        <v>0</v>
      </c>
      <c r="CV381">
        <f t="shared" si="294"/>
        <v>0</v>
      </c>
      <c r="CW381">
        <f t="shared" si="295"/>
        <v>0</v>
      </c>
      <c r="CX381">
        <f t="shared" si="296"/>
        <v>0</v>
      </c>
      <c r="CY381">
        <f t="shared" si="297"/>
        <v>0</v>
      </c>
      <c r="CZ381">
        <f t="shared" si="298"/>
        <v>0</v>
      </c>
      <c r="DC381" t="s">
        <v>3</v>
      </c>
      <c r="DD381" t="s">
        <v>3</v>
      </c>
      <c r="DE381" t="s">
        <v>3</v>
      </c>
      <c r="DF381" t="s">
        <v>3</v>
      </c>
      <c r="DG381" t="s">
        <v>3</v>
      </c>
      <c r="DH381" t="s">
        <v>3</v>
      </c>
      <c r="DI381" t="s">
        <v>3</v>
      </c>
      <c r="DJ381" t="s">
        <v>3</v>
      </c>
      <c r="DK381" t="s">
        <v>3</v>
      </c>
      <c r="DL381" t="s">
        <v>3</v>
      </c>
      <c r="DM381" t="s">
        <v>3</v>
      </c>
      <c r="DN381">
        <v>0</v>
      </c>
      <c r="DO381">
        <v>0</v>
      </c>
      <c r="DP381">
        <v>1</v>
      </c>
      <c r="DQ381">
        <v>1</v>
      </c>
      <c r="DU381">
        <v>1011</v>
      </c>
      <c r="DV381" t="s">
        <v>409</v>
      </c>
      <c r="DW381" t="s">
        <v>409</v>
      </c>
      <c r="DX381">
        <v>1</v>
      </c>
      <c r="EE381">
        <v>42188013</v>
      </c>
      <c r="EF381">
        <v>190</v>
      </c>
      <c r="EG381" t="s">
        <v>411</v>
      </c>
      <c r="EH381">
        <v>0</v>
      </c>
      <c r="EI381" t="s">
        <v>3</v>
      </c>
      <c r="EJ381">
        <v>1</v>
      </c>
      <c r="EK381">
        <v>400001</v>
      </c>
      <c r="EL381" t="s">
        <v>412</v>
      </c>
      <c r="EM381" t="s">
        <v>413</v>
      </c>
      <c r="EO381" t="s">
        <v>3</v>
      </c>
      <c r="EQ381">
        <v>131072</v>
      </c>
      <c r="ER381">
        <v>128.38</v>
      </c>
      <c r="ES381">
        <v>0</v>
      </c>
      <c r="ET381">
        <v>128.38</v>
      </c>
      <c r="EU381">
        <v>23.21</v>
      </c>
      <c r="EV381">
        <v>0</v>
      </c>
      <c r="EW381">
        <v>0</v>
      </c>
      <c r="EX381">
        <v>0</v>
      </c>
      <c r="EY381">
        <v>0</v>
      </c>
      <c r="FQ381">
        <v>0</v>
      </c>
      <c r="FR381">
        <f t="shared" si="299"/>
        <v>0</v>
      </c>
      <c r="FS381">
        <v>0</v>
      </c>
      <c r="FX381">
        <v>0</v>
      </c>
      <c r="FY381">
        <v>0</v>
      </c>
      <c r="GA381" t="s">
        <v>3</v>
      </c>
      <c r="GD381">
        <v>0</v>
      </c>
      <c r="GF381">
        <v>289135266</v>
      </c>
      <c r="GG381">
        <v>2</v>
      </c>
      <c r="GH381">
        <v>0</v>
      </c>
      <c r="GI381">
        <v>0</v>
      </c>
      <c r="GJ381">
        <v>0</v>
      </c>
      <c r="GK381">
        <f>ROUND(R381*(R12)/100,2)</f>
        <v>280059.5</v>
      </c>
      <c r="GL381">
        <f t="shared" si="300"/>
        <v>0</v>
      </c>
      <c r="GM381">
        <f t="shared" si="301"/>
        <v>713378.74</v>
      </c>
      <c r="GN381">
        <f t="shared" si="302"/>
        <v>713378.74</v>
      </c>
      <c r="GO381">
        <f t="shared" si="303"/>
        <v>0</v>
      </c>
      <c r="GP381">
        <f t="shared" si="304"/>
        <v>0</v>
      </c>
      <c r="GR381">
        <v>0</v>
      </c>
      <c r="GS381">
        <v>0</v>
      </c>
      <c r="GT381">
        <v>0</v>
      </c>
      <c r="GU381" t="s">
        <v>3</v>
      </c>
      <c r="GV381">
        <f t="shared" si="305"/>
        <v>0</v>
      </c>
      <c r="GW381">
        <v>1</v>
      </c>
      <c r="GX381">
        <f t="shared" si="306"/>
        <v>0</v>
      </c>
      <c r="HA381">
        <v>0</v>
      </c>
      <c r="HB381">
        <v>0</v>
      </c>
      <c r="IK381">
        <v>0</v>
      </c>
    </row>
    <row r="383" spans="1:245" x14ac:dyDescent="0.2">
      <c r="A383" s="2">
        <v>51</v>
      </c>
      <c r="B383" s="2">
        <f>B368</f>
        <v>1</v>
      </c>
      <c r="C383" s="2">
        <f>A368</f>
        <v>5</v>
      </c>
      <c r="D383" s="2">
        <f>ROW(A368)</f>
        <v>368</v>
      </c>
      <c r="E383" s="2"/>
      <c r="F383" s="2" t="str">
        <f>IF(F368&lt;&gt;"",F368,"")</f>
        <v>Новый подраздел</v>
      </c>
      <c r="G383" s="2" t="str">
        <f>IF(G368&lt;&gt;"",G368,"")</f>
        <v>3.1 ПНР</v>
      </c>
      <c r="H383" s="2">
        <v>0</v>
      </c>
      <c r="I383" s="2"/>
      <c r="J383" s="2"/>
      <c r="K383" s="2"/>
      <c r="L383" s="2"/>
      <c r="M383" s="2"/>
      <c r="N383" s="2"/>
      <c r="O383" s="2">
        <f t="shared" ref="O383:T383" si="307">ROUND(AB383,2)</f>
        <v>2196832.2200000002</v>
      </c>
      <c r="P383" s="2">
        <f t="shared" si="307"/>
        <v>0</v>
      </c>
      <c r="Q383" s="2">
        <f t="shared" si="307"/>
        <v>433319.24</v>
      </c>
      <c r="R383" s="2">
        <f t="shared" si="307"/>
        <v>167700.29999999999</v>
      </c>
      <c r="S383" s="2">
        <f t="shared" si="307"/>
        <v>1763512.98</v>
      </c>
      <c r="T383" s="2">
        <f t="shared" si="307"/>
        <v>0</v>
      </c>
      <c r="U383" s="2">
        <f>AH383</f>
        <v>5724.8319999999994</v>
      </c>
      <c r="V383" s="2">
        <f>AI383</f>
        <v>0</v>
      </c>
      <c r="W383" s="2">
        <f>ROUND(AJ383,2)</f>
        <v>0</v>
      </c>
      <c r="X383" s="2">
        <f>ROUND(AK383,2)</f>
        <v>1269729.3500000001</v>
      </c>
      <c r="Y383" s="2">
        <f>ROUND(AL383,2)</f>
        <v>775945.71</v>
      </c>
      <c r="Z383" s="2"/>
      <c r="AA383" s="2"/>
      <c r="AB383" s="2">
        <f>ROUND(SUMIF(AA372:AA381,"=42446460",O372:O381),2)</f>
        <v>2196832.2200000002</v>
      </c>
      <c r="AC383" s="2">
        <f>ROUND(SUMIF(AA372:AA381,"=42446460",P372:P381),2)</f>
        <v>0</v>
      </c>
      <c r="AD383" s="2">
        <f>ROUND(SUMIF(AA372:AA381,"=42446460",Q372:Q381),2)</f>
        <v>433319.24</v>
      </c>
      <c r="AE383" s="2">
        <f>ROUND(SUMIF(AA372:AA381,"=42446460",R372:R381),2)</f>
        <v>167700.29999999999</v>
      </c>
      <c r="AF383" s="2">
        <f>ROUND(SUMIF(AA372:AA381,"=42446460",S372:S381),2)</f>
        <v>1763512.98</v>
      </c>
      <c r="AG383" s="2">
        <f>ROUND(SUMIF(AA372:AA381,"=42446460",T372:T381),2)</f>
        <v>0</v>
      </c>
      <c r="AH383" s="2">
        <f>SUMIF(AA372:AA381,"=42446460",U372:U381)</f>
        <v>5724.8319999999994</v>
      </c>
      <c r="AI383" s="2">
        <f>SUMIF(AA372:AA381,"=42446460",V372:V381)</f>
        <v>0</v>
      </c>
      <c r="AJ383" s="2">
        <f>ROUND(SUMIF(AA372:AA381,"=42446460",W372:W381),2)</f>
        <v>0</v>
      </c>
      <c r="AK383" s="2">
        <f>ROUND(SUMIF(AA372:AA381,"=42446460",X372:X381),2)</f>
        <v>1269729.3500000001</v>
      </c>
      <c r="AL383" s="2">
        <f>ROUND(SUMIF(AA372:AA381,"=42446460",Y372:Y381),2)</f>
        <v>775945.71</v>
      </c>
      <c r="AM383" s="2"/>
      <c r="AN383" s="2"/>
      <c r="AO383" s="2">
        <f t="shared" ref="AO383:BC383" si="308">ROUND(BX383,2)</f>
        <v>0</v>
      </c>
      <c r="AP383" s="2">
        <f t="shared" si="308"/>
        <v>0</v>
      </c>
      <c r="AQ383" s="2">
        <f t="shared" si="308"/>
        <v>0</v>
      </c>
      <c r="AR383" s="2">
        <f t="shared" si="308"/>
        <v>4522566.78</v>
      </c>
      <c r="AS383" s="2">
        <f t="shared" si="308"/>
        <v>713378.74</v>
      </c>
      <c r="AT383" s="2">
        <f t="shared" si="308"/>
        <v>0</v>
      </c>
      <c r="AU383" s="2">
        <f t="shared" si="308"/>
        <v>3809188.04</v>
      </c>
      <c r="AV383" s="2">
        <f t="shared" si="308"/>
        <v>0</v>
      </c>
      <c r="AW383" s="2">
        <f t="shared" si="308"/>
        <v>0</v>
      </c>
      <c r="AX383" s="2">
        <f t="shared" si="308"/>
        <v>0</v>
      </c>
      <c r="AY383" s="2">
        <f t="shared" si="308"/>
        <v>0</v>
      </c>
      <c r="AZ383" s="2">
        <f t="shared" si="308"/>
        <v>0</v>
      </c>
      <c r="BA383" s="2">
        <f t="shared" si="308"/>
        <v>0</v>
      </c>
      <c r="BB383" s="2">
        <f t="shared" si="308"/>
        <v>0</v>
      </c>
      <c r="BC383" s="2">
        <f t="shared" si="308"/>
        <v>0</v>
      </c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>
        <f>ROUND(SUMIF(AA372:AA381,"=42446460",FQ372:FQ381),2)</f>
        <v>0</v>
      </c>
      <c r="BY383" s="2">
        <f>ROUND(SUMIF(AA372:AA381,"=42446460",FR372:FR381),2)</f>
        <v>0</v>
      </c>
      <c r="BZ383" s="2">
        <f>ROUND(SUMIF(AA372:AA381,"=42446460",GL372:GL381),2)</f>
        <v>0</v>
      </c>
      <c r="CA383" s="2">
        <f>ROUND(SUMIF(AA372:AA381,"=42446460",GM372:GM381),2)</f>
        <v>4522566.78</v>
      </c>
      <c r="CB383" s="2">
        <f>ROUND(SUMIF(AA372:AA381,"=42446460",GN372:GN381),2)</f>
        <v>713378.74</v>
      </c>
      <c r="CC383" s="2">
        <f>ROUND(SUMIF(AA372:AA381,"=42446460",GO372:GO381),2)</f>
        <v>0</v>
      </c>
      <c r="CD383" s="2">
        <f>ROUND(SUMIF(AA372:AA381,"=42446460",GP372:GP381),2)</f>
        <v>3809188.04</v>
      </c>
      <c r="CE383" s="2">
        <f>AC383-BX383</f>
        <v>0</v>
      </c>
      <c r="CF383" s="2">
        <f>AC383-BY383</f>
        <v>0</v>
      </c>
      <c r="CG383" s="2">
        <f>BX383-BZ383</f>
        <v>0</v>
      </c>
      <c r="CH383" s="2">
        <f>AC383-BX383-BY383+BZ383</f>
        <v>0</v>
      </c>
      <c r="CI383" s="2">
        <f>BY383-BZ383</f>
        <v>0</v>
      </c>
      <c r="CJ383" s="2">
        <f>ROUND(SUMIF(AA372:AA381,"=42446460",GX372:GX381),2)</f>
        <v>0</v>
      </c>
      <c r="CK383" s="2">
        <f>ROUND(SUMIF(AA372:AA381,"=42446460",GY372:GY381),2)</f>
        <v>0</v>
      </c>
      <c r="CL383" s="2">
        <f>ROUND(SUMIF(AA372:AA381,"=42446460",GZ372:GZ381),2)</f>
        <v>0</v>
      </c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  <c r="EK383" s="3"/>
      <c r="EL383" s="3"/>
      <c r="EM383" s="3"/>
      <c r="EN383" s="3"/>
      <c r="EO383" s="3"/>
      <c r="EP383" s="3"/>
      <c r="EQ383" s="3"/>
      <c r="ER383" s="3"/>
      <c r="ES383" s="3"/>
      <c r="ET383" s="3"/>
      <c r="EU383" s="3"/>
      <c r="EV383" s="3"/>
      <c r="EW383" s="3"/>
      <c r="EX383" s="3"/>
      <c r="EY383" s="3"/>
      <c r="EZ383" s="3"/>
      <c r="FA383" s="3"/>
      <c r="FB383" s="3"/>
      <c r="FC383" s="3"/>
      <c r="FD383" s="3"/>
      <c r="FE383" s="3"/>
      <c r="FF383" s="3"/>
      <c r="FG383" s="3"/>
      <c r="FH383" s="3"/>
      <c r="FI383" s="3"/>
      <c r="FJ383" s="3"/>
      <c r="FK383" s="3"/>
      <c r="FL383" s="3"/>
      <c r="FM383" s="3"/>
      <c r="FN383" s="3"/>
      <c r="FO383" s="3"/>
      <c r="FP383" s="3"/>
      <c r="FQ383" s="3"/>
      <c r="FR383" s="3"/>
      <c r="FS383" s="3"/>
      <c r="FT383" s="3"/>
      <c r="FU383" s="3"/>
      <c r="FV383" s="3"/>
      <c r="FW383" s="3"/>
      <c r="FX383" s="3"/>
      <c r="FY383" s="3"/>
      <c r="FZ383" s="3"/>
      <c r="GA383" s="3"/>
      <c r="GB383" s="3"/>
      <c r="GC383" s="3"/>
      <c r="GD383" s="3"/>
      <c r="GE383" s="3"/>
      <c r="GF383" s="3"/>
      <c r="GG383" s="3"/>
      <c r="GH383" s="3"/>
      <c r="GI383" s="3"/>
      <c r="GJ383" s="3"/>
      <c r="GK383" s="3"/>
      <c r="GL383" s="3"/>
      <c r="GM383" s="3"/>
      <c r="GN383" s="3"/>
      <c r="GO383" s="3"/>
      <c r="GP383" s="3"/>
      <c r="GQ383" s="3"/>
      <c r="GR383" s="3"/>
      <c r="GS383" s="3"/>
      <c r="GT383" s="3"/>
      <c r="GU383" s="3"/>
      <c r="GV383" s="3"/>
      <c r="GW383" s="3"/>
      <c r="GX383" s="3">
        <v>0</v>
      </c>
    </row>
    <row r="385" spans="1:23" x14ac:dyDescent="0.2">
      <c r="A385" s="4">
        <v>50</v>
      </c>
      <c r="B385" s="4">
        <v>0</v>
      </c>
      <c r="C385" s="4">
        <v>0</v>
      </c>
      <c r="D385" s="4">
        <v>1</v>
      </c>
      <c r="E385" s="4">
        <v>201</v>
      </c>
      <c r="F385" s="4">
        <f>ROUND(Source!O383,O385)</f>
        <v>2196832.2200000002</v>
      </c>
      <c r="G385" s="4" t="s">
        <v>74</v>
      </c>
      <c r="H385" s="4" t="s">
        <v>75</v>
      </c>
      <c r="I385" s="4"/>
      <c r="J385" s="4"/>
      <c r="K385" s="4">
        <v>201</v>
      </c>
      <c r="L385" s="4">
        <v>1</v>
      </c>
      <c r="M385" s="4">
        <v>3</v>
      </c>
      <c r="N385" s="4" t="s">
        <v>3</v>
      </c>
      <c r="O385" s="4">
        <v>2</v>
      </c>
      <c r="P385" s="4"/>
      <c r="Q385" s="4"/>
      <c r="R385" s="4"/>
      <c r="S385" s="4"/>
      <c r="T385" s="4"/>
      <c r="U385" s="4"/>
      <c r="V385" s="4"/>
      <c r="W385" s="4"/>
    </row>
    <row r="386" spans="1:23" x14ac:dyDescent="0.2">
      <c r="A386" s="4">
        <v>50</v>
      </c>
      <c r="B386" s="4">
        <v>0</v>
      </c>
      <c r="C386" s="4">
        <v>0</v>
      </c>
      <c r="D386" s="4">
        <v>1</v>
      </c>
      <c r="E386" s="4">
        <v>202</v>
      </c>
      <c r="F386" s="4">
        <f>ROUND(Source!P383,O386)</f>
        <v>0</v>
      </c>
      <c r="G386" s="4" t="s">
        <v>76</v>
      </c>
      <c r="H386" s="4" t="s">
        <v>77</v>
      </c>
      <c r="I386" s="4"/>
      <c r="J386" s="4"/>
      <c r="K386" s="4">
        <v>202</v>
      </c>
      <c r="L386" s="4">
        <v>2</v>
      </c>
      <c r="M386" s="4">
        <v>3</v>
      </c>
      <c r="N386" s="4" t="s">
        <v>3</v>
      </c>
      <c r="O386" s="4">
        <v>2</v>
      </c>
      <c r="P386" s="4"/>
      <c r="Q386" s="4"/>
      <c r="R386" s="4"/>
      <c r="S386" s="4"/>
      <c r="T386" s="4"/>
      <c r="U386" s="4"/>
      <c r="V386" s="4"/>
      <c r="W386" s="4"/>
    </row>
    <row r="387" spans="1:23" x14ac:dyDescent="0.2">
      <c r="A387" s="4">
        <v>50</v>
      </c>
      <c r="B387" s="4">
        <v>0</v>
      </c>
      <c r="C387" s="4">
        <v>0</v>
      </c>
      <c r="D387" s="4">
        <v>1</v>
      </c>
      <c r="E387" s="4">
        <v>222</v>
      </c>
      <c r="F387" s="4">
        <f>ROUND(Source!AO383,O387)</f>
        <v>0</v>
      </c>
      <c r="G387" s="4" t="s">
        <v>78</v>
      </c>
      <c r="H387" s="4" t="s">
        <v>79</v>
      </c>
      <c r="I387" s="4"/>
      <c r="J387" s="4"/>
      <c r="K387" s="4">
        <v>222</v>
      </c>
      <c r="L387" s="4">
        <v>3</v>
      </c>
      <c r="M387" s="4">
        <v>3</v>
      </c>
      <c r="N387" s="4" t="s">
        <v>3</v>
      </c>
      <c r="O387" s="4">
        <v>2</v>
      </c>
      <c r="P387" s="4"/>
      <c r="Q387" s="4"/>
      <c r="R387" s="4"/>
      <c r="S387" s="4"/>
      <c r="T387" s="4"/>
      <c r="U387" s="4"/>
      <c r="V387" s="4"/>
      <c r="W387" s="4"/>
    </row>
    <row r="388" spans="1:23" x14ac:dyDescent="0.2">
      <c r="A388" s="4">
        <v>50</v>
      </c>
      <c r="B388" s="4">
        <v>0</v>
      </c>
      <c r="C388" s="4">
        <v>0</v>
      </c>
      <c r="D388" s="4">
        <v>1</v>
      </c>
      <c r="E388" s="4">
        <v>225</v>
      </c>
      <c r="F388" s="4">
        <f>ROUND(Source!AV383,O388)</f>
        <v>0</v>
      </c>
      <c r="G388" s="4" t="s">
        <v>80</v>
      </c>
      <c r="H388" s="4" t="s">
        <v>81</v>
      </c>
      <c r="I388" s="4"/>
      <c r="J388" s="4"/>
      <c r="K388" s="4">
        <v>225</v>
      </c>
      <c r="L388" s="4">
        <v>4</v>
      </c>
      <c r="M388" s="4">
        <v>3</v>
      </c>
      <c r="N388" s="4" t="s">
        <v>3</v>
      </c>
      <c r="O388" s="4">
        <v>2</v>
      </c>
      <c r="P388" s="4"/>
      <c r="Q388" s="4"/>
      <c r="R388" s="4"/>
      <c r="S388" s="4"/>
      <c r="T388" s="4"/>
      <c r="U388" s="4"/>
      <c r="V388" s="4"/>
      <c r="W388" s="4"/>
    </row>
    <row r="389" spans="1:23" x14ac:dyDescent="0.2">
      <c r="A389" s="4">
        <v>50</v>
      </c>
      <c r="B389" s="4">
        <v>0</v>
      </c>
      <c r="C389" s="4">
        <v>0</v>
      </c>
      <c r="D389" s="4">
        <v>1</v>
      </c>
      <c r="E389" s="4">
        <v>226</v>
      </c>
      <c r="F389" s="4">
        <f>ROUND(Source!AW383,O389)</f>
        <v>0</v>
      </c>
      <c r="G389" s="4" t="s">
        <v>82</v>
      </c>
      <c r="H389" s="4" t="s">
        <v>83</v>
      </c>
      <c r="I389" s="4"/>
      <c r="J389" s="4"/>
      <c r="K389" s="4">
        <v>226</v>
      </c>
      <c r="L389" s="4">
        <v>5</v>
      </c>
      <c r="M389" s="4">
        <v>3</v>
      </c>
      <c r="N389" s="4" t="s">
        <v>3</v>
      </c>
      <c r="O389" s="4">
        <v>2</v>
      </c>
      <c r="P389" s="4"/>
      <c r="Q389" s="4"/>
      <c r="R389" s="4"/>
      <c r="S389" s="4"/>
      <c r="T389" s="4"/>
      <c r="U389" s="4"/>
      <c r="V389" s="4"/>
      <c r="W389" s="4"/>
    </row>
    <row r="390" spans="1:23" x14ac:dyDescent="0.2">
      <c r="A390" s="4">
        <v>50</v>
      </c>
      <c r="B390" s="4">
        <v>0</v>
      </c>
      <c r="C390" s="4">
        <v>0</v>
      </c>
      <c r="D390" s="4">
        <v>1</v>
      </c>
      <c r="E390" s="4">
        <v>227</v>
      </c>
      <c r="F390" s="4">
        <f>ROUND(Source!AX383,O390)</f>
        <v>0</v>
      </c>
      <c r="G390" s="4" t="s">
        <v>84</v>
      </c>
      <c r="H390" s="4" t="s">
        <v>85</v>
      </c>
      <c r="I390" s="4"/>
      <c r="J390" s="4"/>
      <c r="K390" s="4">
        <v>227</v>
      </c>
      <c r="L390" s="4">
        <v>6</v>
      </c>
      <c r="M390" s="4">
        <v>3</v>
      </c>
      <c r="N390" s="4" t="s">
        <v>3</v>
      </c>
      <c r="O390" s="4">
        <v>2</v>
      </c>
      <c r="P390" s="4"/>
      <c r="Q390" s="4"/>
      <c r="R390" s="4"/>
      <c r="S390" s="4"/>
      <c r="T390" s="4"/>
      <c r="U390" s="4"/>
      <c r="V390" s="4"/>
      <c r="W390" s="4"/>
    </row>
    <row r="391" spans="1:23" x14ac:dyDescent="0.2">
      <c r="A391" s="4">
        <v>50</v>
      </c>
      <c r="B391" s="4">
        <v>0</v>
      </c>
      <c r="C391" s="4">
        <v>0</v>
      </c>
      <c r="D391" s="4">
        <v>1</v>
      </c>
      <c r="E391" s="4">
        <v>228</v>
      </c>
      <c r="F391" s="4">
        <f>ROUND(Source!AY383,O391)</f>
        <v>0</v>
      </c>
      <c r="G391" s="4" t="s">
        <v>86</v>
      </c>
      <c r="H391" s="4" t="s">
        <v>87</v>
      </c>
      <c r="I391" s="4"/>
      <c r="J391" s="4"/>
      <c r="K391" s="4">
        <v>228</v>
      </c>
      <c r="L391" s="4">
        <v>7</v>
      </c>
      <c r="M391" s="4">
        <v>3</v>
      </c>
      <c r="N391" s="4" t="s">
        <v>3</v>
      </c>
      <c r="O391" s="4">
        <v>2</v>
      </c>
      <c r="P391" s="4"/>
      <c r="Q391" s="4"/>
      <c r="R391" s="4"/>
      <c r="S391" s="4"/>
      <c r="T391" s="4"/>
      <c r="U391" s="4"/>
      <c r="V391" s="4"/>
      <c r="W391" s="4"/>
    </row>
    <row r="392" spans="1:23" x14ac:dyDescent="0.2">
      <c r="A392" s="4">
        <v>50</v>
      </c>
      <c r="B392" s="4">
        <v>0</v>
      </c>
      <c r="C392" s="4">
        <v>0</v>
      </c>
      <c r="D392" s="4">
        <v>1</v>
      </c>
      <c r="E392" s="4">
        <v>216</v>
      </c>
      <c r="F392" s="4">
        <f>ROUND(Source!AP383,O392)</f>
        <v>0</v>
      </c>
      <c r="G392" s="4" t="s">
        <v>88</v>
      </c>
      <c r="H392" s="4" t="s">
        <v>89</v>
      </c>
      <c r="I392" s="4"/>
      <c r="J392" s="4"/>
      <c r="K392" s="4">
        <v>216</v>
      </c>
      <c r="L392" s="4">
        <v>8</v>
      </c>
      <c r="M392" s="4">
        <v>3</v>
      </c>
      <c r="N392" s="4" t="s">
        <v>3</v>
      </c>
      <c r="O392" s="4">
        <v>2</v>
      </c>
      <c r="P392" s="4"/>
      <c r="Q392" s="4"/>
      <c r="R392" s="4"/>
      <c r="S392" s="4"/>
      <c r="T392" s="4"/>
      <c r="U392" s="4"/>
      <c r="V392" s="4"/>
      <c r="W392" s="4"/>
    </row>
    <row r="393" spans="1:23" x14ac:dyDescent="0.2">
      <c r="A393" s="4">
        <v>50</v>
      </c>
      <c r="B393" s="4">
        <v>0</v>
      </c>
      <c r="C393" s="4">
        <v>0</v>
      </c>
      <c r="D393" s="4">
        <v>1</v>
      </c>
      <c r="E393" s="4">
        <v>223</v>
      </c>
      <c r="F393" s="4">
        <f>ROUND(Source!AQ383,O393)</f>
        <v>0</v>
      </c>
      <c r="G393" s="4" t="s">
        <v>90</v>
      </c>
      <c r="H393" s="4" t="s">
        <v>91</v>
      </c>
      <c r="I393" s="4"/>
      <c r="J393" s="4"/>
      <c r="K393" s="4">
        <v>223</v>
      </c>
      <c r="L393" s="4">
        <v>9</v>
      </c>
      <c r="M393" s="4">
        <v>3</v>
      </c>
      <c r="N393" s="4" t="s">
        <v>3</v>
      </c>
      <c r="O393" s="4">
        <v>2</v>
      </c>
      <c r="P393" s="4"/>
      <c r="Q393" s="4"/>
      <c r="R393" s="4"/>
      <c r="S393" s="4"/>
      <c r="T393" s="4"/>
      <c r="U393" s="4"/>
      <c r="V393" s="4"/>
      <c r="W393" s="4"/>
    </row>
    <row r="394" spans="1:23" x14ac:dyDescent="0.2">
      <c r="A394" s="4">
        <v>50</v>
      </c>
      <c r="B394" s="4">
        <v>0</v>
      </c>
      <c r="C394" s="4">
        <v>0</v>
      </c>
      <c r="D394" s="4">
        <v>1</v>
      </c>
      <c r="E394" s="4">
        <v>229</v>
      </c>
      <c r="F394" s="4">
        <f>ROUND(Source!AZ383,O394)</f>
        <v>0</v>
      </c>
      <c r="G394" s="4" t="s">
        <v>92</v>
      </c>
      <c r="H394" s="4" t="s">
        <v>93</v>
      </c>
      <c r="I394" s="4"/>
      <c r="J394" s="4"/>
      <c r="K394" s="4">
        <v>229</v>
      </c>
      <c r="L394" s="4">
        <v>10</v>
      </c>
      <c r="M394" s="4">
        <v>3</v>
      </c>
      <c r="N394" s="4" t="s">
        <v>3</v>
      </c>
      <c r="O394" s="4">
        <v>2</v>
      </c>
      <c r="P394" s="4"/>
      <c r="Q394" s="4"/>
      <c r="R394" s="4"/>
      <c r="S394" s="4"/>
      <c r="T394" s="4"/>
      <c r="U394" s="4"/>
      <c r="V394" s="4"/>
      <c r="W394" s="4"/>
    </row>
    <row r="395" spans="1:23" x14ac:dyDescent="0.2">
      <c r="A395" s="4">
        <v>50</v>
      </c>
      <c r="B395" s="4">
        <v>0</v>
      </c>
      <c r="C395" s="4">
        <v>0</v>
      </c>
      <c r="D395" s="4">
        <v>1</v>
      </c>
      <c r="E395" s="4">
        <v>203</v>
      </c>
      <c r="F395" s="4">
        <f>ROUND(Source!Q383,O395)</f>
        <v>433319.24</v>
      </c>
      <c r="G395" s="4" t="s">
        <v>94</v>
      </c>
      <c r="H395" s="4" t="s">
        <v>95</v>
      </c>
      <c r="I395" s="4"/>
      <c r="J395" s="4"/>
      <c r="K395" s="4">
        <v>203</v>
      </c>
      <c r="L395" s="4">
        <v>11</v>
      </c>
      <c r="M395" s="4">
        <v>3</v>
      </c>
      <c r="N395" s="4" t="s">
        <v>3</v>
      </c>
      <c r="O395" s="4">
        <v>2</v>
      </c>
      <c r="P395" s="4"/>
      <c r="Q395" s="4"/>
      <c r="R395" s="4"/>
      <c r="S395" s="4"/>
      <c r="T395" s="4"/>
      <c r="U395" s="4"/>
      <c r="V395" s="4"/>
      <c r="W395" s="4"/>
    </row>
    <row r="396" spans="1:23" x14ac:dyDescent="0.2">
      <c r="A396" s="4">
        <v>50</v>
      </c>
      <c r="B396" s="4">
        <v>0</v>
      </c>
      <c r="C396" s="4">
        <v>0</v>
      </c>
      <c r="D396" s="4">
        <v>1</v>
      </c>
      <c r="E396" s="4">
        <v>231</v>
      </c>
      <c r="F396" s="4">
        <f>ROUND(Source!BB383,O396)</f>
        <v>0</v>
      </c>
      <c r="G396" s="4" t="s">
        <v>96</v>
      </c>
      <c r="H396" s="4" t="s">
        <v>97</v>
      </c>
      <c r="I396" s="4"/>
      <c r="J396" s="4"/>
      <c r="K396" s="4">
        <v>231</v>
      </c>
      <c r="L396" s="4">
        <v>12</v>
      </c>
      <c r="M396" s="4">
        <v>3</v>
      </c>
      <c r="N396" s="4" t="s">
        <v>3</v>
      </c>
      <c r="O396" s="4">
        <v>2</v>
      </c>
      <c r="P396" s="4"/>
      <c r="Q396" s="4"/>
      <c r="R396" s="4"/>
      <c r="S396" s="4"/>
      <c r="T396" s="4"/>
      <c r="U396" s="4"/>
      <c r="V396" s="4"/>
      <c r="W396" s="4"/>
    </row>
    <row r="397" spans="1:23" x14ac:dyDescent="0.2">
      <c r="A397" s="4">
        <v>50</v>
      </c>
      <c r="B397" s="4">
        <v>0</v>
      </c>
      <c r="C397" s="4">
        <v>0</v>
      </c>
      <c r="D397" s="4">
        <v>1</v>
      </c>
      <c r="E397" s="4">
        <v>204</v>
      </c>
      <c r="F397" s="4">
        <f>ROUND(Source!R383,O397)</f>
        <v>167700.29999999999</v>
      </c>
      <c r="G397" s="4" t="s">
        <v>98</v>
      </c>
      <c r="H397" s="4" t="s">
        <v>99</v>
      </c>
      <c r="I397" s="4"/>
      <c r="J397" s="4"/>
      <c r="K397" s="4">
        <v>204</v>
      </c>
      <c r="L397" s="4">
        <v>13</v>
      </c>
      <c r="M397" s="4">
        <v>3</v>
      </c>
      <c r="N397" s="4" t="s">
        <v>3</v>
      </c>
      <c r="O397" s="4">
        <v>2</v>
      </c>
      <c r="P397" s="4"/>
      <c r="Q397" s="4"/>
      <c r="R397" s="4"/>
      <c r="S397" s="4"/>
      <c r="T397" s="4"/>
      <c r="U397" s="4"/>
      <c r="V397" s="4"/>
      <c r="W397" s="4"/>
    </row>
    <row r="398" spans="1:23" x14ac:dyDescent="0.2">
      <c r="A398" s="4">
        <v>50</v>
      </c>
      <c r="B398" s="4">
        <v>0</v>
      </c>
      <c r="C398" s="4">
        <v>0</v>
      </c>
      <c r="D398" s="4">
        <v>1</v>
      </c>
      <c r="E398" s="4">
        <v>205</v>
      </c>
      <c r="F398" s="4">
        <f>ROUND(Source!S383,O398)</f>
        <v>1763512.98</v>
      </c>
      <c r="G398" s="4" t="s">
        <v>100</v>
      </c>
      <c r="H398" s="4" t="s">
        <v>101</v>
      </c>
      <c r="I398" s="4"/>
      <c r="J398" s="4"/>
      <c r="K398" s="4">
        <v>205</v>
      </c>
      <c r="L398" s="4">
        <v>14</v>
      </c>
      <c r="M398" s="4">
        <v>3</v>
      </c>
      <c r="N398" s="4" t="s">
        <v>3</v>
      </c>
      <c r="O398" s="4">
        <v>2</v>
      </c>
      <c r="P398" s="4"/>
      <c r="Q398" s="4"/>
      <c r="R398" s="4"/>
      <c r="S398" s="4"/>
      <c r="T398" s="4"/>
      <c r="U398" s="4"/>
      <c r="V398" s="4"/>
      <c r="W398" s="4"/>
    </row>
    <row r="399" spans="1:23" x14ac:dyDescent="0.2">
      <c r="A399" s="4">
        <v>50</v>
      </c>
      <c r="B399" s="4">
        <v>0</v>
      </c>
      <c r="C399" s="4">
        <v>0</v>
      </c>
      <c r="D399" s="4">
        <v>1</v>
      </c>
      <c r="E399" s="4">
        <v>232</v>
      </c>
      <c r="F399" s="4">
        <f>ROUND(Source!BC383,O399)</f>
        <v>0</v>
      </c>
      <c r="G399" s="4" t="s">
        <v>102</v>
      </c>
      <c r="H399" s="4" t="s">
        <v>103</v>
      </c>
      <c r="I399" s="4"/>
      <c r="J399" s="4"/>
      <c r="K399" s="4">
        <v>232</v>
      </c>
      <c r="L399" s="4">
        <v>15</v>
      </c>
      <c r="M399" s="4">
        <v>3</v>
      </c>
      <c r="N399" s="4" t="s">
        <v>3</v>
      </c>
      <c r="O399" s="4">
        <v>2</v>
      </c>
      <c r="P399" s="4"/>
      <c r="Q399" s="4"/>
      <c r="R399" s="4"/>
      <c r="S399" s="4"/>
      <c r="T399" s="4"/>
      <c r="U399" s="4"/>
      <c r="V399" s="4"/>
      <c r="W399" s="4"/>
    </row>
    <row r="400" spans="1:23" x14ac:dyDescent="0.2">
      <c r="A400" s="4">
        <v>50</v>
      </c>
      <c r="B400" s="4">
        <v>0</v>
      </c>
      <c r="C400" s="4">
        <v>0</v>
      </c>
      <c r="D400" s="4">
        <v>1</v>
      </c>
      <c r="E400" s="4">
        <v>214</v>
      </c>
      <c r="F400" s="4">
        <f>ROUND(Source!AS383,O400)</f>
        <v>713378.74</v>
      </c>
      <c r="G400" s="4" t="s">
        <v>104</v>
      </c>
      <c r="H400" s="4" t="s">
        <v>105</v>
      </c>
      <c r="I400" s="4"/>
      <c r="J400" s="4"/>
      <c r="K400" s="4">
        <v>214</v>
      </c>
      <c r="L400" s="4">
        <v>16</v>
      </c>
      <c r="M400" s="4">
        <v>3</v>
      </c>
      <c r="N400" s="4" t="s">
        <v>3</v>
      </c>
      <c r="O400" s="4">
        <v>2</v>
      </c>
      <c r="P400" s="4"/>
      <c r="Q400" s="4"/>
      <c r="R400" s="4"/>
      <c r="S400" s="4"/>
      <c r="T400" s="4"/>
      <c r="U400" s="4"/>
      <c r="V400" s="4"/>
      <c r="W400" s="4"/>
    </row>
    <row r="401" spans="1:206" x14ac:dyDescent="0.2">
      <c r="A401" s="4">
        <v>50</v>
      </c>
      <c r="B401" s="4">
        <v>0</v>
      </c>
      <c r="C401" s="4">
        <v>0</v>
      </c>
      <c r="D401" s="4">
        <v>1</v>
      </c>
      <c r="E401" s="4">
        <v>215</v>
      </c>
      <c r="F401" s="4">
        <f>ROUND(Source!AT383,O401)</f>
        <v>0</v>
      </c>
      <c r="G401" s="4" t="s">
        <v>106</v>
      </c>
      <c r="H401" s="4" t="s">
        <v>107</v>
      </c>
      <c r="I401" s="4"/>
      <c r="J401" s="4"/>
      <c r="K401" s="4">
        <v>215</v>
      </c>
      <c r="L401" s="4">
        <v>17</v>
      </c>
      <c r="M401" s="4">
        <v>3</v>
      </c>
      <c r="N401" s="4" t="s">
        <v>3</v>
      </c>
      <c r="O401" s="4">
        <v>2</v>
      </c>
      <c r="P401" s="4"/>
      <c r="Q401" s="4"/>
      <c r="R401" s="4"/>
      <c r="S401" s="4"/>
      <c r="T401" s="4"/>
      <c r="U401" s="4"/>
      <c r="V401" s="4"/>
      <c r="W401" s="4"/>
    </row>
    <row r="402" spans="1:206" x14ac:dyDescent="0.2">
      <c r="A402" s="4">
        <v>50</v>
      </c>
      <c r="B402" s="4">
        <v>0</v>
      </c>
      <c r="C402" s="4">
        <v>0</v>
      </c>
      <c r="D402" s="4">
        <v>1</v>
      </c>
      <c r="E402" s="4">
        <v>217</v>
      </c>
      <c r="F402" s="4">
        <f>ROUND(Source!AU383,O402)</f>
        <v>3809188.04</v>
      </c>
      <c r="G402" s="4" t="s">
        <v>108</v>
      </c>
      <c r="H402" s="4" t="s">
        <v>109</v>
      </c>
      <c r="I402" s="4"/>
      <c r="J402" s="4"/>
      <c r="K402" s="4">
        <v>217</v>
      </c>
      <c r="L402" s="4">
        <v>18</v>
      </c>
      <c r="M402" s="4">
        <v>3</v>
      </c>
      <c r="N402" s="4" t="s">
        <v>3</v>
      </c>
      <c r="O402" s="4">
        <v>2</v>
      </c>
      <c r="P402" s="4"/>
      <c r="Q402" s="4"/>
      <c r="R402" s="4"/>
      <c r="S402" s="4"/>
      <c r="T402" s="4"/>
      <c r="U402" s="4"/>
      <c r="V402" s="4"/>
      <c r="W402" s="4"/>
    </row>
    <row r="403" spans="1:206" x14ac:dyDescent="0.2">
      <c r="A403" s="4">
        <v>50</v>
      </c>
      <c r="B403" s="4">
        <v>0</v>
      </c>
      <c r="C403" s="4">
        <v>0</v>
      </c>
      <c r="D403" s="4">
        <v>1</v>
      </c>
      <c r="E403" s="4">
        <v>230</v>
      </c>
      <c r="F403" s="4">
        <f>ROUND(Source!BA383,O403)</f>
        <v>0</v>
      </c>
      <c r="G403" s="4" t="s">
        <v>110</v>
      </c>
      <c r="H403" s="4" t="s">
        <v>111</v>
      </c>
      <c r="I403" s="4"/>
      <c r="J403" s="4"/>
      <c r="K403" s="4">
        <v>230</v>
      </c>
      <c r="L403" s="4">
        <v>19</v>
      </c>
      <c r="M403" s="4">
        <v>3</v>
      </c>
      <c r="N403" s="4" t="s">
        <v>3</v>
      </c>
      <c r="O403" s="4">
        <v>2</v>
      </c>
      <c r="P403" s="4"/>
      <c r="Q403" s="4"/>
      <c r="R403" s="4"/>
      <c r="S403" s="4"/>
      <c r="T403" s="4"/>
      <c r="U403" s="4"/>
      <c r="V403" s="4"/>
      <c r="W403" s="4"/>
    </row>
    <row r="404" spans="1:206" x14ac:dyDescent="0.2">
      <c r="A404" s="4">
        <v>50</v>
      </c>
      <c r="B404" s="4">
        <v>0</v>
      </c>
      <c r="C404" s="4">
        <v>0</v>
      </c>
      <c r="D404" s="4">
        <v>1</v>
      </c>
      <c r="E404" s="4">
        <v>206</v>
      </c>
      <c r="F404" s="4">
        <f>ROUND(Source!T383,O404)</f>
        <v>0</v>
      </c>
      <c r="G404" s="4" t="s">
        <v>112</v>
      </c>
      <c r="H404" s="4" t="s">
        <v>113</v>
      </c>
      <c r="I404" s="4"/>
      <c r="J404" s="4"/>
      <c r="K404" s="4">
        <v>206</v>
      </c>
      <c r="L404" s="4">
        <v>20</v>
      </c>
      <c r="M404" s="4">
        <v>3</v>
      </c>
      <c r="N404" s="4" t="s">
        <v>3</v>
      </c>
      <c r="O404" s="4">
        <v>2</v>
      </c>
      <c r="P404" s="4"/>
      <c r="Q404" s="4"/>
      <c r="R404" s="4"/>
      <c r="S404" s="4"/>
      <c r="T404" s="4"/>
      <c r="U404" s="4"/>
      <c r="V404" s="4"/>
      <c r="W404" s="4"/>
    </row>
    <row r="405" spans="1:206" x14ac:dyDescent="0.2">
      <c r="A405" s="4">
        <v>50</v>
      </c>
      <c r="B405" s="4">
        <v>0</v>
      </c>
      <c r="C405" s="4">
        <v>0</v>
      </c>
      <c r="D405" s="4">
        <v>1</v>
      </c>
      <c r="E405" s="4">
        <v>207</v>
      </c>
      <c r="F405" s="4">
        <f>Source!U383</f>
        <v>5724.8319999999994</v>
      </c>
      <c r="G405" s="4" t="s">
        <v>114</v>
      </c>
      <c r="H405" s="4" t="s">
        <v>115</v>
      </c>
      <c r="I405" s="4"/>
      <c r="J405" s="4"/>
      <c r="K405" s="4">
        <v>207</v>
      </c>
      <c r="L405" s="4">
        <v>21</v>
      </c>
      <c r="M405" s="4">
        <v>3</v>
      </c>
      <c r="N405" s="4" t="s">
        <v>3</v>
      </c>
      <c r="O405" s="4">
        <v>-1</v>
      </c>
      <c r="P405" s="4"/>
      <c r="Q405" s="4"/>
      <c r="R405" s="4"/>
      <c r="S405" s="4"/>
      <c r="T405" s="4"/>
      <c r="U405" s="4"/>
      <c r="V405" s="4"/>
      <c r="W405" s="4"/>
    </row>
    <row r="406" spans="1:206" x14ac:dyDescent="0.2">
      <c r="A406" s="4">
        <v>50</v>
      </c>
      <c r="B406" s="4">
        <v>0</v>
      </c>
      <c r="C406" s="4">
        <v>0</v>
      </c>
      <c r="D406" s="4">
        <v>1</v>
      </c>
      <c r="E406" s="4">
        <v>208</v>
      </c>
      <c r="F406" s="4">
        <f>Source!V383</f>
        <v>0</v>
      </c>
      <c r="G406" s="4" t="s">
        <v>116</v>
      </c>
      <c r="H406" s="4" t="s">
        <v>117</v>
      </c>
      <c r="I406" s="4"/>
      <c r="J406" s="4"/>
      <c r="K406" s="4">
        <v>208</v>
      </c>
      <c r="L406" s="4">
        <v>22</v>
      </c>
      <c r="M406" s="4">
        <v>3</v>
      </c>
      <c r="N406" s="4" t="s">
        <v>3</v>
      </c>
      <c r="O406" s="4">
        <v>-1</v>
      </c>
      <c r="P406" s="4"/>
      <c r="Q406" s="4"/>
      <c r="R406" s="4"/>
      <c r="S406" s="4"/>
      <c r="T406" s="4"/>
      <c r="U406" s="4"/>
      <c r="V406" s="4"/>
      <c r="W406" s="4"/>
    </row>
    <row r="407" spans="1:206" x14ac:dyDescent="0.2">
      <c r="A407" s="4">
        <v>50</v>
      </c>
      <c r="B407" s="4">
        <v>0</v>
      </c>
      <c r="C407" s="4">
        <v>0</v>
      </c>
      <c r="D407" s="4">
        <v>1</v>
      </c>
      <c r="E407" s="4">
        <v>209</v>
      </c>
      <c r="F407" s="4">
        <f>ROUND(Source!W383,O407)</f>
        <v>0</v>
      </c>
      <c r="G407" s="4" t="s">
        <v>118</v>
      </c>
      <c r="H407" s="4" t="s">
        <v>119</v>
      </c>
      <c r="I407" s="4"/>
      <c r="J407" s="4"/>
      <c r="K407" s="4">
        <v>209</v>
      </c>
      <c r="L407" s="4">
        <v>23</v>
      </c>
      <c r="M407" s="4">
        <v>3</v>
      </c>
      <c r="N407" s="4" t="s">
        <v>3</v>
      </c>
      <c r="O407" s="4">
        <v>2</v>
      </c>
      <c r="P407" s="4"/>
      <c r="Q407" s="4"/>
      <c r="R407" s="4"/>
      <c r="S407" s="4"/>
      <c r="T407" s="4"/>
      <c r="U407" s="4"/>
      <c r="V407" s="4"/>
      <c r="W407" s="4"/>
    </row>
    <row r="408" spans="1:206" x14ac:dyDescent="0.2">
      <c r="A408" s="4">
        <v>50</v>
      </c>
      <c r="B408" s="4">
        <v>0</v>
      </c>
      <c r="C408" s="4">
        <v>0</v>
      </c>
      <c r="D408" s="4">
        <v>1</v>
      </c>
      <c r="E408" s="4">
        <v>210</v>
      </c>
      <c r="F408" s="4">
        <f>ROUND(Source!X383,O408)</f>
        <v>1269729.3500000001</v>
      </c>
      <c r="G408" s="4" t="s">
        <v>120</v>
      </c>
      <c r="H408" s="4" t="s">
        <v>121</v>
      </c>
      <c r="I408" s="4"/>
      <c r="J408" s="4"/>
      <c r="K408" s="4">
        <v>210</v>
      </c>
      <c r="L408" s="4">
        <v>24</v>
      </c>
      <c r="M408" s="4">
        <v>3</v>
      </c>
      <c r="N408" s="4" t="s">
        <v>3</v>
      </c>
      <c r="O408" s="4">
        <v>2</v>
      </c>
      <c r="P408" s="4"/>
      <c r="Q408" s="4"/>
      <c r="R408" s="4"/>
      <c r="S408" s="4"/>
      <c r="T408" s="4"/>
      <c r="U408" s="4"/>
      <c r="V408" s="4"/>
      <c r="W408" s="4"/>
    </row>
    <row r="409" spans="1:206" x14ac:dyDescent="0.2">
      <c r="A409" s="4">
        <v>50</v>
      </c>
      <c r="B409" s="4">
        <v>0</v>
      </c>
      <c r="C409" s="4">
        <v>0</v>
      </c>
      <c r="D409" s="4">
        <v>1</v>
      </c>
      <c r="E409" s="4">
        <v>211</v>
      </c>
      <c r="F409" s="4">
        <f>ROUND(Source!Y383,O409)</f>
        <v>775945.71</v>
      </c>
      <c r="G409" s="4" t="s">
        <v>122</v>
      </c>
      <c r="H409" s="4" t="s">
        <v>123</v>
      </c>
      <c r="I409" s="4"/>
      <c r="J409" s="4"/>
      <c r="K409" s="4">
        <v>211</v>
      </c>
      <c r="L409" s="4">
        <v>25</v>
      </c>
      <c r="M409" s="4">
        <v>3</v>
      </c>
      <c r="N409" s="4" t="s">
        <v>3</v>
      </c>
      <c r="O409" s="4">
        <v>2</v>
      </c>
      <c r="P409" s="4"/>
      <c r="Q409" s="4"/>
      <c r="R409" s="4"/>
      <c r="S409" s="4"/>
      <c r="T409" s="4"/>
      <c r="U409" s="4"/>
      <c r="V409" s="4"/>
      <c r="W409" s="4"/>
    </row>
    <row r="410" spans="1:206" x14ac:dyDescent="0.2">
      <c r="A410" s="4">
        <v>50</v>
      </c>
      <c r="B410" s="4">
        <v>0</v>
      </c>
      <c r="C410" s="4">
        <v>0</v>
      </c>
      <c r="D410" s="4">
        <v>1</v>
      </c>
      <c r="E410" s="4">
        <v>224</v>
      </c>
      <c r="F410" s="4">
        <f>ROUND(Source!AR383,O410)</f>
        <v>4522566.78</v>
      </c>
      <c r="G410" s="4" t="s">
        <v>124</v>
      </c>
      <c r="H410" s="4" t="s">
        <v>125</v>
      </c>
      <c r="I410" s="4"/>
      <c r="J410" s="4"/>
      <c r="K410" s="4">
        <v>224</v>
      </c>
      <c r="L410" s="4">
        <v>26</v>
      </c>
      <c r="M410" s="4">
        <v>3</v>
      </c>
      <c r="N410" s="4" t="s">
        <v>3</v>
      </c>
      <c r="O410" s="4">
        <v>2</v>
      </c>
      <c r="P410" s="4"/>
      <c r="Q410" s="4"/>
      <c r="R410" s="4"/>
      <c r="S410" s="4"/>
      <c r="T410" s="4"/>
      <c r="U410" s="4"/>
      <c r="V410" s="4"/>
      <c r="W410" s="4"/>
    </row>
    <row r="412" spans="1:206" x14ac:dyDescent="0.2">
      <c r="A412" s="2">
        <v>51</v>
      </c>
      <c r="B412" s="2">
        <f>B24</f>
        <v>1</v>
      </c>
      <c r="C412" s="2">
        <f>A24</f>
        <v>4</v>
      </c>
      <c r="D412" s="2">
        <f>ROW(A24)</f>
        <v>24</v>
      </c>
      <c r="E412" s="2"/>
      <c r="F412" s="2" t="str">
        <f>IF(F24&lt;&gt;"",F24,"")</f>
        <v>Новый раздел</v>
      </c>
      <c r="G412" s="2" t="str">
        <f>IF(G24&lt;&gt;"",G24,"")</f>
        <v>Строительные работы</v>
      </c>
      <c r="H412" s="2">
        <v>0</v>
      </c>
      <c r="I412" s="2"/>
      <c r="J412" s="2"/>
      <c r="K412" s="2"/>
      <c r="L412" s="2"/>
      <c r="M412" s="2"/>
      <c r="N412" s="2"/>
      <c r="O412" s="2">
        <f t="shared" ref="O412:T412" si="309">ROUND(O44+O89+O125+O163+O214+O252+O289+O339+O383+AB412,2)</f>
        <v>9687633.9700000007</v>
      </c>
      <c r="P412" s="2">
        <f t="shared" si="309"/>
        <v>6112992.8200000003</v>
      </c>
      <c r="Q412" s="2">
        <f t="shared" si="309"/>
        <v>1180419.8799999999</v>
      </c>
      <c r="R412" s="2">
        <f t="shared" si="309"/>
        <v>502876.4</v>
      </c>
      <c r="S412" s="2">
        <f t="shared" si="309"/>
        <v>2394221.27</v>
      </c>
      <c r="T412" s="2">
        <f t="shared" si="309"/>
        <v>0</v>
      </c>
      <c r="U412" s="2">
        <f>U44+U89+U125+U163+U214+U252+U289+U339+U383+AH412</f>
        <v>8752.443617429999</v>
      </c>
      <c r="V412" s="2">
        <f>V44+V89+V125+V163+V214+V252+V289+V339+V383+AI412</f>
        <v>0</v>
      </c>
      <c r="W412" s="2">
        <f>ROUND(W44+W89+W125+W163+W214+W252+W289+W339+W383+AJ412,2)</f>
        <v>0</v>
      </c>
      <c r="X412" s="2">
        <f>ROUND(X44+X89+X125+X163+X214+X252+X289+X339+X383+AK412,2)</f>
        <v>1862104.57</v>
      </c>
      <c r="Y412" s="2">
        <f>ROUND(Y44+Y89+Y125+Y163+Y214+Y252+Y289+Y339+Y383+AL412,2)</f>
        <v>1066406.1000000001</v>
      </c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>
        <f t="shared" ref="AO412:BC412" si="310">ROUND(AO44+AO89+AO125+AO163+AO214+AO252+AO289+AO339+AO383+BX412,2)</f>
        <v>0</v>
      </c>
      <c r="AP412" s="2">
        <f t="shared" si="310"/>
        <v>1219962.54</v>
      </c>
      <c r="AQ412" s="2">
        <f t="shared" si="310"/>
        <v>0</v>
      </c>
      <c r="AR412" s="2">
        <f t="shared" si="310"/>
        <v>13455948.24</v>
      </c>
      <c r="AS412" s="2">
        <f t="shared" si="310"/>
        <v>4438817.1500000004</v>
      </c>
      <c r="AT412" s="2">
        <f t="shared" si="310"/>
        <v>3987980.51</v>
      </c>
      <c r="AU412" s="2">
        <f t="shared" si="310"/>
        <v>3809188.04</v>
      </c>
      <c r="AV412" s="2">
        <f t="shared" si="310"/>
        <v>6112992.8200000003</v>
      </c>
      <c r="AW412" s="2">
        <f t="shared" si="310"/>
        <v>4893030.28</v>
      </c>
      <c r="AX412" s="2">
        <f t="shared" si="310"/>
        <v>0</v>
      </c>
      <c r="AY412" s="2">
        <f t="shared" si="310"/>
        <v>4893030.28</v>
      </c>
      <c r="AZ412" s="2">
        <f t="shared" si="310"/>
        <v>1219962.54</v>
      </c>
      <c r="BA412" s="2">
        <f t="shared" si="310"/>
        <v>0</v>
      </c>
      <c r="BB412" s="2">
        <f t="shared" si="310"/>
        <v>0</v>
      </c>
      <c r="BC412" s="2">
        <f t="shared" si="310"/>
        <v>0</v>
      </c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  <c r="FG412" s="3"/>
      <c r="FH412" s="3"/>
      <c r="FI412" s="3"/>
      <c r="FJ412" s="3"/>
      <c r="FK412" s="3"/>
      <c r="FL412" s="3"/>
      <c r="FM412" s="3"/>
      <c r="FN412" s="3"/>
      <c r="FO412" s="3"/>
      <c r="FP412" s="3"/>
      <c r="FQ412" s="3"/>
      <c r="FR412" s="3"/>
      <c r="FS412" s="3"/>
      <c r="FT412" s="3"/>
      <c r="FU412" s="3"/>
      <c r="FV412" s="3"/>
      <c r="FW412" s="3"/>
      <c r="FX412" s="3"/>
      <c r="FY412" s="3"/>
      <c r="FZ412" s="3"/>
      <c r="GA412" s="3"/>
      <c r="GB412" s="3"/>
      <c r="GC412" s="3"/>
      <c r="GD412" s="3"/>
      <c r="GE412" s="3"/>
      <c r="GF412" s="3"/>
      <c r="GG412" s="3"/>
      <c r="GH412" s="3"/>
      <c r="GI412" s="3"/>
      <c r="GJ412" s="3"/>
      <c r="GK412" s="3"/>
      <c r="GL412" s="3"/>
      <c r="GM412" s="3"/>
      <c r="GN412" s="3"/>
      <c r="GO412" s="3"/>
      <c r="GP412" s="3"/>
      <c r="GQ412" s="3"/>
      <c r="GR412" s="3"/>
      <c r="GS412" s="3"/>
      <c r="GT412" s="3"/>
      <c r="GU412" s="3"/>
      <c r="GV412" s="3"/>
      <c r="GW412" s="3"/>
      <c r="GX412" s="3">
        <v>0</v>
      </c>
    </row>
    <row r="414" spans="1:206" x14ac:dyDescent="0.2">
      <c r="A414" s="4">
        <v>50</v>
      </c>
      <c r="B414" s="4">
        <v>0</v>
      </c>
      <c r="C414" s="4">
        <v>0</v>
      </c>
      <c r="D414" s="4">
        <v>1</v>
      </c>
      <c r="E414" s="4">
        <v>201</v>
      </c>
      <c r="F414" s="4">
        <f>ROUND(Source!O412,O414)</f>
        <v>9687633.9700000007</v>
      </c>
      <c r="G414" s="4" t="s">
        <v>74</v>
      </c>
      <c r="H414" s="4" t="s">
        <v>75</v>
      </c>
      <c r="I414" s="4"/>
      <c r="J414" s="4"/>
      <c r="K414" s="4">
        <v>201</v>
      </c>
      <c r="L414" s="4">
        <v>1</v>
      </c>
      <c r="M414" s="4">
        <v>3</v>
      </c>
      <c r="N414" s="4" t="s">
        <v>3</v>
      </c>
      <c r="O414" s="4">
        <v>2</v>
      </c>
      <c r="P414" s="4"/>
      <c r="Q414" s="4"/>
      <c r="R414" s="4"/>
      <c r="S414" s="4"/>
      <c r="T414" s="4"/>
      <c r="U414" s="4"/>
      <c r="V414" s="4"/>
      <c r="W414" s="4"/>
    </row>
    <row r="415" spans="1:206" x14ac:dyDescent="0.2">
      <c r="A415" s="4">
        <v>50</v>
      </c>
      <c r="B415" s="4">
        <v>0</v>
      </c>
      <c r="C415" s="4">
        <v>0</v>
      </c>
      <c r="D415" s="4">
        <v>1</v>
      </c>
      <c r="E415" s="4">
        <v>202</v>
      </c>
      <c r="F415" s="4">
        <f>ROUND(Source!P412,O415)</f>
        <v>6112992.8200000003</v>
      </c>
      <c r="G415" s="4" t="s">
        <v>76</v>
      </c>
      <c r="H415" s="4" t="s">
        <v>77</v>
      </c>
      <c r="I415" s="4"/>
      <c r="J415" s="4"/>
      <c r="K415" s="4">
        <v>202</v>
      </c>
      <c r="L415" s="4">
        <v>2</v>
      </c>
      <c r="M415" s="4">
        <v>3</v>
      </c>
      <c r="N415" s="4" t="s">
        <v>3</v>
      </c>
      <c r="O415" s="4">
        <v>2</v>
      </c>
      <c r="P415" s="4"/>
      <c r="Q415" s="4"/>
      <c r="R415" s="4"/>
      <c r="S415" s="4"/>
      <c r="T415" s="4"/>
      <c r="U415" s="4"/>
      <c r="V415" s="4"/>
      <c r="W415" s="4"/>
    </row>
    <row r="416" spans="1:206" x14ac:dyDescent="0.2">
      <c r="A416" s="4">
        <v>50</v>
      </c>
      <c r="B416" s="4">
        <v>0</v>
      </c>
      <c r="C416" s="4">
        <v>0</v>
      </c>
      <c r="D416" s="4">
        <v>1</v>
      </c>
      <c r="E416" s="4">
        <v>222</v>
      </c>
      <c r="F416" s="4">
        <f>ROUND(Source!AO412,O416)</f>
        <v>0</v>
      </c>
      <c r="G416" s="4" t="s">
        <v>78</v>
      </c>
      <c r="H416" s="4" t="s">
        <v>79</v>
      </c>
      <c r="I416" s="4"/>
      <c r="J416" s="4"/>
      <c r="K416" s="4">
        <v>222</v>
      </c>
      <c r="L416" s="4">
        <v>3</v>
      </c>
      <c r="M416" s="4">
        <v>3</v>
      </c>
      <c r="N416" s="4" t="s">
        <v>3</v>
      </c>
      <c r="O416" s="4">
        <v>2</v>
      </c>
      <c r="P416" s="4"/>
      <c r="Q416" s="4"/>
      <c r="R416" s="4"/>
      <c r="S416" s="4"/>
      <c r="T416" s="4"/>
      <c r="U416" s="4"/>
      <c r="V416" s="4"/>
      <c r="W416" s="4"/>
    </row>
    <row r="417" spans="1:23" x14ac:dyDescent="0.2">
      <c r="A417" s="4">
        <v>50</v>
      </c>
      <c r="B417" s="4">
        <v>0</v>
      </c>
      <c r="C417" s="4">
        <v>0</v>
      </c>
      <c r="D417" s="4">
        <v>1</v>
      </c>
      <c r="E417" s="4">
        <v>225</v>
      </c>
      <c r="F417" s="4">
        <f>ROUND(Source!AV412,O417)</f>
        <v>6112992.8200000003</v>
      </c>
      <c r="G417" s="4" t="s">
        <v>80</v>
      </c>
      <c r="H417" s="4" t="s">
        <v>81</v>
      </c>
      <c r="I417" s="4"/>
      <c r="J417" s="4"/>
      <c r="K417" s="4">
        <v>225</v>
      </c>
      <c r="L417" s="4">
        <v>4</v>
      </c>
      <c r="M417" s="4">
        <v>3</v>
      </c>
      <c r="N417" s="4" t="s">
        <v>3</v>
      </c>
      <c r="O417" s="4">
        <v>2</v>
      </c>
      <c r="P417" s="4"/>
      <c r="Q417" s="4"/>
      <c r="R417" s="4"/>
      <c r="S417" s="4"/>
      <c r="T417" s="4"/>
      <c r="U417" s="4"/>
      <c r="V417" s="4"/>
      <c r="W417" s="4"/>
    </row>
    <row r="418" spans="1:23" x14ac:dyDescent="0.2">
      <c r="A418" s="4">
        <v>50</v>
      </c>
      <c r="B418" s="4">
        <v>0</v>
      </c>
      <c r="C418" s="4">
        <v>0</v>
      </c>
      <c r="D418" s="4">
        <v>1</v>
      </c>
      <c r="E418" s="4">
        <v>226</v>
      </c>
      <c r="F418" s="4">
        <f>ROUND(Source!AW412,O418)</f>
        <v>4893030.28</v>
      </c>
      <c r="G418" s="4" t="s">
        <v>82</v>
      </c>
      <c r="H418" s="4" t="s">
        <v>83</v>
      </c>
      <c r="I418" s="4"/>
      <c r="J418" s="4"/>
      <c r="K418" s="4">
        <v>226</v>
      </c>
      <c r="L418" s="4">
        <v>5</v>
      </c>
      <c r="M418" s="4">
        <v>3</v>
      </c>
      <c r="N418" s="4" t="s">
        <v>3</v>
      </c>
      <c r="O418" s="4">
        <v>2</v>
      </c>
      <c r="P418" s="4"/>
      <c r="Q418" s="4"/>
      <c r="R418" s="4"/>
      <c r="S418" s="4"/>
      <c r="T418" s="4"/>
      <c r="U418" s="4"/>
      <c r="V418" s="4"/>
      <c r="W418" s="4"/>
    </row>
    <row r="419" spans="1:23" x14ac:dyDescent="0.2">
      <c r="A419" s="4">
        <v>50</v>
      </c>
      <c r="B419" s="4">
        <v>0</v>
      </c>
      <c r="C419" s="4">
        <v>0</v>
      </c>
      <c r="D419" s="4">
        <v>1</v>
      </c>
      <c r="E419" s="4">
        <v>227</v>
      </c>
      <c r="F419" s="4">
        <f>ROUND(Source!AX412,O419)</f>
        <v>0</v>
      </c>
      <c r="G419" s="4" t="s">
        <v>84</v>
      </c>
      <c r="H419" s="4" t="s">
        <v>85</v>
      </c>
      <c r="I419" s="4"/>
      <c r="J419" s="4"/>
      <c r="K419" s="4">
        <v>227</v>
      </c>
      <c r="L419" s="4">
        <v>6</v>
      </c>
      <c r="M419" s="4">
        <v>3</v>
      </c>
      <c r="N419" s="4" t="s">
        <v>3</v>
      </c>
      <c r="O419" s="4">
        <v>2</v>
      </c>
      <c r="P419" s="4"/>
      <c r="Q419" s="4"/>
      <c r="R419" s="4"/>
      <c r="S419" s="4"/>
      <c r="T419" s="4"/>
      <c r="U419" s="4"/>
      <c r="V419" s="4"/>
      <c r="W419" s="4"/>
    </row>
    <row r="420" spans="1:23" x14ac:dyDescent="0.2">
      <c r="A420" s="4">
        <v>50</v>
      </c>
      <c r="B420" s="4">
        <v>0</v>
      </c>
      <c r="C420" s="4">
        <v>0</v>
      </c>
      <c r="D420" s="4">
        <v>1</v>
      </c>
      <c r="E420" s="4">
        <v>228</v>
      </c>
      <c r="F420" s="4">
        <f>ROUND(Source!AY412,O420)</f>
        <v>4893030.28</v>
      </c>
      <c r="G420" s="4" t="s">
        <v>86</v>
      </c>
      <c r="H420" s="4" t="s">
        <v>87</v>
      </c>
      <c r="I420" s="4"/>
      <c r="J420" s="4"/>
      <c r="K420" s="4">
        <v>228</v>
      </c>
      <c r="L420" s="4">
        <v>7</v>
      </c>
      <c r="M420" s="4">
        <v>3</v>
      </c>
      <c r="N420" s="4" t="s">
        <v>3</v>
      </c>
      <c r="O420" s="4">
        <v>2</v>
      </c>
      <c r="P420" s="4"/>
      <c r="Q420" s="4"/>
      <c r="R420" s="4"/>
      <c r="S420" s="4"/>
      <c r="T420" s="4"/>
      <c r="U420" s="4"/>
      <c r="V420" s="4"/>
      <c r="W420" s="4"/>
    </row>
    <row r="421" spans="1:23" x14ac:dyDescent="0.2">
      <c r="A421" s="4">
        <v>50</v>
      </c>
      <c r="B421" s="4">
        <v>0</v>
      </c>
      <c r="C421" s="4">
        <v>0</v>
      </c>
      <c r="D421" s="4">
        <v>1</v>
      </c>
      <c r="E421" s="4">
        <v>216</v>
      </c>
      <c r="F421" s="4">
        <f>ROUND(Source!AP412,O421)</f>
        <v>1219962.54</v>
      </c>
      <c r="G421" s="4" t="s">
        <v>88</v>
      </c>
      <c r="H421" s="4" t="s">
        <v>89</v>
      </c>
      <c r="I421" s="4"/>
      <c r="J421" s="4"/>
      <c r="K421" s="4">
        <v>216</v>
      </c>
      <c r="L421" s="4">
        <v>8</v>
      </c>
      <c r="M421" s="4">
        <v>3</v>
      </c>
      <c r="N421" s="4" t="s">
        <v>3</v>
      </c>
      <c r="O421" s="4">
        <v>2</v>
      </c>
      <c r="P421" s="4"/>
      <c r="Q421" s="4"/>
      <c r="R421" s="4"/>
      <c r="S421" s="4"/>
      <c r="T421" s="4"/>
      <c r="U421" s="4"/>
      <c r="V421" s="4"/>
      <c r="W421" s="4"/>
    </row>
    <row r="422" spans="1:23" x14ac:dyDescent="0.2">
      <c r="A422" s="4">
        <v>50</v>
      </c>
      <c r="B422" s="4">
        <v>0</v>
      </c>
      <c r="C422" s="4">
        <v>0</v>
      </c>
      <c r="D422" s="4">
        <v>1</v>
      </c>
      <c r="E422" s="4">
        <v>223</v>
      </c>
      <c r="F422" s="4">
        <f>ROUND(Source!AQ412,O422)</f>
        <v>0</v>
      </c>
      <c r="G422" s="4" t="s">
        <v>90</v>
      </c>
      <c r="H422" s="4" t="s">
        <v>91</v>
      </c>
      <c r="I422" s="4"/>
      <c r="J422" s="4"/>
      <c r="K422" s="4">
        <v>223</v>
      </c>
      <c r="L422" s="4">
        <v>9</v>
      </c>
      <c r="M422" s="4">
        <v>3</v>
      </c>
      <c r="N422" s="4" t="s">
        <v>3</v>
      </c>
      <c r="O422" s="4">
        <v>2</v>
      </c>
      <c r="P422" s="4"/>
      <c r="Q422" s="4"/>
      <c r="R422" s="4"/>
      <c r="S422" s="4"/>
      <c r="T422" s="4"/>
      <c r="U422" s="4"/>
      <c r="V422" s="4"/>
      <c r="W422" s="4"/>
    </row>
    <row r="423" spans="1:23" x14ac:dyDescent="0.2">
      <c r="A423" s="4">
        <v>50</v>
      </c>
      <c r="B423" s="4">
        <v>0</v>
      </c>
      <c r="C423" s="4">
        <v>0</v>
      </c>
      <c r="D423" s="4">
        <v>1</v>
      </c>
      <c r="E423" s="4">
        <v>229</v>
      </c>
      <c r="F423" s="4">
        <f>ROUND(Source!AZ412,O423)</f>
        <v>1219962.54</v>
      </c>
      <c r="G423" s="4" t="s">
        <v>92</v>
      </c>
      <c r="H423" s="4" t="s">
        <v>93</v>
      </c>
      <c r="I423" s="4"/>
      <c r="J423" s="4"/>
      <c r="K423" s="4">
        <v>229</v>
      </c>
      <c r="L423" s="4">
        <v>10</v>
      </c>
      <c r="M423" s="4">
        <v>3</v>
      </c>
      <c r="N423" s="4" t="s">
        <v>3</v>
      </c>
      <c r="O423" s="4">
        <v>2</v>
      </c>
      <c r="P423" s="4"/>
      <c r="Q423" s="4"/>
      <c r="R423" s="4"/>
      <c r="S423" s="4"/>
      <c r="T423" s="4"/>
      <c r="U423" s="4"/>
      <c r="V423" s="4"/>
      <c r="W423" s="4"/>
    </row>
    <row r="424" spans="1:23" x14ac:dyDescent="0.2">
      <c r="A424" s="4">
        <v>50</v>
      </c>
      <c r="B424" s="4">
        <v>0</v>
      </c>
      <c r="C424" s="4">
        <v>0</v>
      </c>
      <c r="D424" s="4">
        <v>1</v>
      </c>
      <c r="E424" s="4">
        <v>203</v>
      </c>
      <c r="F424" s="4">
        <f>ROUND(Source!Q412,O424)</f>
        <v>1180419.8799999999</v>
      </c>
      <c r="G424" s="4" t="s">
        <v>94</v>
      </c>
      <c r="H424" s="4" t="s">
        <v>95</v>
      </c>
      <c r="I424" s="4"/>
      <c r="J424" s="4"/>
      <c r="K424" s="4">
        <v>203</v>
      </c>
      <c r="L424" s="4">
        <v>11</v>
      </c>
      <c r="M424" s="4">
        <v>3</v>
      </c>
      <c r="N424" s="4" t="s">
        <v>3</v>
      </c>
      <c r="O424" s="4">
        <v>2</v>
      </c>
      <c r="P424" s="4"/>
      <c r="Q424" s="4"/>
      <c r="R424" s="4"/>
      <c r="S424" s="4"/>
      <c r="T424" s="4"/>
      <c r="U424" s="4"/>
      <c r="V424" s="4"/>
      <c r="W424" s="4"/>
    </row>
    <row r="425" spans="1:23" x14ac:dyDescent="0.2">
      <c r="A425" s="4">
        <v>50</v>
      </c>
      <c r="B425" s="4">
        <v>0</v>
      </c>
      <c r="C425" s="4">
        <v>0</v>
      </c>
      <c r="D425" s="4">
        <v>1</v>
      </c>
      <c r="E425" s="4">
        <v>231</v>
      </c>
      <c r="F425" s="4">
        <f>ROUND(Source!BB412,O425)</f>
        <v>0</v>
      </c>
      <c r="G425" s="4" t="s">
        <v>96</v>
      </c>
      <c r="H425" s="4" t="s">
        <v>97</v>
      </c>
      <c r="I425" s="4"/>
      <c r="J425" s="4"/>
      <c r="K425" s="4">
        <v>231</v>
      </c>
      <c r="L425" s="4">
        <v>12</v>
      </c>
      <c r="M425" s="4">
        <v>3</v>
      </c>
      <c r="N425" s="4" t="s">
        <v>3</v>
      </c>
      <c r="O425" s="4">
        <v>2</v>
      </c>
      <c r="P425" s="4"/>
      <c r="Q425" s="4"/>
      <c r="R425" s="4"/>
      <c r="S425" s="4"/>
      <c r="T425" s="4"/>
      <c r="U425" s="4"/>
      <c r="V425" s="4"/>
      <c r="W425" s="4"/>
    </row>
    <row r="426" spans="1:23" x14ac:dyDescent="0.2">
      <c r="A426" s="4">
        <v>50</v>
      </c>
      <c r="B426" s="4">
        <v>0</v>
      </c>
      <c r="C426" s="4">
        <v>0</v>
      </c>
      <c r="D426" s="4">
        <v>1</v>
      </c>
      <c r="E426" s="4">
        <v>204</v>
      </c>
      <c r="F426" s="4">
        <f>ROUND(Source!R412,O426)</f>
        <v>502876.4</v>
      </c>
      <c r="G426" s="4" t="s">
        <v>98</v>
      </c>
      <c r="H426" s="4" t="s">
        <v>99</v>
      </c>
      <c r="I426" s="4"/>
      <c r="J426" s="4"/>
      <c r="K426" s="4">
        <v>204</v>
      </c>
      <c r="L426" s="4">
        <v>13</v>
      </c>
      <c r="M426" s="4">
        <v>3</v>
      </c>
      <c r="N426" s="4" t="s">
        <v>3</v>
      </c>
      <c r="O426" s="4">
        <v>2</v>
      </c>
      <c r="P426" s="4"/>
      <c r="Q426" s="4"/>
      <c r="R426" s="4"/>
      <c r="S426" s="4"/>
      <c r="T426" s="4"/>
      <c r="U426" s="4"/>
      <c r="V426" s="4"/>
      <c r="W426" s="4"/>
    </row>
    <row r="427" spans="1:23" x14ac:dyDescent="0.2">
      <c r="A427" s="4">
        <v>50</v>
      </c>
      <c r="B427" s="4">
        <v>0</v>
      </c>
      <c r="C427" s="4">
        <v>0</v>
      </c>
      <c r="D427" s="4">
        <v>1</v>
      </c>
      <c r="E427" s="4">
        <v>205</v>
      </c>
      <c r="F427" s="4">
        <f>ROUND(Source!S412,O427)</f>
        <v>2394221.27</v>
      </c>
      <c r="G427" s="4" t="s">
        <v>100</v>
      </c>
      <c r="H427" s="4" t="s">
        <v>101</v>
      </c>
      <c r="I427" s="4"/>
      <c r="J427" s="4"/>
      <c r="K427" s="4">
        <v>205</v>
      </c>
      <c r="L427" s="4">
        <v>14</v>
      </c>
      <c r="M427" s="4">
        <v>3</v>
      </c>
      <c r="N427" s="4" t="s">
        <v>3</v>
      </c>
      <c r="O427" s="4">
        <v>2</v>
      </c>
      <c r="P427" s="4"/>
      <c r="Q427" s="4"/>
      <c r="R427" s="4"/>
      <c r="S427" s="4"/>
      <c r="T427" s="4"/>
      <c r="U427" s="4"/>
      <c r="V427" s="4"/>
      <c r="W427" s="4"/>
    </row>
    <row r="428" spans="1:23" x14ac:dyDescent="0.2">
      <c r="A428" s="4">
        <v>50</v>
      </c>
      <c r="B428" s="4">
        <v>0</v>
      </c>
      <c r="C428" s="4">
        <v>0</v>
      </c>
      <c r="D428" s="4">
        <v>1</v>
      </c>
      <c r="E428" s="4">
        <v>232</v>
      </c>
      <c r="F428" s="4">
        <f>ROUND(Source!BC412,O428)</f>
        <v>0</v>
      </c>
      <c r="G428" s="4" t="s">
        <v>102</v>
      </c>
      <c r="H428" s="4" t="s">
        <v>103</v>
      </c>
      <c r="I428" s="4"/>
      <c r="J428" s="4"/>
      <c r="K428" s="4">
        <v>232</v>
      </c>
      <c r="L428" s="4">
        <v>15</v>
      </c>
      <c r="M428" s="4">
        <v>3</v>
      </c>
      <c r="N428" s="4" t="s">
        <v>3</v>
      </c>
      <c r="O428" s="4">
        <v>2</v>
      </c>
      <c r="P428" s="4"/>
      <c r="Q428" s="4"/>
      <c r="R428" s="4"/>
      <c r="S428" s="4"/>
      <c r="T428" s="4"/>
      <c r="U428" s="4"/>
      <c r="V428" s="4"/>
      <c r="W428" s="4"/>
    </row>
    <row r="429" spans="1:23" x14ac:dyDescent="0.2">
      <c r="A429" s="4">
        <v>50</v>
      </c>
      <c r="B429" s="4">
        <v>0</v>
      </c>
      <c r="C429" s="4">
        <v>0</v>
      </c>
      <c r="D429" s="4">
        <v>1</v>
      </c>
      <c r="E429" s="4">
        <v>214</v>
      </c>
      <c r="F429" s="4">
        <f>ROUND(Source!AS412,O429)</f>
        <v>4438817.1500000004</v>
      </c>
      <c r="G429" s="4" t="s">
        <v>104</v>
      </c>
      <c r="H429" s="4" t="s">
        <v>105</v>
      </c>
      <c r="I429" s="4"/>
      <c r="J429" s="4"/>
      <c r="K429" s="4">
        <v>214</v>
      </c>
      <c r="L429" s="4">
        <v>16</v>
      </c>
      <c r="M429" s="4">
        <v>3</v>
      </c>
      <c r="N429" s="4" t="s">
        <v>3</v>
      </c>
      <c r="O429" s="4">
        <v>2</v>
      </c>
      <c r="P429" s="4"/>
      <c r="Q429" s="4"/>
      <c r="R429" s="4"/>
      <c r="S429" s="4"/>
      <c r="T429" s="4"/>
      <c r="U429" s="4"/>
      <c r="V429" s="4"/>
      <c r="W429" s="4"/>
    </row>
    <row r="430" spans="1:23" x14ac:dyDescent="0.2">
      <c r="A430" s="4">
        <v>50</v>
      </c>
      <c r="B430" s="4">
        <v>0</v>
      </c>
      <c r="C430" s="4">
        <v>0</v>
      </c>
      <c r="D430" s="4">
        <v>1</v>
      </c>
      <c r="E430" s="4">
        <v>215</v>
      </c>
      <c r="F430" s="4">
        <f>ROUND(Source!AT412,O430)</f>
        <v>3987980.51</v>
      </c>
      <c r="G430" s="4" t="s">
        <v>106</v>
      </c>
      <c r="H430" s="4" t="s">
        <v>107</v>
      </c>
      <c r="I430" s="4"/>
      <c r="J430" s="4"/>
      <c r="K430" s="4">
        <v>215</v>
      </c>
      <c r="L430" s="4">
        <v>17</v>
      </c>
      <c r="M430" s="4">
        <v>3</v>
      </c>
      <c r="N430" s="4" t="s">
        <v>3</v>
      </c>
      <c r="O430" s="4">
        <v>2</v>
      </c>
      <c r="P430" s="4"/>
      <c r="Q430" s="4"/>
      <c r="R430" s="4"/>
      <c r="S430" s="4"/>
      <c r="T430" s="4"/>
      <c r="U430" s="4"/>
      <c r="V430" s="4"/>
      <c r="W430" s="4"/>
    </row>
    <row r="431" spans="1:23" x14ac:dyDescent="0.2">
      <c r="A431" s="4">
        <v>50</v>
      </c>
      <c r="B431" s="4">
        <v>0</v>
      </c>
      <c r="C431" s="4">
        <v>0</v>
      </c>
      <c r="D431" s="4">
        <v>1</v>
      </c>
      <c r="E431" s="4">
        <v>217</v>
      </c>
      <c r="F431" s="4">
        <f>ROUND(Source!AU412,O431)</f>
        <v>3809188.04</v>
      </c>
      <c r="G431" s="4" t="s">
        <v>108</v>
      </c>
      <c r="H431" s="4" t="s">
        <v>109</v>
      </c>
      <c r="I431" s="4"/>
      <c r="J431" s="4"/>
      <c r="K431" s="4">
        <v>217</v>
      </c>
      <c r="L431" s="4">
        <v>18</v>
      </c>
      <c r="M431" s="4">
        <v>3</v>
      </c>
      <c r="N431" s="4" t="s">
        <v>3</v>
      </c>
      <c r="O431" s="4">
        <v>2</v>
      </c>
      <c r="P431" s="4"/>
      <c r="Q431" s="4"/>
      <c r="R431" s="4"/>
      <c r="S431" s="4"/>
      <c r="T431" s="4"/>
      <c r="U431" s="4"/>
      <c r="V431" s="4"/>
      <c r="W431" s="4"/>
    </row>
    <row r="432" spans="1:23" x14ac:dyDescent="0.2">
      <c r="A432" s="4">
        <v>50</v>
      </c>
      <c r="B432" s="4">
        <v>0</v>
      </c>
      <c r="C432" s="4">
        <v>0</v>
      </c>
      <c r="D432" s="4">
        <v>1</v>
      </c>
      <c r="E432" s="4">
        <v>230</v>
      </c>
      <c r="F432" s="4">
        <f>ROUND(Source!BA412,O432)</f>
        <v>0</v>
      </c>
      <c r="G432" s="4" t="s">
        <v>110</v>
      </c>
      <c r="H432" s="4" t="s">
        <v>111</v>
      </c>
      <c r="I432" s="4"/>
      <c r="J432" s="4"/>
      <c r="K432" s="4">
        <v>230</v>
      </c>
      <c r="L432" s="4">
        <v>19</v>
      </c>
      <c r="M432" s="4">
        <v>3</v>
      </c>
      <c r="N432" s="4" t="s">
        <v>3</v>
      </c>
      <c r="O432" s="4">
        <v>2</v>
      </c>
      <c r="P432" s="4"/>
      <c r="Q432" s="4"/>
      <c r="R432" s="4"/>
      <c r="S432" s="4"/>
      <c r="T432" s="4"/>
      <c r="U432" s="4"/>
      <c r="V432" s="4"/>
      <c r="W432" s="4"/>
    </row>
    <row r="433" spans="1:206" x14ac:dyDescent="0.2">
      <c r="A433" s="4">
        <v>50</v>
      </c>
      <c r="B433" s="4">
        <v>0</v>
      </c>
      <c r="C433" s="4">
        <v>0</v>
      </c>
      <c r="D433" s="4">
        <v>1</v>
      </c>
      <c r="E433" s="4">
        <v>206</v>
      </c>
      <c r="F433" s="4">
        <f>ROUND(Source!T412,O433)</f>
        <v>0</v>
      </c>
      <c r="G433" s="4" t="s">
        <v>112</v>
      </c>
      <c r="H433" s="4" t="s">
        <v>113</v>
      </c>
      <c r="I433" s="4"/>
      <c r="J433" s="4"/>
      <c r="K433" s="4">
        <v>206</v>
      </c>
      <c r="L433" s="4">
        <v>20</v>
      </c>
      <c r="M433" s="4">
        <v>3</v>
      </c>
      <c r="N433" s="4" t="s">
        <v>3</v>
      </c>
      <c r="O433" s="4">
        <v>2</v>
      </c>
      <c r="P433" s="4"/>
      <c r="Q433" s="4"/>
      <c r="R433" s="4"/>
      <c r="S433" s="4"/>
      <c r="T433" s="4"/>
      <c r="U433" s="4"/>
      <c r="V433" s="4"/>
      <c r="W433" s="4"/>
    </row>
    <row r="434" spans="1:206" x14ac:dyDescent="0.2">
      <c r="A434" s="4">
        <v>50</v>
      </c>
      <c r="B434" s="4">
        <v>0</v>
      </c>
      <c r="C434" s="4">
        <v>0</v>
      </c>
      <c r="D434" s="4">
        <v>1</v>
      </c>
      <c r="E434" s="4">
        <v>207</v>
      </c>
      <c r="F434" s="4">
        <f>Source!U412</f>
        <v>8752.443617429999</v>
      </c>
      <c r="G434" s="4" t="s">
        <v>114</v>
      </c>
      <c r="H434" s="4" t="s">
        <v>115</v>
      </c>
      <c r="I434" s="4"/>
      <c r="J434" s="4"/>
      <c r="K434" s="4">
        <v>207</v>
      </c>
      <c r="L434" s="4">
        <v>21</v>
      </c>
      <c r="M434" s="4">
        <v>3</v>
      </c>
      <c r="N434" s="4" t="s">
        <v>3</v>
      </c>
      <c r="O434" s="4">
        <v>-1</v>
      </c>
      <c r="P434" s="4"/>
      <c r="Q434" s="4"/>
      <c r="R434" s="4"/>
      <c r="S434" s="4"/>
      <c r="T434" s="4"/>
      <c r="U434" s="4"/>
      <c r="V434" s="4"/>
      <c r="W434" s="4"/>
    </row>
    <row r="435" spans="1:206" x14ac:dyDescent="0.2">
      <c r="A435" s="4">
        <v>50</v>
      </c>
      <c r="B435" s="4">
        <v>0</v>
      </c>
      <c r="C435" s="4">
        <v>0</v>
      </c>
      <c r="D435" s="4">
        <v>1</v>
      </c>
      <c r="E435" s="4">
        <v>208</v>
      </c>
      <c r="F435" s="4">
        <f>Source!V412</f>
        <v>0</v>
      </c>
      <c r="G435" s="4" t="s">
        <v>116</v>
      </c>
      <c r="H435" s="4" t="s">
        <v>117</v>
      </c>
      <c r="I435" s="4"/>
      <c r="J435" s="4"/>
      <c r="K435" s="4">
        <v>208</v>
      </c>
      <c r="L435" s="4">
        <v>22</v>
      </c>
      <c r="M435" s="4">
        <v>3</v>
      </c>
      <c r="N435" s="4" t="s">
        <v>3</v>
      </c>
      <c r="O435" s="4">
        <v>-1</v>
      </c>
      <c r="P435" s="4"/>
      <c r="Q435" s="4"/>
      <c r="R435" s="4"/>
      <c r="S435" s="4"/>
      <c r="T435" s="4"/>
      <c r="U435" s="4"/>
      <c r="V435" s="4"/>
      <c r="W435" s="4"/>
    </row>
    <row r="436" spans="1:206" x14ac:dyDescent="0.2">
      <c r="A436" s="4">
        <v>50</v>
      </c>
      <c r="B436" s="4">
        <v>0</v>
      </c>
      <c r="C436" s="4">
        <v>0</v>
      </c>
      <c r="D436" s="4">
        <v>1</v>
      </c>
      <c r="E436" s="4">
        <v>209</v>
      </c>
      <c r="F436" s="4">
        <f>ROUND(Source!W412,O436)</f>
        <v>0</v>
      </c>
      <c r="G436" s="4" t="s">
        <v>118</v>
      </c>
      <c r="H436" s="4" t="s">
        <v>119</v>
      </c>
      <c r="I436" s="4"/>
      <c r="J436" s="4"/>
      <c r="K436" s="4">
        <v>209</v>
      </c>
      <c r="L436" s="4">
        <v>23</v>
      </c>
      <c r="M436" s="4">
        <v>3</v>
      </c>
      <c r="N436" s="4" t="s">
        <v>3</v>
      </c>
      <c r="O436" s="4">
        <v>2</v>
      </c>
      <c r="P436" s="4"/>
      <c r="Q436" s="4"/>
      <c r="R436" s="4"/>
      <c r="S436" s="4"/>
      <c r="T436" s="4"/>
      <c r="U436" s="4"/>
      <c r="V436" s="4"/>
      <c r="W436" s="4"/>
    </row>
    <row r="437" spans="1:206" x14ac:dyDescent="0.2">
      <c r="A437" s="4">
        <v>50</v>
      </c>
      <c r="B437" s="4">
        <v>0</v>
      </c>
      <c r="C437" s="4">
        <v>0</v>
      </c>
      <c r="D437" s="4">
        <v>1</v>
      </c>
      <c r="E437" s="4">
        <v>210</v>
      </c>
      <c r="F437" s="4">
        <f>ROUND(Source!X412,O437)</f>
        <v>1862104.57</v>
      </c>
      <c r="G437" s="4" t="s">
        <v>120</v>
      </c>
      <c r="H437" s="4" t="s">
        <v>121</v>
      </c>
      <c r="I437" s="4"/>
      <c r="J437" s="4"/>
      <c r="K437" s="4">
        <v>210</v>
      </c>
      <c r="L437" s="4">
        <v>24</v>
      </c>
      <c r="M437" s="4">
        <v>3</v>
      </c>
      <c r="N437" s="4" t="s">
        <v>3</v>
      </c>
      <c r="O437" s="4">
        <v>2</v>
      </c>
      <c r="P437" s="4"/>
      <c r="Q437" s="4"/>
      <c r="R437" s="4"/>
      <c r="S437" s="4"/>
      <c r="T437" s="4"/>
      <c r="U437" s="4"/>
      <c r="V437" s="4"/>
      <c r="W437" s="4"/>
    </row>
    <row r="438" spans="1:206" x14ac:dyDescent="0.2">
      <c r="A438" s="4">
        <v>50</v>
      </c>
      <c r="B438" s="4">
        <v>0</v>
      </c>
      <c r="C438" s="4">
        <v>0</v>
      </c>
      <c r="D438" s="4">
        <v>1</v>
      </c>
      <c r="E438" s="4">
        <v>211</v>
      </c>
      <c r="F438" s="4">
        <f>ROUND(Source!Y412,O438)</f>
        <v>1066406.1000000001</v>
      </c>
      <c r="G438" s="4" t="s">
        <v>122</v>
      </c>
      <c r="H438" s="4" t="s">
        <v>123</v>
      </c>
      <c r="I438" s="4"/>
      <c r="J438" s="4"/>
      <c r="K438" s="4">
        <v>211</v>
      </c>
      <c r="L438" s="4">
        <v>25</v>
      </c>
      <c r="M438" s="4">
        <v>3</v>
      </c>
      <c r="N438" s="4" t="s">
        <v>3</v>
      </c>
      <c r="O438" s="4">
        <v>2</v>
      </c>
      <c r="P438" s="4"/>
      <c r="Q438" s="4"/>
      <c r="R438" s="4"/>
      <c r="S438" s="4"/>
      <c r="T438" s="4"/>
      <c r="U438" s="4"/>
      <c r="V438" s="4"/>
      <c r="W438" s="4"/>
    </row>
    <row r="439" spans="1:206" x14ac:dyDescent="0.2">
      <c r="A439" s="4">
        <v>50</v>
      </c>
      <c r="B439" s="4">
        <v>0</v>
      </c>
      <c r="C439" s="4">
        <v>0</v>
      </c>
      <c r="D439" s="4">
        <v>1</v>
      </c>
      <c r="E439" s="4">
        <v>224</v>
      </c>
      <c r="F439" s="4">
        <f>ROUND(Source!AR412,O439)</f>
        <v>13455948.24</v>
      </c>
      <c r="G439" s="4" t="s">
        <v>124</v>
      </c>
      <c r="H439" s="4" t="s">
        <v>125</v>
      </c>
      <c r="I439" s="4"/>
      <c r="J439" s="4"/>
      <c r="K439" s="4">
        <v>224</v>
      </c>
      <c r="L439" s="4">
        <v>26</v>
      </c>
      <c r="M439" s="4">
        <v>3</v>
      </c>
      <c r="N439" s="4" t="s">
        <v>3</v>
      </c>
      <c r="O439" s="4">
        <v>2</v>
      </c>
      <c r="P439" s="4"/>
      <c r="Q439" s="4"/>
      <c r="R439" s="4"/>
      <c r="S439" s="4"/>
      <c r="T439" s="4"/>
      <c r="U439" s="4"/>
      <c r="V439" s="4"/>
      <c r="W439" s="4"/>
    </row>
    <row r="441" spans="1:206" x14ac:dyDescent="0.2">
      <c r="A441" s="2">
        <v>51</v>
      </c>
      <c r="B441" s="2">
        <f>B20</f>
        <v>1</v>
      </c>
      <c r="C441" s="2">
        <f>A20</f>
        <v>3</v>
      </c>
      <c r="D441" s="2">
        <f>ROW(A20)</f>
        <v>20</v>
      </c>
      <c r="E441" s="2"/>
      <c r="F441" s="2" t="str">
        <f>IF(F20&lt;&gt;"",F20,"")</f>
        <v>04-14-04.1</v>
      </c>
      <c r="G441" s="2" t="str">
        <f>IF(G20&lt;&gt;"",G20,"")</f>
        <v>Наружное электроснабжение</v>
      </c>
      <c r="H441" s="2">
        <v>0</v>
      </c>
      <c r="I441" s="2"/>
      <c r="J441" s="2"/>
      <c r="K441" s="2"/>
      <c r="L441" s="2"/>
      <c r="M441" s="2"/>
      <c r="N441" s="2"/>
      <c r="O441" s="2">
        <f t="shared" ref="O441:T441" si="311">ROUND(O412+AB441,2)</f>
        <v>9687633.9700000007</v>
      </c>
      <c r="P441" s="2">
        <f t="shared" si="311"/>
        <v>6112992.8200000003</v>
      </c>
      <c r="Q441" s="2">
        <f t="shared" si="311"/>
        <v>1180419.8799999999</v>
      </c>
      <c r="R441" s="2">
        <f t="shared" si="311"/>
        <v>502876.4</v>
      </c>
      <c r="S441" s="2">
        <f t="shared" si="311"/>
        <v>2394221.27</v>
      </c>
      <c r="T441" s="2">
        <f t="shared" si="311"/>
        <v>0</v>
      </c>
      <c r="U441" s="2">
        <f>U412+AH441</f>
        <v>8752.443617429999</v>
      </c>
      <c r="V441" s="2">
        <f>V412+AI441</f>
        <v>0</v>
      </c>
      <c r="W441" s="2">
        <f>ROUND(W412+AJ441,2)</f>
        <v>0</v>
      </c>
      <c r="X441" s="2">
        <f>ROUND(X412+AK441,2)</f>
        <v>1862104.57</v>
      </c>
      <c r="Y441" s="2">
        <f>ROUND(Y412+AL441,2)</f>
        <v>1066406.1000000001</v>
      </c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>
        <f t="shared" ref="AO441:BC441" si="312">ROUND(AO412+BX441,2)</f>
        <v>0</v>
      </c>
      <c r="AP441" s="2">
        <f t="shared" si="312"/>
        <v>1219962.54</v>
      </c>
      <c r="AQ441" s="2">
        <f t="shared" si="312"/>
        <v>0</v>
      </c>
      <c r="AR441" s="2">
        <f t="shared" si="312"/>
        <v>13455948.24</v>
      </c>
      <c r="AS441" s="2">
        <f t="shared" si="312"/>
        <v>4438817.1500000004</v>
      </c>
      <c r="AT441" s="2">
        <f t="shared" si="312"/>
        <v>3987980.51</v>
      </c>
      <c r="AU441" s="2">
        <f t="shared" si="312"/>
        <v>3809188.04</v>
      </c>
      <c r="AV441" s="2">
        <f t="shared" si="312"/>
        <v>6112992.8200000003</v>
      </c>
      <c r="AW441" s="2">
        <f t="shared" si="312"/>
        <v>4893030.28</v>
      </c>
      <c r="AX441" s="2">
        <f t="shared" si="312"/>
        <v>0</v>
      </c>
      <c r="AY441" s="2">
        <f t="shared" si="312"/>
        <v>4893030.28</v>
      </c>
      <c r="AZ441" s="2">
        <f t="shared" si="312"/>
        <v>1219962.54</v>
      </c>
      <c r="BA441" s="2">
        <f t="shared" si="312"/>
        <v>0</v>
      </c>
      <c r="BB441" s="2">
        <f t="shared" si="312"/>
        <v>0</v>
      </c>
      <c r="BC441" s="2">
        <f t="shared" si="312"/>
        <v>0</v>
      </c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  <c r="DY441" s="3"/>
      <c r="DZ441" s="3"/>
      <c r="EA441" s="3"/>
      <c r="EB441" s="3"/>
      <c r="EC441" s="3"/>
      <c r="ED441" s="3"/>
      <c r="EE441" s="3"/>
      <c r="EF441" s="3"/>
      <c r="EG441" s="3"/>
      <c r="EH441" s="3"/>
      <c r="EI441" s="3"/>
      <c r="EJ441" s="3"/>
      <c r="EK441" s="3"/>
      <c r="EL441" s="3"/>
      <c r="EM441" s="3"/>
      <c r="EN441" s="3"/>
      <c r="EO441" s="3"/>
      <c r="EP441" s="3"/>
      <c r="EQ441" s="3"/>
      <c r="ER441" s="3"/>
      <c r="ES441" s="3"/>
      <c r="ET441" s="3"/>
      <c r="EU441" s="3"/>
      <c r="EV441" s="3"/>
      <c r="EW441" s="3"/>
      <c r="EX441" s="3"/>
      <c r="EY441" s="3"/>
      <c r="EZ441" s="3"/>
      <c r="FA441" s="3"/>
      <c r="FB441" s="3"/>
      <c r="FC441" s="3"/>
      <c r="FD441" s="3"/>
      <c r="FE441" s="3"/>
      <c r="FF441" s="3"/>
      <c r="FG441" s="3"/>
      <c r="FH441" s="3"/>
      <c r="FI441" s="3"/>
      <c r="FJ441" s="3"/>
      <c r="FK441" s="3"/>
      <c r="FL441" s="3"/>
      <c r="FM441" s="3"/>
      <c r="FN441" s="3"/>
      <c r="FO441" s="3"/>
      <c r="FP441" s="3"/>
      <c r="FQ441" s="3"/>
      <c r="FR441" s="3"/>
      <c r="FS441" s="3"/>
      <c r="FT441" s="3"/>
      <c r="FU441" s="3"/>
      <c r="FV441" s="3"/>
      <c r="FW441" s="3"/>
      <c r="FX441" s="3"/>
      <c r="FY441" s="3"/>
      <c r="FZ441" s="3"/>
      <c r="GA441" s="3"/>
      <c r="GB441" s="3"/>
      <c r="GC441" s="3"/>
      <c r="GD441" s="3"/>
      <c r="GE441" s="3"/>
      <c r="GF441" s="3"/>
      <c r="GG441" s="3"/>
      <c r="GH441" s="3"/>
      <c r="GI441" s="3"/>
      <c r="GJ441" s="3"/>
      <c r="GK441" s="3"/>
      <c r="GL441" s="3"/>
      <c r="GM441" s="3"/>
      <c r="GN441" s="3"/>
      <c r="GO441" s="3"/>
      <c r="GP441" s="3"/>
      <c r="GQ441" s="3"/>
      <c r="GR441" s="3"/>
      <c r="GS441" s="3"/>
      <c r="GT441" s="3"/>
      <c r="GU441" s="3"/>
      <c r="GV441" s="3"/>
      <c r="GW441" s="3"/>
      <c r="GX441" s="3">
        <v>0</v>
      </c>
    </row>
    <row r="443" spans="1:206" x14ac:dyDescent="0.2">
      <c r="A443" s="4">
        <v>50</v>
      </c>
      <c r="B443" s="4">
        <v>0</v>
      </c>
      <c r="C443" s="4">
        <v>0</v>
      </c>
      <c r="D443" s="4">
        <v>1</v>
      </c>
      <c r="E443" s="4">
        <v>201</v>
      </c>
      <c r="F443" s="4">
        <f>ROUND(Source!O441,O443)</f>
        <v>9687633.9700000007</v>
      </c>
      <c r="G443" s="4" t="s">
        <v>74</v>
      </c>
      <c r="H443" s="4" t="s">
        <v>75</v>
      </c>
      <c r="I443" s="4"/>
      <c r="J443" s="4"/>
      <c r="K443" s="4">
        <v>201</v>
      </c>
      <c r="L443" s="4">
        <v>1</v>
      </c>
      <c r="M443" s="4">
        <v>3</v>
      </c>
      <c r="N443" s="4" t="s">
        <v>3</v>
      </c>
      <c r="O443" s="4">
        <v>2</v>
      </c>
      <c r="P443" s="4"/>
      <c r="Q443" s="4"/>
      <c r="R443" s="4"/>
      <c r="S443" s="4"/>
      <c r="T443" s="4"/>
      <c r="U443" s="4"/>
      <c r="V443" s="4"/>
      <c r="W443" s="4"/>
    </row>
    <row r="444" spans="1:206" x14ac:dyDescent="0.2">
      <c r="A444" s="4">
        <v>50</v>
      </c>
      <c r="B444" s="4">
        <v>0</v>
      </c>
      <c r="C444" s="4">
        <v>0</v>
      </c>
      <c r="D444" s="4">
        <v>1</v>
      </c>
      <c r="E444" s="4">
        <v>202</v>
      </c>
      <c r="F444" s="4">
        <f>ROUND(Source!P441,O444)</f>
        <v>6112992.8200000003</v>
      </c>
      <c r="G444" s="4" t="s">
        <v>76</v>
      </c>
      <c r="H444" s="4" t="s">
        <v>77</v>
      </c>
      <c r="I444" s="4"/>
      <c r="J444" s="4"/>
      <c r="K444" s="4">
        <v>202</v>
      </c>
      <c r="L444" s="4">
        <v>2</v>
      </c>
      <c r="M444" s="4">
        <v>3</v>
      </c>
      <c r="N444" s="4" t="s">
        <v>3</v>
      </c>
      <c r="O444" s="4">
        <v>2</v>
      </c>
      <c r="P444" s="4"/>
      <c r="Q444" s="4"/>
      <c r="R444" s="4"/>
      <c r="S444" s="4"/>
      <c r="T444" s="4"/>
      <c r="U444" s="4"/>
      <c r="V444" s="4"/>
      <c r="W444" s="4"/>
    </row>
    <row r="445" spans="1:206" x14ac:dyDescent="0.2">
      <c r="A445" s="4">
        <v>50</v>
      </c>
      <c r="B445" s="4">
        <v>0</v>
      </c>
      <c r="C445" s="4">
        <v>0</v>
      </c>
      <c r="D445" s="4">
        <v>1</v>
      </c>
      <c r="E445" s="4">
        <v>222</v>
      </c>
      <c r="F445" s="4">
        <f>ROUND(Source!AO441,O445)</f>
        <v>0</v>
      </c>
      <c r="G445" s="4" t="s">
        <v>78</v>
      </c>
      <c r="H445" s="4" t="s">
        <v>79</v>
      </c>
      <c r="I445" s="4"/>
      <c r="J445" s="4"/>
      <c r="K445" s="4">
        <v>222</v>
      </c>
      <c r="L445" s="4">
        <v>3</v>
      </c>
      <c r="M445" s="4">
        <v>3</v>
      </c>
      <c r="N445" s="4" t="s">
        <v>3</v>
      </c>
      <c r="O445" s="4">
        <v>2</v>
      </c>
      <c r="P445" s="4"/>
      <c r="Q445" s="4"/>
      <c r="R445" s="4"/>
      <c r="S445" s="4"/>
      <c r="T445" s="4"/>
      <c r="U445" s="4"/>
      <c r="V445" s="4"/>
      <c r="W445" s="4"/>
    </row>
    <row r="446" spans="1:206" x14ac:dyDescent="0.2">
      <c r="A446" s="4">
        <v>50</v>
      </c>
      <c r="B446" s="4">
        <v>0</v>
      </c>
      <c r="C446" s="4">
        <v>0</v>
      </c>
      <c r="D446" s="4">
        <v>1</v>
      </c>
      <c r="E446" s="4">
        <v>225</v>
      </c>
      <c r="F446" s="4">
        <f>ROUND(Source!AV441,O446)</f>
        <v>6112992.8200000003</v>
      </c>
      <c r="G446" s="4" t="s">
        <v>80</v>
      </c>
      <c r="H446" s="4" t="s">
        <v>81</v>
      </c>
      <c r="I446" s="4"/>
      <c r="J446" s="4"/>
      <c r="K446" s="4">
        <v>225</v>
      </c>
      <c r="L446" s="4">
        <v>4</v>
      </c>
      <c r="M446" s="4">
        <v>3</v>
      </c>
      <c r="N446" s="4" t="s">
        <v>3</v>
      </c>
      <c r="O446" s="4">
        <v>2</v>
      </c>
      <c r="P446" s="4"/>
      <c r="Q446" s="4"/>
      <c r="R446" s="4"/>
      <c r="S446" s="4"/>
      <c r="T446" s="4"/>
      <c r="U446" s="4"/>
      <c r="V446" s="4"/>
      <c r="W446" s="4"/>
    </row>
    <row r="447" spans="1:206" x14ac:dyDescent="0.2">
      <c r="A447" s="4">
        <v>50</v>
      </c>
      <c r="B447" s="4">
        <v>0</v>
      </c>
      <c r="C447" s="4">
        <v>0</v>
      </c>
      <c r="D447" s="4">
        <v>1</v>
      </c>
      <c r="E447" s="4">
        <v>226</v>
      </c>
      <c r="F447" s="4">
        <f>ROUND(Source!AW441,O447)</f>
        <v>4893030.28</v>
      </c>
      <c r="G447" s="4" t="s">
        <v>82</v>
      </c>
      <c r="H447" s="4" t="s">
        <v>83</v>
      </c>
      <c r="I447" s="4"/>
      <c r="J447" s="4"/>
      <c r="K447" s="4">
        <v>226</v>
      </c>
      <c r="L447" s="4">
        <v>5</v>
      </c>
      <c r="M447" s="4">
        <v>3</v>
      </c>
      <c r="N447" s="4" t="s">
        <v>3</v>
      </c>
      <c r="O447" s="4">
        <v>2</v>
      </c>
      <c r="P447" s="4"/>
      <c r="Q447" s="4"/>
      <c r="R447" s="4"/>
      <c r="S447" s="4"/>
      <c r="T447" s="4"/>
      <c r="U447" s="4"/>
      <c r="V447" s="4"/>
      <c r="W447" s="4"/>
    </row>
    <row r="448" spans="1:206" x14ac:dyDescent="0.2">
      <c r="A448" s="4">
        <v>50</v>
      </c>
      <c r="B448" s="4">
        <v>0</v>
      </c>
      <c r="C448" s="4">
        <v>0</v>
      </c>
      <c r="D448" s="4">
        <v>1</v>
      </c>
      <c r="E448" s="4">
        <v>227</v>
      </c>
      <c r="F448" s="4">
        <f>ROUND(Source!AX441,O448)</f>
        <v>0</v>
      </c>
      <c r="G448" s="4" t="s">
        <v>84</v>
      </c>
      <c r="H448" s="4" t="s">
        <v>85</v>
      </c>
      <c r="I448" s="4"/>
      <c r="J448" s="4"/>
      <c r="K448" s="4">
        <v>227</v>
      </c>
      <c r="L448" s="4">
        <v>6</v>
      </c>
      <c r="M448" s="4">
        <v>3</v>
      </c>
      <c r="N448" s="4" t="s">
        <v>3</v>
      </c>
      <c r="O448" s="4">
        <v>2</v>
      </c>
      <c r="P448" s="4"/>
      <c r="Q448" s="4"/>
      <c r="R448" s="4"/>
      <c r="S448" s="4"/>
      <c r="T448" s="4"/>
      <c r="U448" s="4"/>
      <c r="V448" s="4"/>
      <c r="W448" s="4"/>
    </row>
    <row r="449" spans="1:23" x14ac:dyDescent="0.2">
      <c r="A449" s="4">
        <v>50</v>
      </c>
      <c r="B449" s="4">
        <v>0</v>
      </c>
      <c r="C449" s="4">
        <v>0</v>
      </c>
      <c r="D449" s="4">
        <v>1</v>
      </c>
      <c r="E449" s="4">
        <v>228</v>
      </c>
      <c r="F449" s="4">
        <f>ROUND(Source!AY441,O449)</f>
        <v>4893030.28</v>
      </c>
      <c r="G449" s="4" t="s">
        <v>86</v>
      </c>
      <c r="H449" s="4" t="s">
        <v>87</v>
      </c>
      <c r="I449" s="4"/>
      <c r="J449" s="4"/>
      <c r="K449" s="4">
        <v>228</v>
      </c>
      <c r="L449" s="4">
        <v>7</v>
      </c>
      <c r="M449" s="4">
        <v>3</v>
      </c>
      <c r="N449" s="4" t="s">
        <v>3</v>
      </c>
      <c r="O449" s="4">
        <v>2</v>
      </c>
      <c r="P449" s="4"/>
      <c r="Q449" s="4"/>
      <c r="R449" s="4"/>
      <c r="S449" s="4"/>
      <c r="T449" s="4"/>
      <c r="U449" s="4"/>
      <c r="V449" s="4"/>
      <c r="W449" s="4"/>
    </row>
    <row r="450" spans="1:23" x14ac:dyDescent="0.2">
      <c r="A450" s="4">
        <v>50</v>
      </c>
      <c r="B450" s="4">
        <v>0</v>
      </c>
      <c r="C450" s="4">
        <v>0</v>
      </c>
      <c r="D450" s="4">
        <v>1</v>
      </c>
      <c r="E450" s="4">
        <v>216</v>
      </c>
      <c r="F450" s="4">
        <f>ROUND(Source!AP441,O450)</f>
        <v>1219962.54</v>
      </c>
      <c r="G450" s="4" t="s">
        <v>88</v>
      </c>
      <c r="H450" s="4" t="s">
        <v>89</v>
      </c>
      <c r="I450" s="4"/>
      <c r="J450" s="4"/>
      <c r="K450" s="4">
        <v>216</v>
      </c>
      <c r="L450" s="4">
        <v>8</v>
      </c>
      <c r="M450" s="4">
        <v>3</v>
      </c>
      <c r="N450" s="4" t="s">
        <v>3</v>
      </c>
      <c r="O450" s="4">
        <v>2</v>
      </c>
      <c r="P450" s="4"/>
      <c r="Q450" s="4"/>
      <c r="R450" s="4"/>
      <c r="S450" s="4"/>
      <c r="T450" s="4"/>
      <c r="U450" s="4"/>
      <c r="V450" s="4"/>
      <c r="W450" s="4"/>
    </row>
    <row r="451" spans="1:23" x14ac:dyDescent="0.2">
      <c r="A451" s="4">
        <v>50</v>
      </c>
      <c r="B451" s="4">
        <v>0</v>
      </c>
      <c r="C451" s="4">
        <v>0</v>
      </c>
      <c r="D451" s="4">
        <v>1</v>
      </c>
      <c r="E451" s="4">
        <v>223</v>
      </c>
      <c r="F451" s="4">
        <f>ROUND(Source!AQ441,O451)</f>
        <v>0</v>
      </c>
      <c r="G451" s="4" t="s">
        <v>90</v>
      </c>
      <c r="H451" s="4" t="s">
        <v>91</v>
      </c>
      <c r="I451" s="4"/>
      <c r="J451" s="4"/>
      <c r="K451" s="4">
        <v>223</v>
      </c>
      <c r="L451" s="4">
        <v>9</v>
      </c>
      <c r="M451" s="4">
        <v>3</v>
      </c>
      <c r="N451" s="4" t="s">
        <v>3</v>
      </c>
      <c r="O451" s="4">
        <v>2</v>
      </c>
      <c r="P451" s="4"/>
      <c r="Q451" s="4"/>
      <c r="R451" s="4"/>
      <c r="S451" s="4"/>
      <c r="T451" s="4"/>
      <c r="U451" s="4"/>
      <c r="V451" s="4"/>
      <c r="W451" s="4"/>
    </row>
    <row r="452" spans="1:23" x14ac:dyDescent="0.2">
      <c r="A452" s="4">
        <v>50</v>
      </c>
      <c r="B452" s="4">
        <v>0</v>
      </c>
      <c r="C452" s="4">
        <v>0</v>
      </c>
      <c r="D452" s="4">
        <v>1</v>
      </c>
      <c r="E452" s="4">
        <v>229</v>
      </c>
      <c r="F452" s="4">
        <f>ROUND(Source!AZ441,O452)</f>
        <v>1219962.54</v>
      </c>
      <c r="G452" s="4" t="s">
        <v>92</v>
      </c>
      <c r="H452" s="4" t="s">
        <v>93</v>
      </c>
      <c r="I452" s="4"/>
      <c r="J452" s="4"/>
      <c r="K452" s="4">
        <v>229</v>
      </c>
      <c r="L452" s="4">
        <v>10</v>
      </c>
      <c r="M452" s="4">
        <v>3</v>
      </c>
      <c r="N452" s="4" t="s">
        <v>3</v>
      </c>
      <c r="O452" s="4">
        <v>2</v>
      </c>
      <c r="P452" s="4"/>
      <c r="Q452" s="4"/>
      <c r="R452" s="4"/>
      <c r="S452" s="4"/>
      <c r="T452" s="4"/>
      <c r="U452" s="4"/>
      <c r="V452" s="4"/>
      <c r="W452" s="4"/>
    </row>
    <row r="453" spans="1:23" x14ac:dyDescent="0.2">
      <c r="A453" s="4">
        <v>50</v>
      </c>
      <c r="B453" s="4">
        <v>0</v>
      </c>
      <c r="C453" s="4">
        <v>0</v>
      </c>
      <c r="D453" s="4">
        <v>1</v>
      </c>
      <c r="E453" s="4">
        <v>203</v>
      </c>
      <c r="F453" s="4">
        <f>ROUND(Source!Q441,O453)</f>
        <v>1180419.8799999999</v>
      </c>
      <c r="G453" s="4" t="s">
        <v>94</v>
      </c>
      <c r="H453" s="4" t="s">
        <v>95</v>
      </c>
      <c r="I453" s="4"/>
      <c r="J453" s="4"/>
      <c r="K453" s="4">
        <v>203</v>
      </c>
      <c r="L453" s="4">
        <v>11</v>
      </c>
      <c r="M453" s="4">
        <v>3</v>
      </c>
      <c r="N453" s="4" t="s">
        <v>3</v>
      </c>
      <c r="O453" s="4">
        <v>2</v>
      </c>
      <c r="P453" s="4"/>
      <c r="Q453" s="4"/>
      <c r="R453" s="4"/>
      <c r="S453" s="4"/>
      <c r="T453" s="4"/>
      <c r="U453" s="4"/>
      <c r="V453" s="4"/>
      <c r="W453" s="4"/>
    </row>
    <row r="454" spans="1:23" x14ac:dyDescent="0.2">
      <c r="A454" s="4">
        <v>50</v>
      </c>
      <c r="B454" s="4">
        <v>0</v>
      </c>
      <c r="C454" s="4">
        <v>0</v>
      </c>
      <c r="D454" s="4">
        <v>1</v>
      </c>
      <c r="E454" s="4">
        <v>231</v>
      </c>
      <c r="F454" s="4">
        <f>ROUND(Source!BB441,O454)</f>
        <v>0</v>
      </c>
      <c r="G454" s="4" t="s">
        <v>96</v>
      </c>
      <c r="H454" s="4" t="s">
        <v>97</v>
      </c>
      <c r="I454" s="4"/>
      <c r="J454" s="4"/>
      <c r="K454" s="4">
        <v>231</v>
      </c>
      <c r="L454" s="4">
        <v>12</v>
      </c>
      <c r="M454" s="4">
        <v>3</v>
      </c>
      <c r="N454" s="4" t="s">
        <v>3</v>
      </c>
      <c r="O454" s="4">
        <v>2</v>
      </c>
      <c r="P454" s="4"/>
      <c r="Q454" s="4"/>
      <c r="R454" s="4"/>
      <c r="S454" s="4"/>
      <c r="T454" s="4"/>
      <c r="U454" s="4"/>
      <c r="V454" s="4"/>
      <c r="W454" s="4"/>
    </row>
    <row r="455" spans="1:23" x14ac:dyDescent="0.2">
      <c r="A455" s="4">
        <v>50</v>
      </c>
      <c r="B455" s="4">
        <v>0</v>
      </c>
      <c r="C455" s="4">
        <v>0</v>
      </c>
      <c r="D455" s="4">
        <v>1</v>
      </c>
      <c r="E455" s="4">
        <v>204</v>
      </c>
      <c r="F455" s="4">
        <f>ROUND(Source!R441,O455)</f>
        <v>502876.4</v>
      </c>
      <c r="G455" s="4" t="s">
        <v>98</v>
      </c>
      <c r="H455" s="4" t="s">
        <v>99</v>
      </c>
      <c r="I455" s="4"/>
      <c r="J455" s="4"/>
      <c r="K455" s="4">
        <v>204</v>
      </c>
      <c r="L455" s="4">
        <v>13</v>
      </c>
      <c r="M455" s="4">
        <v>3</v>
      </c>
      <c r="N455" s="4" t="s">
        <v>3</v>
      </c>
      <c r="O455" s="4">
        <v>2</v>
      </c>
      <c r="P455" s="4"/>
      <c r="Q455" s="4"/>
      <c r="R455" s="4"/>
      <c r="S455" s="4"/>
      <c r="T455" s="4"/>
      <c r="U455" s="4"/>
      <c r="V455" s="4"/>
      <c r="W455" s="4"/>
    </row>
    <row r="456" spans="1:23" x14ac:dyDescent="0.2">
      <c r="A456" s="4">
        <v>50</v>
      </c>
      <c r="B456" s="4">
        <v>0</v>
      </c>
      <c r="C456" s="4">
        <v>0</v>
      </c>
      <c r="D456" s="4">
        <v>1</v>
      </c>
      <c r="E456" s="4">
        <v>205</v>
      </c>
      <c r="F456" s="4">
        <f>ROUND(Source!S441,O456)</f>
        <v>2394221.27</v>
      </c>
      <c r="G456" s="4" t="s">
        <v>100</v>
      </c>
      <c r="H456" s="4" t="s">
        <v>101</v>
      </c>
      <c r="I456" s="4"/>
      <c r="J456" s="4"/>
      <c r="K456" s="4">
        <v>205</v>
      </c>
      <c r="L456" s="4">
        <v>14</v>
      </c>
      <c r="M456" s="4">
        <v>3</v>
      </c>
      <c r="N456" s="4" t="s">
        <v>3</v>
      </c>
      <c r="O456" s="4">
        <v>2</v>
      </c>
      <c r="P456" s="4"/>
      <c r="Q456" s="4"/>
      <c r="R456" s="4"/>
      <c r="S456" s="4"/>
      <c r="T456" s="4"/>
      <c r="U456" s="4"/>
      <c r="V456" s="4"/>
      <c r="W456" s="4"/>
    </row>
    <row r="457" spans="1:23" x14ac:dyDescent="0.2">
      <c r="A457" s="4">
        <v>50</v>
      </c>
      <c r="B457" s="4">
        <v>0</v>
      </c>
      <c r="C457" s="4">
        <v>0</v>
      </c>
      <c r="D457" s="4">
        <v>1</v>
      </c>
      <c r="E457" s="4">
        <v>232</v>
      </c>
      <c r="F457" s="4">
        <f>ROUND(Source!BC441,O457)</f>
        <v>0</v>
      </c>
      <c r="G457" s="4" t="s">
        <v>102</v>
      </c>
      <c r="H457" s="4" t="s">
        <v>103</v>
      </c>
      <c r="I457" s="4"/>
      <c r="J457" s="4"/>
      <c r="K457" s="4">
        <v>232</v>
      </c>
      <c r="L457" s="4">
        <v>15</v>
      </c>
      <c r="M457" s="4">
        <v>3</v>
      </c>
      <c r="N457" s="4" t="s">
        <v>3</v>
      </c>
      <c r="O457" s="4">
        <v>2</v>
      </c>
      <c r="P457" s="4"/>
      <c r="Q457" s="4"/>
      <c r="R457" s="4"/>
      <c r="S457" s="4"/>
      <c r="T457" s="4"/>
      <c r="U457" s="4"/>
      <c r="V457" s="4"/>
      <c r="W457" s="4"/>
    </row>
    <row r="458" spans="1:23" x14ac:dyDescent="0.2">
      <c r="A458" s="4">
        <v>50</v>
      </c>
      <c r="B458" s="4">
        <v>0</v>
      </c>
      <c r="C458" s="4">
        <v>0</v>
      </c>
      <c r="D458" s="4">
        <v>1</v>
      </c>
      <c r="E458" s="4">
        <v>214</v>
      </c>
      <c r="F458" s="4">
        <f>ROUND(Source!AS441,O458)</f>
        <v>4438817.1500000004</v>
      </c>
      <c r="G458" s="4" t="s">
        <v>104</v>
      </c>
      <c r="H458" s="4" t="s">
        <v>105</v>
      </c>
      <c r="I458" s="4"/>
      <c r="J458" s="4"/>
      <c r="K458" s="4">
        <v>214</v>
      </c>
      <c r="L458" s="4">
        <v>16</v>
      </c>
      <c r="M458" s="4">
        <v>3</v>
      </c>
      <c r="N458" s="4" t="s">
        <v>3</v>
      </c>
      <c r="O458" s="4">
        <v>2</v>
      </c>
      <c r="P458" s="4"/>
      <c r="Q458" s="4"/>
      <c r="R458" s="4"/>
      <c r="S458" s="4"/>
      <c r="T458" s="4"/>
      <c r="U458" s="4"/>
      <c r="V458" s="4"/>
      <c r="W458" s="4"/>
    </row>
    <row r="459" spans="1:23" x14ac:dyDescent="0.2">
      <c r="A459" s="4">
        <v>50</v>
      </c>
      <c r="B459" s="4">
        <v>0</v>
      </c>
      <c r="C459" s="4">
        <v>0</v>
      </c>
      <c r="D459" s="4">
        <v>1</v>
      </c>
      <c r="E459" s="4">
        <v>215</v>
      </c>
      <c r="F459" s="4">
        <f>ROUND(Source!AT441,O459)</f>
        <v>3987980.51</v>
      </c>
      <c r="G459" s="4" t="s">
        <v>106</v>
      </c>
      <c r="H459" s="4" t="s">
        <v>107</v>
      </c>
      <c r="I459" s="4"/>
      <c r="J459" s="4"/>
      <c r="K459" s="4">
        <v>215</v>
      </c>
      <c r="L459" s="4">
        <v>17</v>
      </c>
      <c r="M459" s="4">
        <v>3</v>
      </c>
      <c r="N459" s="4" t="s">
        <v>3</v>
      </c>
      <c r="O459" s="4">
        <v>2</v>
      </c>
      <c r="P459" s="4"/>
      <c r="Q459" s="4"/>
      <c r="R459" s="4"/>
      <c r="S459" s="4"/>
      <c r="T459" s="4"/>
      <c r="U459" s="4"/>
      <c r="V459" s="4"/>
      <c r="W459" s="4"/>
    </row>
    <row r="460" spans="1:23" x14ac:dyDescent="0.2">
      <c r="A460" s="4">
        <v>50</v>
      </c>
      <c r="B460" s="4">
        <v>0</v>
      </c>
      <c r="C460" s="4">
        <v>0</v>
      </c>
      <c r="D460" s="4">
        <v>1</v>
      </c>
      <c r="E460" s="4">
        <v>217</v>
      </c>
      <c r="F460" s="4">
        <f>ROUND(Source!AU441,O460)</f>
        <v>3809188.04</v>
      </c>
      <c r="G460" s="4" t="s">
        <v>108</v>
      </c>
      <c r="H460" s="4" t="s">
        <v>109</v>
      </c>
      <c r="I460" s="4"/>
      <c r="J460" s="4"/>
      <c r="K460" s="4">
        <v>217</v>
      </c>
      <c r="L460" s="4">
        <v>18</v>
      </c>
      <c r="M460" s="4">
        <v>3</v>
      </c>
      <c r="N460" s="4" t="s">
        <v>3</v>
      </c>
      <c r="O460" s="4">
        <v>2</v>
      </c>
      <c r="P460" s="4"/>
      <c r="Q460" s="4"/>
      <c r="R460" s="4"/>
      <c r="S460" s="4"/>
      <c r="T460" s="4"/>
      <c r="U460" s="4"/>
      <c r="V460" s="4"/>
      <c r="W460" s="4"/>
    </row>
    <row r="461" spans="1:23" x14ac:dyDescent="0.2">
      <c r="A461" s="4">
        <v>50</v>
      </c>
      <c r="B461" s="4">
        <v>0</v>
      </c>
      <c r="C461" s="4">
        <v>0</v>
      </c>
      <c r="D461" s="4">
        <v>1</v>
      </c>
      <c r="E461" s="4">
        <v>230</v>
      </c>
      <c r="F461" s="4">
        <f>ROUND(Source!BA441,O461)</f>
        <v>0</v>
      </c>
      <c r="G461" s="4" t="s">
        <v>110</v>
      </c>
      <c r="H461" s="4" t="s">
        <v>111</v>
      </c>
      <c r="I461" s="4"/>
      <c r="J461" s="4"/>
      <c r="K461" s="4">
        <v>230</v>
      </c>
      <c r="L461" s="4">
        <v>19</v>
      </c>
      <c r="M461" s="4">
        <v>3</v>
      </c>
      <c r="N461" s="4" t="s">
        <v>3</v>
      </c>
      <c r="O461" s="4">
        <v>2</v>
      </c>
      <c r="P461" s="4"/>
      <c r="Q461" s="4"/>
      <c r="R461" s="4"/>
      <c r="S461" s="4"/>
      <c r="T461" s="4"/>
      <c r="U461" s="4"/>
      <c r="V461" s="4"/>
      <c r="W461" s="4"/>
    </row>
    <row r="462" spans="1:23" x14ac:dyDescent="0.2">
      <c r="A462" s="4">
        <v>50</v>
      </c>
      <c r="B462" s="4">
        <v>0</v>
      </c>
      <c r="C462" s="4">
        <v>0</v>
      </c>
      <c r="D462" s="4">
        <v>1</v>
      </c>
      <c r="E462" s="4">
        <v>206</v>
      </c>
      <c r="F462" s="4">
        <f>ROUND(Source!T441,O462)</f>
        <v>0</v>
      </c>
      <c r="G462" s="4" t="s">
        <v>112</v>
      </c>
      <c r="H462" s="4" t="s">
        <v>113</v>
      </c>
      <c r="I462" s="4"/>
      <c r="J462" s="4"/>
      <c r="K462" s="4">
        <v>206</v>
      </c>
      <c r="L462" s="4">
        <v>20</v>
      </c>
      <c r="M462" s="4">
        <v>3</v>
      </c>
      <c r="N462" s="4" t="s">
        <v>3</v>
      </c>
      <c r="O462" s="4">
        <v>2</v>
      </c>
      <c r="P462" s="4"/>
      <c r="Q462" s="4"/>
      <c r="R462" s="4"/>
      <c r="S462" s="4"/>
      <c r="T462" s="4"/>
      <c r="U462" s="4"/>
      <c r="V462" s="4"/>
      <c r="W462" s="4"/>
    </row>
    <row r="463" spans="1:23" x14ac:dyDescent="0.2">
      <c r="A463" s="4">
        <v>50</v>
      </c>
      <c r="B463" s="4">
        <v>0</v>
      </c>
      <c r="C463" s="4">
        <v>0</v>
      </c>
      <c r="D463" s="4">
        <v>1</v>
      </c>
      <c r="E463" s="4">
        <v>207</v>
      </c>
      <c r="F463" s="4">
        <f>Source!U441</f>
        <v>8752.443617429999</v>
      </c>
      <c r="G463" s="4" t="s">
        <v>114</v>
      </c>
      <c r="H463" s="4" t="s">
        <v>115</v>
      </c>
      <c r="I463" s="4"/>
      <c r="J463" s="4"/>
      <c r="K463" s="4">
        <v>207</v>
      </c>
      <c r="L463" s="4">
        <v>21</v>
      </c>
      <c r="M463" s="4">
        <v>3</v>
      </c>
      <c r="N463" s="4" t="s">
        <v>3</v>
      </c>
      <c r="O463" s="4">
        <v>-1</v>
      </c>
      <c r="P463" s="4"/>
      <c r="Q463" s="4"/>
      <c r="R463" s="4"/>
      <c r="S463" s="4"/>
      <c r="T463" s="4"/>
      <c r="U463" s="4"/>
      <c r="V463" s="4"/>
      <c r="W463" s="4"/>
    </row>
    <row r="464" spans="1:23" x14ac:dyDescent="0.2">
      <c r="A464" s="4">
        <v>50</v>
      </c>
      <c r="B464" s="4">
        <v>0</v>
      </c>
      <c r="C464" s="4">
        <v>0</v>
      </c>
      <c r="D464" s="4">
        <v>1</v>
      </c>
      <c r="E464" s="4">
        <v>208</v>
      </c>
      <c r="F464" s="4">
        <f>Source!V441</f>
        <v>0</v>
      </c>
      <c r="G464" s="4" t="s">
        <v>116</v>
      </c>
      <c r="H464" s="4" t="s">
        <v>117</v>
      </c>
      <c r="I464" s="4"/>
      <c r="J464" s="4"/>
      <c r="K464" s="4">
        <v>208</v>
      </c>
      <c r="L464" s="4">
        <v>22</v>
      </c>
      <c r="M464" s="4">
        <v>3</v>
      </c>
      <c r="N464" s="4" t="s">
        <v>3</v>
      </c>
      <c r="O464" s="4">
        <v>-1</v>
      </c>
      <c r="P464" s="4"/>
      <c r="Q464" s="4"/>
      <c r="R464" s="4"/>
      <c r="S464" s="4"/>
      <c r="T464" s="4"/>
      <c r="U464" s="4"/>
      <c r="V464" s="4"/>
      <c r="W464" s="4"/>
    </row>
    <row r="465" spans="1:206" x14ac:dyDescent="0.2">
      <c r="A465" s="4">
        <v>50</v>
      </c>
      <c r="B465" s="4">
        <v>0</v>
      </c>
      <c r="C465" s="4">
        <v>0</v>
      </c>
      <c r="D465" s="4">
        <v>1</v>
      </c>
      <c r="E465" s="4">
        <v>209</v>
      </c>
      <c r="F465" s="4">
        <f>ROUND(Source!W441,O465)</f>
        <v>0</v>
      </c>
      <c r="G465" s="4" t="s">
        <v>118</v>
      </c>
      <c r="H465" s="4" t="s">
        <v>119</v>
      </c>
      <c r="I465" s="4"/>
      <c r="J465" s="4"/>
      <c r="K465" s="4">
        <v>209</v>
      </c>
      <c r="L465" s="4">
        <v>23</v>
      </c>
      <c r="M465" s="4">
        <v>3</v>
      </c>
      <c r="N465" s="4" t="s">
        <v>3</v>
      </c>
      <c r="O465" s="4">
        <v>2</v>
      </c>
      <c r="P465" s="4"/>
      <c r="Q465" s="4"/>
      <c r="R465" s="4"/>
      <c r="S465" s="4"/>
      <c r="T465" s="4"/>
      <c r="U465" s="4"/>
      <c r="V465" s="4"/>
      <c r="W465" s="4"/>
    </row>
    <row r="466" spans="1:206" x14ac:dyDescent="0.2">
      <c r="A466" s="4">
        <v>50</v>
      </c>
      <c r="B466" s="4">
        <v>0</v>
      </c>
      <c r="C466" s="4">
        <v>0</v>
      </c>
      <c r="D466" s="4">
        <v>1</v>
      </c>
      <c r="E466" s="4">
        <v>210</v>
      </c>
      <c r="F466" s="4">
        <f>ROUND(Source!X441,O466)</f>
        <v>1862104.57</v>
      </c>
      <c r="G466" s="4" t="s">
        <v>120</v>
      </c>
      <c r="H466" s="4" t="s">
        <v>121</v>
      </c>
      <c r="I466" s="4"/>
      <c r="J466" s="4"/>
      <c r="K466" s="4">
        <v>210</v>
      </c>
      <c r="L466" s="4">
        <v>24</v>
      </c>
      <c r="M466" s="4">
        <v>3</v>
      </c>
      <c r="N466" s="4" t="s">
        <v>3</v>
      </c>
      <c r="O466" s="4">
        <v>2</v>
      </c>
      <c r="P466" s="4"/>
      <c r="Q466" s="4"/>
      <c r="R466" s="4"/>
      <c r="S466" s="4"/>
      <c r="T466" s="4"/>
      <c r="U466" s="4"/>
      <c r="V466" s="4"/>
      <c r="W466" s="4"/>
    </row>
    <row r="467" spans="1:206" x14ac:dyDescent="0.2">
      <c r="A467" s="4">
        <v>50</v>
      </c>
      <c r="B467" s="4">
        <v>0</v>
      </c>
      <c r="C467" s="4">
        <v>0</v>
      </c>
      <c r="D467" s="4">
        <v>1</v>
      </c>
      <c r="E467" s="4">
        <v>211</v>
      </c>
      <c r="F467" s="4">
        <f>ROUND(Source!Y441,O467)</f>
        <v>1066406.1000000001</v>
      </c>
      <c r="G467" s="4" t="s">
        <v>122</v>
      </c>
      <c r="H467" s="4" t="s">
        <v>123</v>
      </c>
      <c r="I467" s="4"/>
      <c r="J467" s="4"/>
      <c r="K467" s="4">
        <v>211</v>
      </c>
      <c r="L467" s="4">
        <v>25</v>
      </c>
      <c r="M467" s="4">
        <v>3</v>
      </c>
      <c r="N467" s="4" t="s">
        <v>3</v>
      </c>
      <c r="O467" s="4">
        <v>2</v>
      </c>
      <c r="P467" s="4"/>
      <c r="Q467" s="4"/>
      <c r="R467" s="4"/>
      <c r="S467" s="4"/>
      <c r="T467" s="4"/>
      <c r="U467" s="4"/>
      <c r="V467" s="4"/>
      <c r="W467" s="4"/>
    </row>
    <row r="468" spans="1:206" x14ac:dyDescent="0.2">
      <c r="A468" s="4">
        <v>50</v>
      </c>
      <c r="B468" s="4">
        <v>0</v>
      </c>
      <c r="C468" s="4">
        <v>0</v>
      </c>
      <c r="D468" s="4">
        <v>1</v>
      </c>
      <c r="E468" s="4">
        <v>224</v>
      </c>
      <c r="F468" s="4">
        <f>ROUND(Source!AR441,O468)</f>
        <v>13455948.24</v>
      </c>
      <c r="G468" s="4" t="s">
        <v>124</v>
      </c>
      <c r="H468" s="4" t="s">
        <v>125</v>
      </c>
      <c r="I468" s="4"/>
      <c r="J468" s="4"/>
      <c r="K468" s="4">
        <v>224</v>
      </c>
      <c r="L468" s="4">
        <v>26</v>
      </c>
      <c r="M468" s="4">
        <v>3</v>
      </c>
      <c r="N468" s="4" t="s">
        <v>3</v>
      </c>
      <c r="O468" s="4">
        <v>2</v>
      </c>
      <c r="P468" s="4"/>
      <c r="Q468" s="4"/>
      <c r="R468" s="4"/>
      <c r="S468" s="4"/>
      <c r="T468" s="4"/>
      <c r="U468" s="4"/>
      <c r="V468" s="4"/>
      <c r="W468" s="4"/>
    </row>
    <row r="470" spans="1:206" x14ac:dyDescent="0.2">
      <c r="A470" s="2">
        <v>51</v>
      </c>
      <c r="B470" s="2">
        <f>B12</f>
        <v>502</v>
      </c>
      <c r="C470" s="2">
        <f>A12</f>
        <v>1</v>
      </c>
      <c r="D470" s="2">
        <f>ROW(A12)</f>
        <v>12</v>
      </c>
      <c r="E470" s="2"/>
      <c r="F470" s="2" t="str">
        <f>IF(F12&lt;&gt;"",F12,"")</f>
        <v>04-18-04.1</v>
      </c>
      <c r="G470" s="2" t="str">
        <f>IF(G12&lt;&gt;"",G12,"")</f>
        <v>04-18-04.1 Наружное электроснабжение</v>
      </c>
      <c r="H470" s="2">
        <v>0</v>
      </c>
      <c r="I470" s="2"/>
      <c r="J470" s="2"/>
      <c r="K470" s="2"/>
      <c r="L470" s="2"/>
      <c r="M470" s="2"/>
      <c r="N470" s="2"/>
      <c r="O470" s="2">
        <f t="shared" ref="O470:T470" si="313">ROUND(O441,2)</f>
        <v>9687633.9700000007</v>
      </c>
      <c r="P470" s="2">
        <f t="shared" si="313"/>
        <v>6112992.8200000003</v>
      </c>
      <c r="Q470" s="2">
        <f t="shared" si="313"/>
        <v>1180419.8799999999</v>
      </c>
      <c r="R470" s="2">
        <f t="shared" si="313"/>
        <v>502876.4</v>
      </c>
      <c r="S470" s="2">
        <f t="shared" si="313"/>
        <v>2394221.27</v>
      </c>
      <c r="T470" s="2">
        <f t="shared" si="313"/>
        <v>0</v>
      </c>
      <c r="U470" s="2">
        <f>U441</f>
        <v>8752.443617429999</v>
      </c>
      <c r="V470" s="2">
        <f>V441</f>
        <v>0</v>
      </c>
      <c r="W470" s="2">
        <f>ROUND(W441,2)</f>
        <v>0</v>
      </c>
      <c r="X470" s="2">
        <f>ROUND(X441,2)</f>
        <v>1862104.57</v>
      </c>
      <c r="Y470" s="2">
        <f>ROUND(Y441,2)</f>
        <v>1066406.1000000001</v>
      </c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>
        <f t="shared" ref="AO470:BC470" si="314">ROUND(AO441,2)</f>
        <v>0</v>
      </c>
      <c r="AP470" s="2">
        <f t="shared" si="314"/>
        <v>1219962.54</v>
      </c>
      <c r="AQ470" s="2">
        <f t="shared" si="314"/>
        <v>0</v>
      </c>
      <c r="AR470" s="2">
        <f t="shared" si="314"/>
        <v>13455948.24</v>
      </c>
      <c r="AS470" s="2">
        <f t="shared" si="314"/>
        <v>4438817.1500000004</v>
      </c>
      <c r="AT470" s="2">
        <f t="shared" si="314"/>
        <v>3987980.51</v>
      </c>
      <c r="AU470" s="2">
        <f t="shared" si="314"/>
        <v>3809188.04</v>
      </c>
      <c r="AV470" s="2">
        <f t="shared" si="314"/>
        <v>6112992.8200000003</v>
      </c>
      <c r="AW470" s="2">
        <f t="shared" si="314"/>
        <v>4893030.28</v>
      </c>
      <c r="AX470" s="2">
        <f t="shared" si="314"/>
        <v>0</v>
      </c>
      <c r="AY470" s="2">
        <f t="shared" si="314"/>
        <v>4893030.28</v>
      </c>
      <c r="AZ470" s="2">
        <f t="shared" si="314"/>
        <v>1219962.54</v>
      </c>
      <c r="BA470" s="2">
        <f t="shared" si="314"/>
        <v>0</v>
      </c>
      <c r="BB470" s="2">
        <f t="shared" si="314"/>
        <v>0</v>
      </c>
      <c r="BC470" s="2">
        <f t="shared" si="314"/>
        <v>0</v>
      </c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  <c r="EG470" s="3"/>
      <c r="EH470" s="3"/>
      <c r="EI470" s="3"/>
      <c r="EJ470" s="3"/>
      <c r="EK470" s="3"/>
      <c r="EL470" s="3"/>
      <c r="EM470" s="3"/>
      <c r="EN470" s="3"/>
      <c r="EO470" s="3"/>
      <c r="EP470" s="3"/>
      <c r="EQ470" s="3"/>
      <c r="ER470" s="3"/>
      <c r="ES470" s="3"/>
      <c r="ET470" s="3"/>
      <c r="EU470" s="3"/>
      <c r="EV470" s="3"/>
      <c r="EW470" s="3"/>
      <c r="EX470" s="3"/>
      <c r="EY470" s="3"/>
      <c r="EZ470" s="3"/>
      <c r="FA470" s="3"/>
      <c r="FB470" s="3"/>
      <c r="FC470" s="3"/>
      <c r="FD470" s="3"/>
      <c r="FE470" s="3"/>
      <c r="FF470" s="3"/>
      <c r="FG470" s="3"/>
      <c r="FH470" s="3"/>
      <c r="FI470" s="3"/>
      <c r="FJ470" s="3"/>
      <c r="FK470" s="3"/>
      <c r="FL470" s="3"/>
      <c r="FM470" s="3"/>
      <c r="FN470" s="3"/>
      <c r="FO470" s="3"/>
      <c r="FP470" s="3"/>
      <c r="FQ470" s="3"/>
      <c r="FR470" s="3"/>
      <c r="FS470" s="3"/>
      <c r="FT470" s="3"/>
      <c r="FU470" s="3"/>
      <c r="FV470" s="3"/>
      <c r="FW470" s="3"/>
      <c r="FX470" s="3"/>
      <c r="FY470" s="3"/>
      <c r="FZ470" s="3"/>
      <c r="GA470" s="3"/>
      <c r="GB470" s="3"/>
      <c r="GC470" s="3"/>
      <c r="GD470" s="3"/>
      <c r="GE470" s="3"/>
      <c r="GF470" s="3"/>
      <c r="GG470" s="3"/>
      <c r="GH470" s="3"/>
      <c r="GI470" s="3"/>
      <c r="GJ470" s="3"/>
      <c r="GK470" s="3"/>
      <c r="GL470" s="3"/>
      <c r="GM470" s="3"/>
      <c r="GN470" s="3"/>
      <c r="GO470" s="3"/>
      <c r="GP470" s="3"/>
      <c r="GQ470" s="3"/>
      <c r="GR470" s="3"/>
      <c r="GS470" s="3"/>
      <c r="GT470" s="3"/>
      <c r="GU470" s="3"/>
      <c r="GV470" s="3"/>
      <c r="GW470" s="3"/>
      <c r="GX470" s="3">
        <v>0</v>
      </c>
    </row>
    <row r="472" spans="1:206" x14ac:dyDescent="0.2">
      <c r="A472" s="4">
        <v>50</v>
      </c>
      <c r="B472" s="4">
        <v>0</v>
      </c>
      <c r="C472" s="4">
        <v>0</v>
      </c>
      <c r="D472" s="4">
        <v>1</v>
      </c>
      <c r="E472" s="4">
        <v>201</v>
      </c>
      <c r="F472" s="4">
        <f>ROUND(Source!O470,O472)</f>
        <v>9687633.9700000007</v>
      </c>
      <c r="G472" s="4" t="s">
        <v>74</v>
      </c>
      <c r="H472" s="4" t="s">
        <v>75</v>
      </c>
      <c r="I472" s="4"/>
      <c r="J472" s="4"/>
      <c r="K472" s="4">
        <v>201</v>
      </c>
      <c r="L472" s="4">
        <v>1</v>
      </c>
      <c r="M472" s="4">
        <v>3</v>
      </c>
      <c r="N472" s="4" t="s">
        <v>3</v>
      </c>
      <c r="O472" s="4">
        <v>2</v>
      </c>
      <c r="P472" s="4"/>
      <c r="Q472" s="4"/>
      <c r="R472" s="4"/>
      <c r="S472" s="4"/>
      <c r="T472" s="4"/>
      <c r="U472" s="4"/>
      <c r="V472" s="4"/>
      <c r="W472" s="4"/>
    </row>
    <row r="473" spans="1:206" x14ac:dyDescent="0.2">
      <c r="A473" s="4">
        <v>50</v>
      </c>
      <c r="B473" s="4">
        <v>0</v>
      </c>
      <c r="C473" s="4">
        <v>0</v>
      </c>
      <c r="D473" s="4">
        <v>1</v>
      </c>
      <c r="E473" s="4">
        <v>202</v>
      </c>
      <c r="F473" s="4">
        <f>ROUND(Source!P470,O473)</f>
        <v>6112992.8200000003</v>
      </c>
      <c r="G473" s="4" t="s">
        <v>76</v>
      </c>
      <c r="H473" s="4" t="s">
        <v>77</v>
      </c>
      <c r="I473" s="4"/>
      <c r="J473" s="4"/>
      <c r="K473" s="4">
        <v>202</v>
      </c>
      <c r="L473" s="4">
        <v>2</v>
      </c>
      <c r="M473" s="4">
        <v>3</v>
      </c>
      <c r="N473" s="4" t="s">
        <v>3</v>
      </c>
      <c r="O473" s="4">
        <v>2</v>
      </c>
      <c r="P473" s="4"/>
      <c r="Q473" s="4"/>
      <c r="R473" s="4"/>
      <c r="S473" s="4"/>
      <c r="T473" s="4"/>
      <c r="U473" s="4"/>
      <c r="V473" s="4"/>
      <c r="W473" s="4"/>
    </row>
    <row r="474" spans="1:206" x14ac:dyDescent="0.2">
      <c r="A474" s="4">
        <v>50</v>
      </c>
      <c r="B474" s="4">
        <v>0</v>
      </c>
      <c r="C474" s="4">
        <v>0</v>
      </c>
      <c r="D474" s="4">
        <v>1</v>
      </c>
      <c r="E474" s="4">
        <v>222</v>
      </c>
      <c r="F474" s="4">
        <f>ROUND(Source!AO470,O474)</f>
        <v>0</v>
      </c>
      <c r="G474" s="4" t="s">
        <v>78</v>
      </c>
      <c r="H474" s="4" t="s">
        <v>79</v>
      </c>
      <c r="I474" s="4"/>
      <c r="J474" s="4"/>
      <c r="K474" s="4">
        <v>222</v>
      </c>
      <c r="L474" s="4">
        <v>3</v>
      </c>
      <c r="M474" s="4">
        <v>3</v>
      </c>
      <c r="N474" s="4" t="s">
        <v>3</v>
      </c>
      <c r="O474" s="4">
        <v>2</v>
      </c>
      <c r="P474" s="4"/>
      <c r="Q474" s="4"/>
      <c r="R474" s="4"/>
      <c r="S474" s="4"/>
      <c r="T474" s="4"/>
      <c r="U474" s="4"/>
      <c r="V474" s="4"/>
      <c r="W474" s="4"/>
    </row>
    <row r="475" spans="1:206" x14ac:dyDescent="0.2">
      <c r="A475" s="4">
        <v>50</v>
      </c>
      <c r="B475" s="4">
        <v>0</v>
      </c>
      <c r="C475" s="4">
        <v>0</v>
      </c>
      <c r="D475" s="4">
        <v>1</v>
      </c>
      <c r="E475" s="4">
        <v>225</v>
      </c>
      <c r="F475" s="4">
        <f>ROUND(Source!AV470,O475)</f>
        <v>6112992.8200000003</v>
      </c>
      <c r="G475" s="4" t="s">
        <v>80</v>
      </c>
      <c r="H475" s="4" t="s">
        <v>81</v>
      </c>
      <c r="I475" s="4"/>
      <c r="J475" s="4"/>
      <c r="K475" s="4">
        <v>225</v>
      </c>
      <c r="L475" s="4">
        <v>4</v>
      </c>
      <c r="M475" s="4">
        <v>3</v>
      </c>
      <c r="N475" s="4" t="s">
        <v>3</v>
      </c>
      <c r="O475" s="4">
        <v>2</v>
      </c>
      <c r="P475" s="4"/>
      <c r="Q475" s="4"/>
      <c r="R475" s="4"/>
      <c r="S475" s="4"/>
      <c r="T475" s="4"/>
      <c r="U475" s="4"/>
      <c r="V475" s="4"/>
      <c r="W475" s="4"/>
    </row>
    <row r="476" spans="1:206" x14ac:dyDescent="0.2">
      <c r="A476" s="4">
        <v>50</v>
      </c>
      <c r="B476" s="4">
        <v>0</v>
      </c>
      <c r="C476" s="4">
        <v>0</v>
      </c>
      <c r="D476" s="4">
        <v>1</v>
      </c>
      <c r="E476" s="4">
        <v>226</v>
      </c>
      <c r="F476" s="4">
        <f>ROUND(Source!AW470,O476)</f>
        <v>4893030.28</v>
      </c>
      <c r="G476" s="4" t="s">
        <v>82</v>
      </c>
      <c r="H476" s="4" t="s">
        <v>83</v>
      </c>
      <c r="I476" s="4"/>
      <c r="J476" s="4"/>
      <c r="K476" s="4">
        <v>226</v>
      </c>
      <c r="L476" s="4">
        <v>5</v>
      </c>
      <c r="M476" s="4">
        <v>3</v>
      </c>
      <c r="N476" s="4" t="s">
        <v>3</v>
      </c>
      <c r="O476" s="4">
        <v>2</v>
      </c>
      <c r="P476" s="4"/>
      <c r="Q476" s="4"/>
      <c r="R476" s="4"/>
      <c r="S476" s="4"/>
      <c r="T476" s="4"/>
      <c r="U476" s="4"/>
      <c r="V476" s="4"/>
      <c r="W476" s="4"/>
    </row>
    <row r="477" spans="1:206" x14ac:dyDescent="0.2">
      <c r="A477" s="4">
        <v>50</v>
      </c>
      <c r="B477" s="4">
        <v>0</v>
      </c>
      <c r="C477" s="4">
        <v>0</v>
      </c>
      <c r="D477" s="4">
        <v>1</v>
      </c>
      <c r="E477" s="4">
        <v>227</v>
      </c>
      <c r="F477" s="4">
        <f>ROUND(Source!AX470,O477)</f>
        <v>0</v>
      </c>
      <c r="G477" s="4" t="s">
        <v>84</v>
      </c>
      <c r="H477" s="4" t="s">
        <v>85</v>
      </c>
      <c r="I477" s="4"/>
      <c r="J477" s="4"/>
      <c r="K477" s="4">
        <v>227</v>
      </c>
      <c r="L477" s="4">
        <v>6</v>
      </c>
      <c r="M477" s="4">
        <v>3</v>
      </c>
      <c r="N477" s="4" t="s">
        <v>3</v>
      </c>
      <c r="O477" s="4">
        <v>2</v>
      </c>
      <c r="P477" s="4"/>
      <c r="Q477" s="4"/>
      <c r="R477" s="4"/>
      <c r="S477" s="4"/>
      <c r="T477" s="4"/>
      <c r="U477" s="4"/>
      <c r="V477" s="4"/>
      <c r="W477" s="4"/>
    </row>
    <row r="478" spans="1:206" x14ac:dyDescent="0.2">
      <c r="A478" s="4">
        <v>50</v>
      </c>
      <c r="B478" s="4">
        <v>0</v>
      </c>
      <c r="C478" s="4">
        <v>0</v>
      </c>
      <c r="D478" s="4">
        <v>1</v>
      </c>
      <c r="E478" s="4">
        <v>228</v>
      </c>
      <c r="F478" s="4">
        <f>ROUND(Source!AY470,O478)</f>
        <v>4893030.28</v>
      </c>
      <c r="G478" s="4" t="s">
        <v>86</v>
      </c>
      <c r="H478" s="4" t="s">
        <v>87</v>
      </c>
      <c r="I478" s="4"/>
      <c r="J478" s="4"/>
      <c r="K478" s="4">
        <v>228</v>
      </c>
      <c r="L478" s="4">
        <v>7</v>
      </c>
      <c r="M478" s="4">
        <v>3</v>
      </c>
      <c r="N478" s="4" t="s">
        <v>3</v>
      </c>
      <c r="O478" s="4">
        <v>2</v>
      </c>
      <c r="P478" s="4"/>
      <c r="Q478" s="4"/>
      <c r="R478" s="4"/>
      <c r="S478" s="4"/>
      <c r="T478" s="4"/>
      <c r="U478" s="4"/>
      <c r="V478" s="4"/>
      <c r="W478" s="4"/>
    </row>
    <row r="479" spans="1:206" x14ac:dyDescent="0.2">
      <c r="A479" s="4">
        <v>50</v>
      </c>
      <c r="B479" s="4">
        <v>0</v>
      </c>
      <c r="C479" s="4">
        <v>0</v>
      </c>
      <c r="D479" s="4">
        <v>1</v>
      </c>
      <c r="E479" s="4">
        <v>216</v>
      </c>
      <c r="F479" s="4">
        <f>ROUND(Source!AP470,O479)</f>
        <v>1219962.54</v>
      </c>
      <c r="G479" s="4" t="s">
        <v>88</v>
      </c>
      <c r="H479" s="4" t="s">
        <v>89</v>
      </c>
      <c r="I479" s="4"/>
      <c r="J479" s="4"/>
      <c r="K479" s="4">
        <v>216</v>
      </c>
      <c r="L479" s="4">
        <v>8</v>
      </c>
      <c r="M479" s="4">
        <v>3</v>
      </c>
      <c r="N479" s="4" t="s">
        <v>3</v>
      </c>
      <c r="O479" s="4">
        <v>2</v>
      </c>
      <c r="P479" s="4"/>
      <c r="Q479" s="4"/>
      <c r="R479" s="4"/>
      <c r="S479" s="4"/>
      <c r="T479" s="4"/>
      <c r="U479" s="4"/>
      <c r="V479" s="4"/>
      <c r="W479" s="4"/>
    </row>
    <row r="480" spans="1:206" x14ac:dyDescent="0.2">
      <c r="A480" s="4">
        <v>50</v>
      </c>
      <c r="B480" s="4">
        <v>0</v>
      </c>
      <c r="C480" s="4">
        <v>0</v>
      </c>
      <c r="D480" s="4">
        <v>1</v>
      </c>
      <c r="E480" s="4">
        <v>223</v>
      </c>
      <c r="F480" s="4">
        <f>ROUND(Source!AQ470,O480)</f>
        <v>0</v>
      </c>
      <c r="G480" s="4" t="s">
        <v>90</v>
      </c>
      <c r="H480" s="4" t="s">
        <v>91</v>
      </c>
      <c r="I480" s="4"/>
      <c r="J480" s="4"/>
      <c r="K480" s="4">
        <v>223</v>
      </c>
      <c r="L480" s="4">
        <v>9</v>
      </c>
      <c r="M480" s="4">
        <v>3</v>
      </c>
      <c r="N480" s="4" t="s">
        <v>3</v>
      </c>
      <c r="O480" s="4">
        <v>2</v>
      </c>
      <c r="P480" s="4"/>
      <c r="Q480" s="4"/>
      <c r="R480" s="4"/>
      <c r="S480" s="4"/>
      <c r="T480" s="4"/>
      <c r="U480" s="4"/>
      <c r="V480" s="4"/>
      <c r="W480" s="4"/>
    </row>
    <row r="481" spans="1:23" x14ac:dyDescent="0.2">
      <c r="A481" s="4">
        <v>50</v>
      </c>
      <c r="B481" s="4">
        <v>0</v>
      </c>
      <c r="C481" s="4">
        <v>0</v>
      </c>
      <c r="D481" s="4">
        <v>1</v>
      </c>
      <c r="E481" s="4">
        <v>229</v>
      </c>
      <c r="F481" s="4">
        <f>ROUND(Source!AZ470,O481)</f>
        <v>1219962.54</v>
      </c>
      <c r="G481" s="4" t="s">
        <v>92</v>
      </c>
      <c r="H481" s="4" t="s">
        <v>93</v>
      </c>
      <c r="I481" s="4"/>
      <c r="J481" s="4"/>
      <c r="K481" s="4">
        <v>229</v>
      </c>
      <c r="L481" s="4">
        <v>10</v>
      </c>
      <c r="M481" s="4">
        <v>3</v>
      </c>
      <c r="N481" s="4" t="s">
        <v>3</v>
      </c>
      <c r="O481" s="4">
        <v>2</v>
      </c>
      <c r="P481" s="4"/>
      <c r="Q481" s="4"/>
      <c r="R481" s="4"/>
      <c r="S481" s="4"/>
      <c r="T481" s="4"/>
      <c r="U481" s="4"/>
      <c r="V481" s="4"/>
      <c r="W481" s="4"/>
    </row>
    <row r="482" spans="1:23" x14ac:dyDescent="0.2">
      <c r="A482" s="4">
        <v>50</v>
      </c>
      <c r="B482" s="4">
        <v>0</v>
      </c>
      <c r="C482" s="4">
        <v>0</v>
      </c>
      <c r="D482" s="4">
        <v>1</v>
      </c>
      <c r="E482" s="4">
        <v>203</v>
      </c>
      <c r="F482" s="4">
        <f>ROUND(Source!Q470,O482)</f>
        <v>1180419.8799999999</v>
      </c>
      <c r="G482" s="4" t="s">
        <v>94</v>
      </c>
      <c r="H482" s="4" t="s">
        <v>95</v>
      </c>
      <c r="I482" s="4"/>
      <c r="J482" s="4"/>
      <c r="K482" s="4">
        <v>203</v>
      </c>
      <c r="L482" s="4">
        <v>11</v>
      </c>
      <c r="M482" s="4">
        <v>3</v>
      </c>
      <c r="N482" s="4" t="s">
        <v>3</v>
      </c>
      <c r="O482" s="4">
        <v>2</v>
      </c>
      <c r="P482" s="4"/>
      <c r="Q482" s="4"/>
      <c r="R482" s="4"/>
      <c r="S482" s="4"/>
      <c r="T482" s="4"/>
      <c r="U482" s="4"/>
      <c r="V482" s="4"/>
      <c r="W482" s="4"/>
    </row>
    <row r="483" spans="1:23" x14ac:dyDescent="0.2">
      <c r="A483" s="4">
        <v>50</v>
      </c>
      <c r="B483" s="4">
        <v>0</v>
      </c>
      <c r="C483" s="4">
        <v>0</v>
      </c>
      <c r="D483" s="4">
        <v>1</v>
      </c>
      <c r="E483" s="4">
        <v>231</v>
      </c>
      <c r="F483" s="4">
        <f>ROUND(Source!BB470,O483)</f>
        <v>0</v>
      </c>
      <c r="G483" s="4" t="s">
        <v>96</v>
      </c>
      <c r="H483" s="4" t="s">
        <v>97</v>
      </c>
      <c r="I483" s="4"/>
      <c r="J483" s="4"/>
      <c r="K483" s="4">
        <v>231</v>
      </c>
      <c r="L483" s="4">
        <v>12</v>
      </c>
      <c r="M483" s="4">
        <v>3</v>
      </c>
      <c r="N483" s="4" t="s">
        <v>3</v>
      </c>
      <c r="O483" s="4">
        <v>2</v>
      </c>
      <c r="P483" s="4"/>
      <c r="Q483" s="4"/>
      <c r="R483" s="4"/>
      <c r="S483" s="4"/>
      <c r="T483" s="4"/>
      <c r="U483" s="4"/>
      <c r="V483" s="4"/>
      <c r="W483" s="4"/>
    </row>
    <row r="484" spans="1:23" x14ac:dyDescent="0.2">
      <c r="A484" s="4">
        <v>50</v>
      </c>
      <c r="B484" s="4">
        <v>0</v>
      </c>
      <c r="C484" s="4">
        <v>0</v>
      </c>
      <c r="D484" s="4">
        <v>1</v>
      </c>
      <c r="E484" s="4">
        <v>204</v>
      </c>
      <c r="F484" s="4">
        <f>ROUND(Source!R470,O484)</f>
        <v>502876.4</v>
      </c>
      <c r="G484" s="4" t="s">
        <v>98</v>
      </c>
      <c r="H484" s="4" t="s">
        <v>99</v>
      </c>
      <c r="I484" s="4"/>
      <c r="J484" s="4"/>
      <c r="K484" s="4">
        <v>204</v>
      </c>
      <c r="L484" s="4">
        <v>13</v>
      </c>
      <c r="M484" s="4">
        <v>3</v>
      </c>
      <c r="N484" s="4" t="s">
        <v>3</v>
      </c>
      <c r="O484" s="4">
        <v>2</v>
      </c>
      <c r="P484" s="4"/>
      <c r="Q484" s="4"/>
      <c r="R484" s="4"/>
      <c r="S484" s="4"/>
      <c r="T484" s="4"/>
      <c r="U484" s="4"/>
      <c r="V484" s="4"/>
      <c r="W484" s="4"/>
    </row>
    <row r="485" spans="1:23" x14ac:dyDescent="0.2">
      <c r="A485" s="4">
        <v>50</v>
      </c>
      <c r="B485" s="4">
        <v>0</v>
      </c>
      <c r="C485" s="4">
        <v>0</v>
      </c>
      <c r="D485" s="4">
        <v>1</v>
      </c>
      <c r="E485" s="4">
        <v>205</v>
      </c>
      <c r="F485" s="4">
        <f>ROUND(Source!S470,O485)</f>
        <v>2394221.27</v>
      </c>
      <c r="G485" s="4" t="s">
        <v>100</v>
      </c>
      <c r="H485" s="4" t="s">
        <v>101</v>
      </c>
      <c r="I485" s="4"/>
      <c r="J485" s="4"/>
      <c r="K485" s="4">
        <v>205</v>
      </c>
      <c r="L485" s="4">
        <v>14</v>
      </c>
      <c r="M485" s="4">
        <v>3</v>
      </c>
      <c r="N485" s="4" t="s">
        <v>3</v>
      </c>
      <c r="O485" s="4">
        <v>2</v>
      </c>
      <c r="P485" s="4"/>
      <c r="Q485" s="4"/>
      <c r="R485" s="4"/>
      <c r="S485" s="4"/>
      <c r="T485" s="4"/>
      <c r="U485" s="4"/>
      <c r="V485" s="4"/>
      <c r="W485" s="4"/>
    </row>
    <row r="486" spans="1:23" x14ac:dyDescent="0.2">
      <c r="A486" s="4">
        <v>50</v>
      </c>
      <c r="B486" s="4">
        <v>0</v>
      </c>
      <c r="C486" s="4">
        <v>0</v>
      </c>
      <c r="D486" s="4">
        <v>1</v>
      </c>
      <c r="E486" s="4">
        <v>232</v>
      </c>
      <c r="F486" s="4">
        <f>ROUND(Source!BC470,O486)</f>
        <v>0</v>
      </c>
      <c r="G486" s="4" t="s">
        <v>102</v>
      </c>
      <c r="H486" s="4" t="s">
        <v>103</v>
      </c>
      <c r="I486" s="4"/>
      <c r="J486" s="4"/>
      <c r="K486" s="4">
        <v>232</v>
      </c>
      <c r="L486" s="4">
        <v>15</v>
      </c>
      <c r="M486" s="4">
        <v>3</v>
      </c>
      <c r="N486" s="4" t="s">
        <v>3</v>
      </c>
      <c r="O486" s="4">
        <v>2</v>
      </c>
      <c r="P486" s="4"/>
      <c r="Q486" s="4"/>
      <c r="R486" s="4"/>
      <c r="S486" s="4"/>
      <c r="T486" s="4"/>
      <c r="U486" s="4"/>
      <c r="V486" s="4"/>
      <c r="W486" s="4"/>
    </row>
    <row r="487" spans="1:23" x14ac:dyDescent="0.2">
      <c r="A487" s="4">
        <v>50</v>
      </c>
      <c r="B487" s="4">
        <v>0</v>
      </c>
      <c r="C487" s="4">
        <v>0</v>
      </c>
      <c r="D487" s="4">
        <v>1</v>
      </c>
      <c r="E487" s="4">
        <v>214</v>
      </c>
      <c r="F487" s="4">
        <f>ROUND(Source!AS470,O487)</f>
        <v>4438817.1500000004</v>
      </c>
      <c r="G487" s="4" t="s">
        <v>104</v>
      </c>
      <c r="H487" s="4" t="s">
        <v>105</v>
      </c>
      <c r="I487" s="4"/>
      <c r="J487" s="4"/>
      <c r="K487" s="4">
        <v>214</v>
      </c>
      <c r="L487" s="4">
        <v>16</v>
      </c>
      <c r="M487" s="4">
        <v>3</v>
      </c>
      <c r="N487" s="4" t="s">
        <v>3</v>
      </c>
      <c r="O487" s="4">
        <v>2</v>
      </c>
      <c r="P487" s="4"/>
      <c r="Q487" s="4"/>
      <c r="R487" s="4"/>
      <c r="S487" s="4"/>
      <c r="T487" s="4"/>
      <c r="U487" s="4"/>
      <c r="V487" s="4"/>
      <c r="W487" s="4"/>
    </row>
    <row r="488" spans="1:23" x14ac:dyDescent="0.2">
      <c r="A488" s="4">
        <v>50</v>
      </c>
      <c r="B488" s="4">
        <v>0</v>
      </c>
      <c r="C488" s="4">
        <v>0</v>
      </c>
      <c r="D488" s="4">
        <v>1</v>
      </c>
      <c r="E488" s="4">
        <v>215</v>
      </c>
      <c r="F488" s="4">
        <f>ROUND(Source!AT470,O488)</f>
        <v>3987980.51</v>
      </c>
      <c r="G488" s="4" t="s">
        <v>106</v>
      </c>
      <c r="H488" s="4" t="s">
        <v>107</v>
      </c>
      <c r="I488" s="4"/>
      <c r="J488" s="4"/>
      <c r="K488" s="4">
        <v>215</v>
      </c>
      <c r="L488" s="4">
        <v>17</v>
      </c>
      <c r="M488" s="4">
        <v>3</v>
      </c>
      <c r="N488" s="4" t="s">
        <v>3</v>
      </c>
      <c r="O488" s="4">
        <v>2</v>
      </c>
      <c r="P488" s="4"/>
      <c r="Q488" s="4"/>
      <c r="R488" s="4"/>
      <c r="S488" s="4"/>
      <c r="T488" s="4"/>
      <c r="U488" s="4"/>
      <c r="V488" s="4"/>
      <c r="W488" s="4"/>
    </row>
    <row r="489" spans="1:23" x14ac:dyDescent="0.2">
      <c r="A489" s="4">
        <v>50</v>
      </c>
      <c r="B489" s="4">
        <v>0</v>
      </c>
      <c r="C489" s="4">
        <v>0</v>
      </c>
      <c r="D489" s="4">
        <v>1</v>
      </c>
      <c r="E489" s="4">
        <v>217</v>
      </c>
      <c r="F489" s="4">
        <f>ROUND(Source!AU470,O489)</f>
        <v>3809188.04</v>
      </c>
      <c r="G489" s="4" t="s">
        <v>108</v>
      </c>
      <c r="H489" s="4" t="s">
        <v>109</v>
      </c>
      <c r="I489" s="4"/>
      <c r="J489" s="4"/>
      <c r="K489" s="4">
        <v>217</v>
      </c>
      <c r="L489" s="4">
        <v>18</v>
      </c>
      <c r="M489" s="4">
        <v>3</v>
      </c>
      <c r="N489" s="4" t="s">
        <v>3</v>
      </c>
      <c r="O489" s="4">
        <v>2</v>
      </c>
      <c r="P489" s="4"/>
      <c r="Q489" s="4"/>
      <c r="R489" s="4"/>
      <c r="S489" s="4"/>
      <c r="T489" s="4"/>
      <c r="U489" s="4"/>
      <c r="V489" s="4"/>
      <c r="W489" s="4"/>
    </row>
    <row r="490" spans="1:23" x14ac:dyDescent="0.2">
      <c r="A490" s="4">
        <v>50</v>
      </c>
      <c r="B490" s="4">
        <v>0</v>
      </c>
      <c r="C490" s="4">
        <v>0</v>
      </c>
      <c r="D490" s="4">
        <v>1</v>
      </c>
      <c r="E490" s="4">
        <v>230</v>
      </c>
      <c r="F490" s="4">
        <f>ROUND(Source!BA470,O490)</f>
        <v>0</v>
      </c>
      <c r="G490" s="4" t="s">
        <v>110</v>
      </c>
      <c r="H490" s="4" t="s">
        <v>111</v>
      </c>
      <c r="I490" s="4"/>
      <c r="J490" s="4"/>
      <c r="K490" s="4">
        <v>230</v>
      </c>
      <c r="L490" s="4">
        <v>19</v>
      </c>
      <c r="M490" s="4">
        <v>3</v>
      </c>
      <c r="N490" s="4" t="s">
        <v>3</v>
      </c>
      <c r="O490" s="4">
        <v>2</v>
      </c>
      <c r="P490" s="4"/>
      <c r="Q490" s="4"/>
      <c r="R490" s="4"/>
      <c r="S490" s="4"/>
      <c r="T490" s="4"/>
      <c r="U490" s="4"/>
      <c r="V490" s="4"/>
      <c r="W490" s="4"/>
    </row>
    <row r="491" spans="1:23" x14ac:dyDescent="0.2">
      <c r="A491" s="4">
        <v>50</v>
      </c>
      <c r="B491" s="4">
        <v>0</v>
      </c>
      <c r="C491" s="4">
        <v>0</v>
      </c>
      <c r="D491" s="4">
        <v>1</v>
      </c>
      <c r="E491" s="4">
        <v>206</v>
      </c>
      <c r="F491" s="4">
        <f>ROUND(Source!T470,O491)</f>
        <v>0</v>
      </c>
      <c r="G491" s="4" t="s">
        <v>112</v>
      </c>
      <c r="H491" s="4" t="s">
        <v>113</v>
      </c>
      <c r="I491" s="4"/>
      <c r="J491" s="4"/>
      <c r="K491" s="4">
        <v>206</v>
      </c>
      <c r="L491" s="4">
        <v>20</v>
      </c>
      <c r="M491" s="4">
        <v>3</v>
      </c>
      <c r="N491" s="4" t="s">
        <v>3</v>
      </c>
      <c r="O491" s="4">
        <v>2</v>
      </c>
      <c r="P491" s="4"/>
      <c r="Q491" s="4"/>
      <c r="R491" s="4"/>
      <c r="S491" s="4"/>
      <c r="T491" s="4"/>
      <c r="U491" s="4"/>
      <c r="V491" s="4"/>
      <c r="W491" s="4"/>
    </row>
    <row r="492" spans="1:23" x14ac:dyDescent="0.2">
      <c r="A492" s="4">
        <v>50</v>
      </c>
      <c r="B492" s="4">
        <v>0</v>
      </c>
      <c r="C492" s="4">
        <v>0</v>
      </c>
      <c r="D492" s="4">
        <v>1</v>
      </c>
      <c r="E492" s="4">
        <v>207</v>
      </c>
      <c r="F492" s="4">
        <f>Source!U470</f>
        <v>8752.443617429999</v>
      </c>
      <c r="G492" s="4" t="s">
        <v>114</v>
      </c>
      <c r="H492" s="4" t="s">
        <v>115</v>
      </c>
      <c r="I492" s="4"/>
      <c r="J492" s="4"/>
      <c r="K492" s="4">
        <v>207</v>
      </c>
      <c r="L492" s="4">
        <v>21</v>
      </c>
      <c r="M492" s="4">
        <v>3</v>
      </c>
      <c r="N492" s="4" t="s">
        <v>3</v>
      </c>
      <c r="O492" s="4">
        <v>-1</v>
      </c>
      <c r="P492" s="4"/>
      <c r="Q492" s="4"/>
      <c r="R492" s="4"/>
      <c r="S492" s="4"/>
      <c r="T492" s="4"/>
      <c r="U492" s="4"/>
      <c r="V492" s="4"/>
      <c r="W492" s="4"/>
    </row>
    <row r="493" spans="1:23" x14ac:dyDescent="0.2">
      <c r="A493" s="4">
        <v>50</v>
      </c>
      <c r="B493" s="4">
        <v>0</v>
      </c>
      <c r="C493" s="4">
        <v>0</v>
      </c>
      <c r="D493" s="4">
        <v>1</v>
      </c>
      <c r="E493" s="4">
        <v>208</v>
      </c>
      <c r="F493" s="4">
        <f>Source!V470</f>
        <v>0</v>
      </c>
      <c r="G493" s="4" t="s">
        <v>116</v>
      </c>
      <c r="H493" s="4" t="s">
        <v>117</v>
      </c>
      <c r="I493" s="4"/>
      <c r="J493" s="4"/>
      <c r="K493" s="4">
        <v>208</v>
      </c>
      <c r="L493" s="4">
        <v>22</v>
      </c>
      <c r="M493" s="4">
        <v>3</v>
      </c>
      <c r="N493" s="4" t="s">
        <v>3</v>
      </c>
      <c r="O493" s="4">
        <v>-1</v>
      </c>
      <c r="P493" s="4"/>
      <c r="Q493" s="4"/>
      <c r="R493" s="4"/>
      <c r="S493" s="4"/>
      <c r="T493" s="4"/>
      <c r="U493" s="4"/>
      <c r="V493" s="4"/>
      <c r="W493" s="4"/>
    </row>
    <row r="494" spans="1:23" x14ac:dyDescent="0.2">
      <c r="A494" s="4">
        <v>50</v>
      </c>
      <c r="B494" s="4">
        <v>0</v>
      </c>
      <c r="C494" s="4">
        <v>0</v>
      </c>
      <c r="D494" s="4">
        <v>1</v>
      </c>
      <c r="E494" s="4">
        <v>209</v>
      </c>
      <c r="F494" s="4">
        <f>ROUND(Source!W470,O494)</f>
        <v>0</v>
      </c>
      <c r="G494" s="4" t="s">
        <v>118</v>
      </c>
      <c r="H494" s="4" t="s">
        <v>119</v>
      </c>
      <c r="I494" s="4"/>
      <c r="J494" s="4"/>
      <c r="K494" s="4">
        <v>209</v>
      </c>
      <c r="L494" s="4">
        <v>23</v>
      </c>
      <c r="M494" s="4">
        <v>3</v>
      </c>
      <c r="N494" s="4" t="s">
        <v>3</v>
      </c>
      <c r="O494" s="4">
        <v>2</v>
      </c>
      <c r="P494" s="4"/>
      <c r="Q494" s="4"/>
      <c r="R494" s="4"/>
      <c r="S494" s="4"/>
      <c r="T494" s="4"/>
      <c r="U494" s="4"/>
      <c r="V494" s="4"/>
      <c r="W494" s="4"/>
    </row>
    <row r="495" spans="1:23" x14ac:dyDescent="0.2">
      <c r="A495" s="4">
        <v>50</v>
      </c>
      <c r="B495" s="4">
        <v>0</v>
      </c>
      <c r="C495" s="4">
        <v>0</v>
      </c>
      <c r="D495" s="4">
        <v>1</v>
      </c>
      <c r="E495" s="4">
        <v>210</v>
      </c>
      <c r="F495" s="4">
        <f>ROUND(Source!X470,O495)</f>
        <v>1862104.57</v>
      </c>
      <c r="G495" s="4" t="s">
        <v>120</v>
      </c>
      <c r="H495" s="4" t="s">
        <v>121</v>
      </c>
      <c r="I495" s="4"/>
      <c r="J495" s="4"/>
      <c r="K495" s="4">
        <v>210</v>
      </c>
      <c r="L495" s="4">
        <v>24</v>
      </c>
      <c r="M495" s="4">
        <v>3</v>
      </c>
      <c r="N495" s="4" t="s">
        <v>3</v>
      </c>
      <c r="O495" s="4">
        <v>2</v>
      </c>
      <c r="P495" s="4"/>
      <c r="Q495" s="4"/>
      <c r="R495" s="4"/>
      <c r="S495" s="4"/>
      <c r="T495" s="4"/>
      <c r="U495" s="4"/>
      <c r="V495" s="4"/>
      <c r="W495" s="4"/>
    </row>
    <row r="496" spans="1:23" x14ac:dyDescent="0.2">
      <c r="A496" s="4">
        <v>50</v>
      </c>
      <c r="B496" s="4">
        <v>0</v>
      </c>
      <c r="C496" s="4">
        <v>0</v>
      </c>
      <c r="D496" s="4">
        <v>1</v>
      </c>
      <c r="E496" s="4">
        <v>211</v>
      </c>
      <c r="F496" s="4">
        <f>ROUND(Source!Y470,O496)</f>
        <v>1066406.1000000001</v>
      </c>
      <c r="G496" s="4" t="s">
        <v>122</v>
      </c>
      <c r="H496" s="4" t="s">
        <v>123</v>
      </c>
      <c r="I496" s="4"/>
      <c r="J496" s="4"/>
      <c r="K496" s="4">
        <v>211</v>
      </c>
      <c r="L496" s="4">
        <v>25</v>
      </c>
      <c r="M496" s="4">
        <v>3</v>
      </c>
      <c r="N496" s="4" t="s">
        <v>3</v>
      </c>
      <c r="O496" s="4">
        <v>2</v>
      </c>
      <c r="P496" s="4"/>
      <c r="Q496" s="4"/>
      <c r="R496" s="4"/>
      <c r="S496" s="4"/>
      <c r="T496" s="4"/>
      <c r="U496" s="4"/>
      <c r="V496" s="4"/>
      <c r="W496" s="4"/>
    </row>
    <row r="497" spans="1:27" x14ac:dyDescent="0.2">
      <c r="A497" s="4">
        <v>50</v>
      </c>
      <c r="B497" s="4">
        <v>0</v>
      </c>
      <c r="C497" s="4">
        <v>0</v>
      </c>
      <c r="D497" s="4">
        <v>1</v>
      </c>
      <c r="E497" s="4">
        <v>224</v>
      </c>
      <c r="F497" s="4">
        <f>ROUND(Source!AR470,O497)</f>
        <v>13455948.24</v>
      </c>
      <c r="G497" s="4" t="s">
        <v>124</v>
      </c>
      <c r="H497" s="4" t="s">
        <v>125</v>
      </c>
      <c r="I497" s="4"/>
      <c r="J497" s="4"/>
      <c r="K497" s="4">
        <v>224</v>
      </c>
      <c r="L497" s="4">
        <v>26</v>
      </c>
      <c r="M497" s="4">
        <v>3</v>
      </c>
      <c r="N497" s="4" t="s">
        <v>3</v>
      </c>
      <c r="O497" s="4">
        <v>2</v>
      </c>
      <c r="P497" s="4"/>
      <c r="Q497" s="4"/>
      <c r="R497" s="4"/>
      <c r="S497" s="4"/>
      <c r="T497" s="4"/>
      <c r="U497" s="4"/>
      <c r="V497" s="4"/>
      <c r="W497" s="4"/>
    </row>
    <row r="500" spans="1:27" x14ac:dyDescent="0.2">
      <c r="A500">
        <v>-1</v>
      </c>
    </row>
    <row r="502" spans="1:27" x14ac:dyDescent="0.2">
      <c r="A502" s="3">
        <v>75</v>
      </c>
      <c r="B502" s="3" t="s">
        <v>414</v>
      </c>
      <c r="C502" s="3">
        <v>2017</v>
      </c>
      <c r="D502" s="3">
        <v>0</v>
      </c>
      <c r="E502" s="3">
        <v>8</v>
      </c>
      <c r="F502" s="3">
        <v>1</v>
      </c>
      <c r="G502" s="3">
        <v>0</v>
      </c>
      <c r="H502" s="3">
        <v>2</v>
      </c>
      <c r="I502" s="3">
        <v>1</v>
      </c>
      <c r="J502" s="3">
        <v>1</v>
      </c>
      <c r="K502" s="3">
        <v>98</v>
      </c>
      <c r="L502" s="3">
        <v>69</v>
      </c>
      <c r="M502" s="3">
        <v>0</v>
      </c>
      <c r="N502" s="3">
        <v>42446460</v>
      </c>
      <c r="O502" s="3">
        <v>1</v>
      </c>
    </row>
    <row r="503" spans="1:27" x14ac:dyDescent="0.2">
      <c r="A503" s="5">
        <v>1</v>
      </c>
      <c r="B503" s="5" t="s">
        <v>415</v>
      </c>
      <c r="C503" s="5" t="s">
        <v>416</v>
      </c>
      <c r="D503" s="5">
        <v>2017</v>
      </c>
      <c r="E503" s="5">
        <v>8</v>
      </c>
      <c r="F503" s="5">
        <v>1</v>
      </c>
      <c r="G503" s="5">
        <v>1</v>
      </c>
      <c r="H503" s="5">
        <v>0</v>
      </c>
      <c r="I503" s="5">
        <v>2</v>
      </c>
      <c r="J503" s="5">
        <v>1</v>
      </c>
      <c r="K503" s="5">
        <v>1</v>
      </c>
      <c r="L503" s="5">
        <v>1</v>
      </c>
      <c r="M503" s="5">
        <v>1</v>
      </c>
      <c r="N503" s="5">
        <v>1</v>
      </c>
      <c r="O503" s="5">
        <v>1</v>
      </c>
      <c r="P503" s="5">
        <v>1</v>
      </c>
      <c r="Q503" s="5">
        <v>1</v>
      </c>
      <c r="R503" s="5" t="s">
        <v>3</v>
      </c>
      <c r="S503" s="5" t="s">
        <v>3</v>
      </c>
      <c r="T503" s="5" t="s">
        <v>3</v>
      </c>
      <c r="U503" s="5" t="s">
        <v>3</v>
      </c>
      <c r="V503" s="5" t="s">
        <v>3</v>
      </c>
      <c r="W503" s="5" t="s">
        <v>3</v>
      </c>
      <c r="X503" s="5" t="s">
        <v>3</v>
      </c>
      <c r="Y503" s="5" t="s">
        <v>3</v>
      </c>
      <c r="Z503" s="5" t="s">
        <v>3</v>
      </c>
      <c r="AA503" s="5" t="s">
        <v>3</v>
      </c>
    </row>
    <row r="507" spans="1:27" x14ac:dyDescent="0.2">
      <c r="A507">
        <v>65</v>
      </c>
      <c r="C507">
        <v>1</v>
      </c>
      <c r="D507">
        <v>0</v>
      </c>
      <c r="E507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51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417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0</v>
      </c>
      <c r="L1">
        <v>30290</v>
      </c>
      <c r="M1">
        <v>10</v>
      </c>
    </row>
    <row r="12" spans="1:133" x14ac:dyDescent="0.2">
      <c r="A12" s="1">
        <v>1</v>
      </c>
      <c r="B12" s="1">
        <v>50</v>
      </c>
      <c r="C12" s="1">
        <v>0</v>
      </c>
      <c r="D12" s="1"/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/>
      <c r="M12" s="1"/>
      <c r="N12" s="1"/>
      <c r="O12" s="1">
        <v>0</v>
      </c>
      <c r="P12" s="1">
        <v>0</v>
      </c>
      <c r="Q12" s="1">
        <v>0</v>
      </c>
      <c r="R12" s="1">
        <v>167</v>
      </c>
      <c r="S12" s="1"/>
      <c r="T12" s="1"/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/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1</v>
      </c>
      <c r="BU12" s="1">
        <v>0</v>
      </c>
      <c r="BV12" s="1">
        <v>1</v>
      </c>
      <c r="BW12" s="1">
        <v>0</v>
      </c>
      <c r="BX12" s="1">
        <v>0</v>
      </c>
      <c r="BY12" s="1" t="s">
        <v>3</v>
      </c>
      <c r="BZ12" s="1" t="s">
        <v>8</v>
      </c>
      <c r="CA12" s="1" t="s">
        <v>9</v>
      </c>
      <c r="CB12" s="1" t="s">
        <v>9</v>
      </c>
      <c r="CC12" s="1" t="s">
        <v>9</v>
      </c>
      <c r="CD12" s="1" t="s">
        <v>9</v>
      </c>
      <c r="CE12" s="1" t="s">
        <v>10</v>
      </c>
      <c r="CF12" s="1">
        <v>0</v>
      </c>
      <c r="CG12" s="1">
        <v>0</v>
      </c>
      <c r="CH12" s="1">
        <v>8200</v>
      </c>
      <c r="CI12" s="1" t="s">
        <v>3</v>
      </c>
      <c r="CJ12" s="1" t="s">
        <v>3</v>
      </c>
      <c r="CK12" s="1">
        <v>45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 x14ac:dyDescent="0.2">
      <c r="A14" s="1">
        <v>22</v>
      </c>
      <c r="B14" s="1">
        <v>0</v>
      </c>
      <c r="C14" s="1">
        <v>0</v>
      </c>
      <c r="D14" s="1">
        <v>42446460</v>
      </c>
      <c r="E14" s="1">
        <v>0</v>
      </c>
      <c r="F14" s="1">
        <v>3</v>
      </c>
      <c r="G14" s="1"/>
      <c r="H14" s="1"/>
      <c r="I14" s="1"/>
      <c r="J14" s="1"/>
      <c r="K14" s="1"/>
      <c r="L14" s="1"/>
      <c r="M14" s="1"/>
      <c r="N14" s="1"/>
      <c r="O14" s="1"/>
    </row>
    <row r="16" spans="1:133" x14ac:dyDescent="0.2">
      <c r="A16" s="6">
        <v>3</v>
      </c>
      <c r="B16" s="6">
        <v>1</v>
      </c>
      <c r="C16" s="6" t="s">
        <v>11</v>
      </c>
      <c r="D16" s="6" t="s">
        <v>12</v>
      </c>
      <c r="E16" s="7">
        <f>(Source!F458)/1000</f>
        <v>4438.8171500000008</v>
      </c>
      <c r="F16" s="7">
        <f>(Source!F459)/1000</f>
        <v>3987.9805099999999</v>
      </c>
      <c r="G16" s="7">
        <f>(Source!F450)/1000</f>
        <v>1219.96254</v>
      </c>
      <c r="H16" s="7">
        <f>(Source!F460)/1000+(Source!F461)/1000</f>
        <v>3809.18804</v>
      </c>
      <c r="I16" s="7">
        <f>E16+F16+G16+H16</f>
        <v>13455.948240000002</v>
      </c>
      <c r="J16" s="7">
        <f>(Source!F456)/1000</f>
        <v>2394.22127</v>
      </c>
      <c r="AI16" s="6">
        <v>0</v>
      </c>
      <c r="AJ16" s="6">
        <v>-1</v>
      </c>
      <c r="AK16" s="6" t="s">
        <v>3</v>
      </c>
      <c r="AL16" s="6" t="s">
        <v>3</v>
      </c>
      <c r="AM16" s="6" t="s">
        <v>3</v>
      </c>
      <c r="AN16" s="6">
        <v>0</v>
      </c>
      <c r="AO16" s="6" t="s">
        <v>3</v>
      </c>
      <c r="AP16" s="6" t="s">
        <v>3</v>
      </c>
      <c r="AT16" s="7">
        <v>9687633.9700000007</v>
      </c>
      <c r="AU16" s="7">
        <v>6112992.8200000003</v>
      </c>
      <c r="AV16" s="7">
        <v>0</v>
      </c>
      <c r="AW16" s="7">
        <v>1219962.54</v>
      </c>
      <c r="AX16" s="7">
        <v>0</v>
      </c>
      <c r="AY16" s="7">
        <v>1180419.8799999999</v>
      </c>
      <c r="AZ16" s="7">
        <v>502876.4</v>
      </c>
      <c r="BA16" s="7">
        <v>2394221.27</v>
      </c>
      <c r="BB16" s="7">
        <v>4438817.1500000004</v>
      </c>
      <c r="BC16" s="7">
        <v>3987980.51</v>
      </c>
      <c r="BD16" s="7">
        <v>3809188.04</v>
      </c>
      <c r="BE16" s="7">
        <v>0</v>
      </c>
      <c r="BF16" s="7">
        <v>8752.443617429999</v>
      </c>
      <c r="BG16" s="7">
        <v>0</v>
      </c>
      <c r="BH16" s="7">
        <v>0</v>
      </c>
      <c r="BI16" s="7">
        <v>1862104.57</v>
      </c>
      <c r="BJ16" s="7">
        <v>1066406.1000000001</v>
      </c>
      <c r="BK16" s="7">
        <v>13455948.24</v>
      </c>
    </row>
    <row r="18" spans="1:19" x14ac:dyDescent="0.2">
      <c r="A18">
        <v>51</v>
      </c>
      <c r="E18" s="8">
        <f>SUMIF(A16:A17,3,E16:E17)</f>
        <v>4438.8171500000008</v>
      </c>
      <c r="F18" s="8">
        <f>SUMIF(A16:A17,3,F16:F17)</f>
        <v>3987.9805099999999</v>
      </c>
      <c r="G18" s="8">
        <f>SUMIF(A16:A17,3,G16:G17)</f>
        <v>1219.96254</v>
      </c>
      <c r="H18" s="8">
        <f>SUMIF(A16:A17,3,H16:H17)</f>
        <v>3809.18804</v>
      </c>
      <c r="I18" s="8">
        <f>SUMIF(A16:A17,3,I16:I17)</f>
        <v>13455.948240000002</v>
      </c>
      <c r="J18" s="8">
        <f>SUMIF(A16:A17,3,J16:J17)</f>
        <v>2394.22127</v>
      </c>
      <c r="K18" s="8"/>
      <c r="L18" s="8"/>
      <c r="M18" s="8"/>
      <c r="N18" s="8"/>
      <c r="O18" s="8"/>
      <c r="P18" s="8"/>
      <c r="Q18" s="8"/>
      <c r="R18" s="8"/>
      <c r="S18" s="8"/>
    </row>
    <row r="20" spans="1:19" x14ac:dyDescent="0.2">
      <c r="A20" s="4">
        <v>50</v>
      </c>
      <c r="B20" s="4">
        <v>0</v>
      </c>
      <c r="C20" s="4">
        <v>0</v>
      </c>
      <c r="D20" s="4">
        <v>1</v>
      </c>
      <c r="E20" s="4">
        <v>201</v>
      </c>
      <c r="F20" s="4">
        <v>9687633.9700000007</v>
      </c>
      <c r="G20" s="4" t="s">
        <v>74</v>
      </c>
      <c r="H20" s="4" t="s">
        <v>75</v>
      </c>
      <c r="I20" s="4"/>
      <c r="J20" s="4"/>
      <c r="K20" s="4">
        <v>201</v>
      </c>
      <c r="L20" s="4">
        <v>1</v>
      </c>
      <c r="M20" s="4">
        <v>3</v>
      </c>
      <c r="N20" s="4" t="s">
        <v>3</v>
      </c>
      <c r="O20" s="4">
        <v>2</v>
      </c>
      <c r="P20" s="4"/>
    </row>
    <row r="21" spans="1:19" x14ac:dyDescent="0.2">
      <c r="A21" s="4">
        <v>50</v>
      </c>
      <c r="B21" s="4">
        <v>0</v>
      </c>
      <c r="C21" s="4">
        <v>0</v>
      </c>
      <c r="D21" s="4">
        <v>1</v>
      </c>
      <c r="E21" s="4">
        <v>202</v>
      </c>
      <c r="F21" s="4">
        <v>6112992.8200000003</v>
      </c>
      <c r="G21" s="4" t="s">
        <v>76</v>
      </c>
      <c r="H21" s="4" t="s">
        <v>77</v>
      </c>
      <c r="I21" s="4"/>
      <c r="J21" s="4"/>
      <c r="K21" s="4">
        <v>202</v>
      </c>
      <c r="L21" s="4">
        <v>2</v>
      </c>
      <c r="M21" s="4">
        <v>3</v>
      </c>
      <c r="N21" s="4" t="s">
        <v>3</v>
      </c>
      <c r="O21" s="4">
        <v>2</v>
      </c>
      <c r="P21" s="4"/>
    </row>
    <row r="22" spans="1:19" x14ac:dyDescent="0.2">
      <c r="A22" s="4">
        <v>50</v>
      </c>
      <c r="B22" s="4">
        <v>0</v>
      </c>
      <c r="C22" s="4">
        <v>0</v>
      </c>
      <c r="D22" s="4">
        <v>1</v>
      </c>
      <c r="E22" s="4">
        <v>222</v>
      </c>
      <c r="F22" s="4">
        <v>0</v>
      </c>
      <c r="G22" s="4" t="s">
        <v>78</v>
      </c>
      <c r="H22" s="4" t="s">
        <v>79</v>
      </c>
      <c r="I22" s="4"/>
      <c r="J22" s="4"/>
      <c r="K22" s="4">
        <v>222</v>
      </c>
      <c r="L22" s="4">
        <v>3</v>
      </c>
      <c r="M22" s="4">
        <v>3</v>
      </c>
      <c r="N22" s="4" t="s">
        <v>3</v>
      </c>
      <c r="O22" s="4">
        <v>2</v>
      </c>
      <c r="P22" s="4"/>
    </row>
    <row r="23" spans="1:19" x14ac:dyDescent="0.2">
      <c r="A23" s="4">
        <v>50</v>
      </c>
      <c r="B23" s="4">
        <v>0</v>
      </c>
      <c r="C23" s="4">
        <v>0</v>
      </c>
      <c r="D23" s="4">
        <v>1</v>
      </c>
      <c r="E23" s="4">
        <v>225</v>
      </c>
      <c r="F23" s="4">
        <v>6112992.8200000003</v>
      </c>
      <c r="G23" s="4" t="s">
        <v>80</v>
      </c>
      <c r="H23" s="4" t="s">
        <v>81</v>
      </c>
      <c r="I23" s="4"/>
      <c r="J23" s="4"/>
      <c r="K23" s="4">
        <v>225</v>
      </c>
      <c r="L23" s="4">
        <v>4</v>
      </c>
      <c r="M23" s="4">
        <v>3</v>
      </c>
      <c r="N23" s="4" t="s">
        <v>3</v>
      </c>
      <c r="O23" s="4">
        <v>2</v>
      </c>
      <c r="P23" s="4"/>
    </row>
    <row r="24" spans="1:19" x14ac:dyDescent="0.2">
      <c r="A24" s="4">
        <v>50</v>
      </c>
      <c r="B24" s="4">
        <v>0</v>
      </c>
      <c r="C24" s="4">
        <v>0</v>
      </c>
      <c r="D24" s="4">
        <v>1</v>
      </c>
      <c r="E24" s="4">
        <v>226</v>
      </c>
      <c r="F24" s="4">
        <v>4893030.28</v>
      </c>
      <c r="G24" s="4" t="s">
        <v>82</v>
      </c>
      <c r="H24" s="4" t="s">
        <v>83</v>
      </c>
      <c r="I24" s="4"/>
      <c r="J24" s="4"/>
      <c r="K24" s="4">
        <v>226</v>
      </c>
      <c r="L24" s="4">
        <v>5</v>
      </c>
      <c r="M24" s="4">
        <v>3</v>
      </c>
      <c r="N24" s="4" t="s">
        <v>3</v>
      </c>
      <c r="O24" s="4">
        <v>2</v>
      </c>
      <c r="P24" s="4"/>
    </row>
    <row r="25" spans="1:19" x14ac:dyDescent="0.2">
      <c r="A25" s="4">
        <v>50</v>
      </c>
      <c r="B25" s="4">
        <v>0</v>
      </c>
      <c r="C25" s="4">
        <v>0</v>
      </c>
      <c r="D25" s="4">
        <v>1</v>
      </c>
      <c r="E25" s="4">
        <v>227</v>
      </c>
      <c r="F25" s="4">
        <v>0</v>
      </c>
      <c r="G25" s="4" t="s">
        <v>84</v>
      </c>
      <c r="H25" s="4" t="s">
        <v>85</v>
      </c>
      <c r="I25" s="4"/>
      <c r="J25" s="4"/>
      <c r="K25" s="4">
        <v>227</v>
      </c>
      <c r="L25" s="4">
        <v>6</v>
      </c>
      <c r="M25" s="4">
        <v>3</v>
      </c>
      <c r="N25" s="4" t="s">
        <v>3</v>
      </c>
      <c r="O25" s="4">
        <v>2</v>
      </c>
      <c r="P25" s="4"/>
    </row>
    <row r="26" spans="1:19" x14ac:dyDescent="0.2">
      <c r="A26" s="4">
        <v>50</v>
      </c>
      <c r="B26" s="4">
        <v>0</v>
      </c>
      <c r="C26" s="4">
        <v>0</v>
      </c>
      <c r="D26" s="4">
        <v>1</v>
      </c>
      <c r="E26" s="4">
        <v>228</v>
      </c>
      <c r="F26" s="4">
        <v>4893030.28</v>
      </c>
      <c r="G26" s="4" t="s">
        <v>86</v>
      </c>
      <c r="H26" s="4" t="s">
        <v>87</v>
      </c>
      <c r="I26" s="4"/>
      <c r="J26" s="4"/>
      <c r="K26" s="4">
        <v>228</v>
      </c>
      <c r="L26" s="4">
        <v>7</v>
      </c>
      <c r="M26" s="4">
        <v>3</v>
      </c>
      <c r="N26" s="4" t="s">
        <v>3</v>
      </c>
      <c r="O26" s="4">
        <v>2</v>
      </c>
      <c r="P26" s="4"/>
    </row>
    <row r="27" spans="1:19" x14ac:dyDescent="0.2">
      <c r="A27" s="4">
        <v>50</v>
      </c>
      <c r="B27" s="4">
        <v>0</v>
      </c>
      <c r="C27" s="4">
        <v>0</v>
      </c>
      <c r="D27" s="4">
        <v>1</v>
      </c>
      <c r="E27" s="4">
        <v>216</v>
      </c>
      <c r="F27" s="4">
        <v>1219962.54</v>
      </c>
      <c r="G27" s="4" t="s">
        <v>88</v>
      </c>
      <c r="H27" s="4" t="s">
        <v>89</v>
      </c>
      <c r="I27" s="4"/>
      <c r="J27" s="4"/>
      <c r="K27" s="4">
        <v>216</v>
      </c>
      <c r="L27" s="4">
        <v>8</v>
      </c>
      <c r="M27" s="4">
        <v>3</v>
      </c>
      <c r="N27" s="4" t="s">
        <v>3</v>
      </c>
      <c r="O27" s="4">
        <v>2</v>
      </c>
      <c r="P27" s="4"/>
    </row>
    <row r="28" spans="1:19" x14ac:dyDescent="0.2">
      <c r="A28" s="4">
        <v>50</v>
      </c>
      <c r="B28" s="4">
        <v>0</v>
      </c>
      <c r="C28" s="4">
        <v>0</v>
      </c>
      <c r="D28" s="4">
        <v>1</v>
      </c>
      <c r="E28" s="4">
        <v>223</v>
      </c>
      <c r="F28" s="4">
        <v>0</v>
      </c>
      <c r="G28" s="4" t="s">
        <v>90</v>
      </c>
      <c r="H28" s="4" t="s">
        <v>91</v>
      </c>
      <c r="I28" s="4"/>
      <c r="J28" s="4"/>
      <c r="K28" s="4">
        <v>223</v>
      </c>
      <c r="L28" s="4">
        <v>9</v>
      </c>
      <c r="M28" s="4">
        <v>3</v>
      </c>
      <c r="N28" s="4" t="s">
        <v>3</v>
      </c>
      <c r="O28" s="4">
        <v>2</v>
      </c>
      <c r="P28" s="4"/>
    </row>
    <row r="29" spans="1:19" x14ac:dyDescent="0.2">
      <c r="A29" s="4">
        <v>50</v>
      </c>
      <c r="B29" s="4">
        <v>0</v>
      </c>
      <c r="C29" s="4">
        <v>0</v>
      </c>
      <c r="D29" s="4">
        <v>1</v>
      </c>
      <c r="E29" s="4">
        <v>229</v>
      </c>
      <c r="F29" s="4">
        <v>1219962.54</v>
      </c>
      <c r="G29" s="4" t="s">
        <v>92</v>
      </c>
      <c r="H29" s="4" t="s">
        <v>93</v>
      </c>
      <c r="I29" s="4"/>
      <c r="J29" s="4"/>
      <c r="K29" s="4">
        <v>229</v>
      </c>
      <c r="L29" s="4">
        <v>10</v>
      </c>
      <c r="M29" s="4">
        <v>3</v>
      </c>
      <c r="N29" s="4" t="s">
        <v>3</v>
      </c>
      <c r="O29" s="4">
        <v>2</v>
      </c>
      <c r="P29" s="4"/>
    </row>
    <row r="30" spans="1:19" x14ac:dyDescent="0.2">
      <c r="A30" s="4">
        <v>50</v>
      </c>
      <c r="B30" s="4">
        <v>0</v>
      </c>
      <c r="C30" s="4">
        <v>0</v>
      </c>
      <c r="D30" s="4">
        <v>1</v>
      </c>
      <c r="E30" s="4">
        <v>203</v>
      </c>
      <c r="F30" s="4">
        <v>1180419.8799999999</v>
      </c>
      <c r="G30" s="4" t="s">
        <v>94</v>
      </c>
      <c r="H30" s="4" t="s">
        <v>95</v>
      </c>
      <c r="I30" s="4"/>
      <c r="J30" s="4"/>
      <c r="K30" s="4">
        <v>203</v>
      </c>
      <c r="L30" s="4">
        <v>11</v>
      </c>
      <c r="M30" s="4">
        <v>3</v>
      </c>
      <c r="N30" s="4" t="s">
        <v>3</v>
      </c>
      <c r="O30" s="4">
        <v>2</v>
      </c>
      <c r="P30" s="4"/>
    </row>
    <row r="31" spans="1:19" x14ac:dyDescent="0.2">
      <c r="A31" s="4">
        <v>50</v>
      </c>
      <c r="B31" s="4">
        <v>0</v>
      </c>
      <c r="C31" s="4">
        <v>0</v>
      </c>
      <c r="D31" s="4">
        <v>1</v>
      </c>
      <c r="E31" s="4">
        <v>231</v>
      </c>
      <c r="F31" s="4">
        <v>0</v>
      </c>
      <c r="G31" s="4" t="s">
        <v>96</v>
      </c>
      <c r="H31" s="4" t="s">
        <v>97</v>
      </c>
      <c r="I31" s="4"/>
      <c r="J31" s="4"/>
      <c r="K31" s="4">
        <v>231</v>
      </c>
      <c r="L31" s="4">
        <v>12</v>
      </c>
      <c r="M31" s="4">
        <v>3</v>
      </c>
      <c r="N31" s="4" t="s">
        <v>3</v>
      </c>
      <c r="O31" s="4">
        <v>2</v>
      </c>
      <c r="P31" s="4"/>
    </row>
    <row r="32" spans="1:19" x14ac:dyDescent="0.2">
      <c r="A32" s="4">
        <v>50</v>
      </c>
      <c r="B32" s="4">
        <v>0</v>
      </c>
      <c r="C32" s="4">
        <v>0</v>
      </c>
      <c r="D32" s="4">
        <v>1</v>
      </c>
      <c r="E32" s="4">
        <v>204</v>
      </c>
      <c r="F32" s="4">
        <v>502876.4</v>
      </c>
      <c r="G32" s="4" t="s">
        <v>98</v>
      </c>
      <c r="H32" s="4" t="s">
        <v>99</v>
      </c>
      <c r="I32" s="4"/>
      <c r="J32" s="4"/>
      <c r="K32" s="4">
        <v>204</v>
      </c>
      <c r="L32" s="4">
        <v>13</v>
      </c>
      <c r="M32" s="4">
        <v>3</v>
      </c>
      <c r="N32" s="4" t="s">
        <v>3</v>
      </c>
      <c r="O32" s="4">
        <v>2</v>
      </c>
      <c r="P32" s="4"/>
    </row>
    <row r="33" spans="1:16" x14ac:dyDescent="0.2">
      <c r="A33" s="4">
        <v>50</v>
      </c>
      <c r="B33" s="4">
        <v>0</v>
      </c>
      <c r="C33" s="4">
        <v>0</v>
      </c>
      <c r="D33" s="4">
        <v>1</v>
      </c>
      <c r="E33" s="4">
        <v>205</v>
      </c>
      <c r="F33" s="4">
        <v>2394221.27</v>
      </c>
      <c r="G33" s="4" t="s">
        <v>100</v>
      </c>
      <c r="H33" s="4" t="s">
        <v>101</v>
      </c>
      <c r="I33" s="4"/>
      <c r="J33" s="4"/>
      <c r="K33" s="4">
        <v>205</v>
      </c>
      <c r="L33" s="4">
        <v>14</v>
      </c>
      <c r="M33" s="4">
        <v>3</v>
      </c>
      <c r="N33" s="4" t="s">
        <v>3</v>
      </c>
      <c r="O33" s="4">
        <v>2</v>
      </c>
      <c r="P33" s="4"/>
    </row>
    <row r="34" spans="1:16" x14ac:dyDescent="0.2">
      <c r="A34" s="4">
        <v>50</v>
      </c>
      <c r="B34" s="4">
        <v>0</v>
      </c>
      <c r="C34" s="4">
        <v>0</v>
      </c>
      <c r="D34" s="4">
        <v>1</v>
      </c>
      <c r="E34" s="4">
        <v>232</v>
      </c>
      <c r="F34" s="4">
        <v>0</v>
      </c>
      <c r="G34" s="4" t="s">
        <v>102</v>
      </c>
      <c r="H34" s="4" t="s">
        <v>103</v>
      </c>
      <c r="I34" s="4"/>
      <c r="J34" s="4"/>
      <c r="K34" s="4">
        <v>232</v>
      </c>
      <c r="L34" s="4">
        <v>15</v>
      </c>
      <c r="M34" s="4">
        <v>3</v>
      </c>
      <c r="N34" s="4" t="s">
        <v>3</v>
      </c>
      <c r="O34" s="4">
        <v>2</v>
      </c>
      <c r="P34" s="4"/>
    </row>
    <row r="35" spans="1:16" x14ac:dyDescent="0.2">
      <c r="A35" s="4">
        <v>50</v>
      </c>
      <c r="B35" s="4">
        <v>0</v>
      </c>
      <c r="C35" s="4">
        <v>0</v>
      </c>
      <c r="D35" s="4">
        <v>1</v>
      </c>
      <c r="E35" s="4">
        <v>214</v>
      </c>
      <c r="F35" s="4">
        <v>4438817.1500000004</v>
      </c>
      <c r="G35" s="4" t="s">
        <v>104</v>
      </c>
      <c r="H35" s="4" t="s">
        <v>105</v>
      </c>
      <c r="I35" s="4"/>
      <c r="J35" s="4"/>
      <c r="K35" s="4">
        <v>214</v>
      </c>
      <c r="L35" s="4">
        <v>16</v>
      </c>
      <c r="M35" s="4">
        <v>3</v>
      </c>
      <c r="N35" s="4" t="s">
        <v>3</v>
      </c>
      <c r="O35" s="4">
        <v>2</v>
      </c>
      <c r="P35" s="4"/>
    </row>
    <row r="36" spans="1:16" x14ac:dyDescent="0.2">
      <c r="A36" s="4">
        <v>50</v>
      </c>
      <c r="B36" s="4">
        <v>0</v>
      </c>
      <c r="C36" s="4">
        <v>0</v>
      </c>
      <c r="D36" s="4">
        <v>1</v>
      </c>
      <c r="E36" s="4">
        <v>215</v>
      </c>
      <c r="F36" s="4">
        <v>3987980.51</v>
      </c>
      <c r="G36" s="4" t="s">
        <v>106</v>
      </c>
      <c r="H36" s="4" t="s">
        <v>107</v>
      </c>
      <c r="I36" s="4"/>
      <c r="J36" s="4"/>
      <c r="K36" s="4">
        <v>215</v>
      </c>
      <c r="L36" s="4">
        <v>17</v>
      </c>
      <c r="M36" s="4">
        <v>3</v>
      </c>
      <c r="N36" s="4" t="s">
        <v>3</v>
      </c>
      <c r="O36" s="4">
        <v>2</v>
      </c>
      <c r="P36" s="4"/>
    </row>
    <row r="37" spans="1:16" x14ac:dyDescent="0.2">
      <c r="A37" s="4">
        <v>50</v>
      </c>
      <c r="B37" s="4">
        <v>0</v>
      </c>
      <c r="C37" s="4">
        <v>0</v>
      </c>
      <c r="D37" s="4">
        <v>1</v>
      </c>
      <c r="E37" s="4">
        <v>217</v>
      </c>
      <c r="F37" s="4">
        <v>3809188.04</v>
      </c>
      <c r="G37" s="4" t="s">
        <v>108</v>
      </c>
      <c r="H37" s="4" t="s">
        <v>109</v>
      </c>
      <c r="I37" s="4"/>
      <c r="J37" s="4"/>
      <c r="K37" s="4">
        <v>217</v>
      </c>
      <c r="L37" s="4">
        <v>18</v>
      </c>
      <c r="M37" s="4">
        <v>3</v>
      </c>
      <c r="N37" s="4" t="s">
        <v>3</v>
      </c>
      <c r="O37" s="4">
        <v>2</v>
      </c>
      <c r="P37" s="4"/>
    </row>
    <row r="38" spans="1:16" x14ac:dyDescent="0.2">
      <c r="A38" s="4">
        <v>50</v>
      </c>
      <c r="B38" s="4">
        <v>0</v>
      </c>
      <c r="C38" s="4">
        <v>0</v>
      </c>
      <c r="D38" s="4">
        <v>1</v>
      </c>
      <c r="E38" s="4">
        <v>230</v>
      </c>
      <c r="F38" s="4">
        <v>0</v>
      </c>
      <c r="G38" s="4" t="s">
        <v>110</v>
      </c>
      <c r="H38" s="4" t="s">
        <v>111</v>
      </c>
      <c r="I38" s="4"/>
      <c r="J38" s="4"/>
      <c r="K38" s="4">
        <v>230</v>
      </c>
      <c r="L38" s="4">
        <v>19</v>
      </c>
      <c r="M38" s="4">
        <v>3</v>
      </c>
      <c r="N38" s="4" t="s">
        <v>3</v>
      </c>
      <c r="O38" s="4">
        <v>2</v>
      </c>
      <c r="P38" s="4"/>
    </row>
    <row r="39" spans="1:16" x14ac:dyDescent="0.2">
      <c r="A39" s="4">
        <v>50</v>
      </c>
      <c r="B39" s="4">
        <v>0</v>
      </c>
      <c r="C39" s="4">
        <v>0</v>
      </c>
      <c r="D39" s="4">
        <v>1</v>
      </c>
      <c r="E39" s="4">
        <v>206</v>
      </c>
      <c r="F39" s="4">
        <v>0</v>
      </c>
      <c r="G39" s="4" t="s">
        <v>112</v>
      </c>
      <c r="H39" s="4" t="s">
        <v>113</v>
      </c>
      <c r="I39" s="4"/>
      <c r="J39" s="4"/>
      <c r="K39" s="4">
        <v>206</v>
      </c>
      <c r="L39" s="4">
        <v>20</v>
      </c>
      <c r="M39" s="4">
        <v>3</v>
      </c>
      <c r="N39" s="4" t="s">
        <v>3</v>
      </c>
      <c r="O39" s="4">
        <v>2</v>
      </c>
      <c r="P39" s="4"/>
    </row>
    <row r="40" spans="1:16" x14ac:dyDescent="0.2">
      <c r="A40" s="4">
        <v>50</v>
      </c>
      <c r="B40" s="4">
        <v>0</v>
      </c>
      <c r="C40" s="4">
        <v>0</v>
      </c>
      <c r="D40" s="4">
        <v>1</v>
      </c>
      <c r="E40" s="4">
        <v>207</v>
      </c>
      <c r="F40" s="4">
        <v>8752.443617429999</v>
      </c>
      <c r="G40" s="4" t="s">
        <v>114</v>
      </c>
      <c r="H40" s="4" t="s">
        <v>115</v>
      </c>
      <c r="I40" s="4"/>
      <c r="J40" s="4"/>
      <c r="K40" s="4">
        <v>207</v>
      </c>
      <c r="L40" s="4">
        <v>21</v>
      </c>
      <c r="M40" s="4">
        <v>3</v>
      </c>
      <c r="N40" s="4" t="s">
        <v>3</v>
      </c>
      <c r="O40" s="4">
        <v>-1</v>
      </c>
      <c r="P40" s="4"/>
    </row>
    <row r="41" spans="1:16" x14ac:dyDescent="0.2">
      <c r="A41" s="4">
        <v>50</v>
      </c>
      <c r="B41" s="4">
        <v>0</v>
      </c>
      <c r="C41" s="4">
        <v>0</v>
      </c>
      <c r="D41" s="4">
        <v>1</v>
      </c>
      <c r="E41" s="4">
        <v>208</v>
      </c>
      <c r="F41" s="4">
        <v>0</v>
      </c>
      <c r="G41" s="4" t="s">
        <v>116</v>
      </c>
      <c r="H41" s="4" t="s">
        <v>117</v>
      </c>
      <c r="I41" s="4"/>
      <c r="J41" s="4"/>
      <c r="K41" s="4">
        <v>208</v>
      </c>
      <c r="L41" s="4">
        <v>22</v>
      </c>
      <c r="M41" s="4">
        <v>3</v>
      </c>
      <c r="N41" s="4" t="s">
        <v>3</v>
      </c>
      <c r="O41" s="4">
        <v>-1</v>
      </c>
      <c r="P41" s="4"/>
    </row>
    <row r="42" spans="1:16" x14ac:dyDescent="0.2">
      <c r="A42" s="4">
        <v>50</v>
      </c>
      <c r="B42" s="4">
        <v>0</v>
      </c>
      <c r="C42" s="4">
        <v>0</v>
      </c>
      <c r="D42" s="4">
        <v>1</v>
      </c>
      <c r="E42" s="4">
        <v>209</v>
      </c>
      <c r="F42" s="4">
        <v>0</v>
      </c>
      <c r="G42" s="4" t="s">
        <v>118</v>
      </c>
      <c r="H42" s="4" t="s">
        <v>119</v>
      </c>
      <c r="I42" s="4"/>
      <c r="J42" s="4"/>
      <c r="K42" s="4">
        <v>209</v>
      </c>
      <c r="L42" s="4">
        <v>23</v>
      </c>
      <c r="M42" s="4">
        <v>3</v>
      </c>
      <c r="N42" s="4" t="s">
        <v>3</v>
      </c>
      <c r="O42" s="4">
        <v>2</v>
      </c>
      <c r="P42" s="4"/>
    </row>
    <row r="43" spans="1:16" x14ac:dyDescent="0.2">
      <c r="A43" s="4">
        <v>50</v>
      </c>
      <c r="B43" s="4">
        <v>0</v>
      </c>
      <c r="C43" s="4">
        <v>0</v>
      </c>
      <c r="D43" s="4">
        <v>1</v>
      </c>
      <c r="E43" s="4">
        <v>210</v>
      </c>
      <c r="F43" s="4">
        <v>1862104.57</v>
      </c>
      <c r="G43" s="4" t="s">
        <v>120</v>
      </c>
      <c r="H43" s="4" t="s">
        <v>121</v>
      </c>
      <c r="I43" s="4"/>
      <c r="J43" s="4"/>
      <c r="K43" s="4">
        <v>210</v>
      </c>
      <c r="L43" s="4">
        <v>24</v>
      </c>
      <c r="M43" s="4">
        <v>3</v>
      </c>
      <c r="N43" s="4" t="s">
        <v>3</v>
      </c>
      <c r="O43" s="4">
        <v>2</v>
      </c>
      <c r="P43" s="4"/>
    </row>
    <row r="44" spans="1:16" x14ac:dyDescent="0.2">
      <c r="A44" s="4">
        <v>50</v>
      </c>
      <c r="B44" s="4">
        <v>0</v>
      </c>
      <c r="C44" s="4">
        <v>0</v>
      </c>
      <c r="D44" s="4">
        <v>1</v>
      </c>
      <c r="E44" s="4">
        <v>211</v>
      </c>
      <c r="F44" s="4">
        <v>1066406.1000000001</v>
      </c>
      <c r="G44" s="4" t="s">
        <v>122</v>
      </c>
      <c r="H44" s="4" t="s">
        <v>123</v>
      </c>
      <c r="I44" s="4"/>
      <c r="J44" s="4"/>
      <c r="K44" s="4">
        <v>211</v>
      </c>
      <c r="L44" s="4">
        <v>25</v>
      </c>
      <c r="M44" s="4">
        <v>3</v>
      </c>
      <c r="N44" s="4" t="s">
        <v>3</v>
      </c>
      <c r="O44" s="4">
        <v>2</v>
      </c>
      <c r="P44" s="4"/>
    </row>
    <row r="45" spans="1:16" x14ac:dyDescent="0.2">
      <c r="A45" s="4">
        <v>50</v>
      </c>
      <c r="B45" s="4">
        <v>0</v>
      </c>
      <c r="C45" s="4">
        <v>0</v>
      </c>
      <c r="D45" s="4">
        <v>1</v>
      </c>
      <c r="E45" s="4">
        <v>224</v>
      </c>
      <c r="F45" s="4">
        <v>13455948.24</v>
      </c>
      <c r="G45" s="4" t="s">
        <v>124</v>
      </c>
      <c r="H45" s="4" t="s">
        <v>125</v>
      </c>
      <c r="I45" s="4"/>
      <c r="J45" s="4"/>
      <c r="K45" s="4">
        <v>224</v>
      </c>
      <c r="L45" s="4">
        <v>26</v>
      </c>
      <c r="M45" s="4">
        <v>3</v>
      </c>
      <c r="N45" s="4" t="s">
        <v>3</v>
      </c>
      <c r="O45" s="4">
        <v>2</v>
      </c>
      <c r="P45" s="4"/>
    </row>
    <row r="47" spans="1:16" x14ac:dyDescent="0.2">
      <c r="A47">
        <v>-1</v>
      </c>
    </row>
    <row r="50" spans="1:27" x14ac:dyDescent="0.2">
      <c r="A50" s="3">
        <v>75</v>
      </c>
      <c r="B50" s="3" t="s">
        <v>414</v>
      </c>
      <c r="C50" s="3">
        <v>2017</v>
      </c>
      <c r="D50" s="3">
        <v>0</v>
      </c>
      <c r="E50" s="3">
        <v>8</v>
      </c>
      <c r="F50" s="3">
        <v>1</v>
      </c>
      <c r="G50" s="3">
        <v>0</v>
      </c>
      <c r="H50" s="3">
        <v>2</v>
      </c>
      <c r="I50" s="3">
        <v>1</v>
      </c>
      <c r="J50" s="3">
        <v>1</v>
      </c>
      <c r="K50" s="3">
        <v>98</v>
      </c>
      <c r="L50" s="3">
        <v>69</v>
      </c>
      <c r="M50" s="3">
        <v>0</v>
      </c>
      <c r="N50" s="3">
        <v>42446460</v>
      </c>
      <c r="O50" s="3">
        <v>1</v>
      </c>
    </row>
    <row r="51" spans="1:27" x14ac:dyDescent="0.2">
      <c r="A51" s="5">
        <v>1</v>
      </c>
      <c r="B51" s="5" t="s">
        <v>415</v>
      </c>
      <c r="C51" s="5" t="s">
        <v>416</v>
      </c>
      <c r="D51" s="5">
        <v>2017</v>
      </c>
      <c r="E51" s="5">
        <v>8</v>
      </c>
      <c r="F51" s="5">
        <v>1</v>
      </c>
      <c r="G51" s="5">
        <v>1</v>
      </c>
      <c r="H51" s="5">
        <v>0</v>
      </c>
      <c r="I51" s="5">
        <v>2</v>
      </c>
      <c r="J51" s="5">
        <v>1</v>
      </c>
      <c r="K51" s="5">
        <v>1</v>
      </c>
      <c r="L51" s="5">
        <v>1</v>
      </c>
      <c r="M51" s="5">
        <v>1</v>
      </c>
      <c r="N51" s="5">
        <v>1</v>
      </c>
      <c r="O51" s="5">
        <v>1</v>
      </c>
      <c r="P51" s="5">
        <v>1</v>
      </c>
      <c r="Q51" s="5">
        <v>1</v>
      </c>
      <c r="R51" s="5" t="s">
        <v>3</v>
      </c>
      <c r="S51" s="5" t="s">
        <v>3</v>
      </c>
      <c r="T51" s="5" t="s">
        <v>3</v>
      </c>
      <c r="U51" s="5" t="s">
        <v>3</v>
      </c>
      <c r="V51" s="5" t="s">
        <v>3</v>
      </c>
      <c r="W51" s="5" t="s">
        <v>3</v>
      </c>
      <c r="X51" s="5" t="s">
        <v>3</v>
      </c>
      <c r="Y51" s="5" t="s">
        <v>3</v>
      </c>
      <c r="Z51" s="5" t="s">
        <v>3</v>
      </c>
      <c r="AA51" s="5" t="s">
        <v>3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77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06" x14ac:dyDescent="0.2">
      <c r="A1">
        <f>ROW(Source!A32)</f>
        <v>32</v>
      </c>
      <c r="B1">
        <v>42446460</v>
      </c>
      <c r="C1">
        <v>42447078</v>
      </c>
      <c r="D1">
        <v>30515951</v>
      </c>
      <c r="E1">
        <v>30515945</v>
      </c>
      <c r="F1">
        <v>1</v>
      </c>
      <c r="G1">
        <v>30515945</v>
      </c>
      <c r="H1">
        <v>1</v>
      </c>
      <c r="I1" t="s">
        <v>418</v>
      </c>
      <c r="J1" t="s">
        <v>3</v>
      </c>
      <c r="K1" t="s">
        <v>419</v>
      </c>
      <c r="L1">
        <v>1191</v>
      </c>
      <c r="N1">
        <v>1013</v>
      </c>
      <c r="O1" t="s">
        <v>420</v>
      </c>
      <c r="P1" t="s">
        <v>420</v>
      </c>
      <c r="Q1">
        <v>1</v>
      </c>
      <c r="W1">
        <v>0</v>
      </c>
      <c r="X1">
        <v>476480486</v>
      </c>
      <c r="Y1">
        <v>1.19</v>
      </c>
      <c r="AA1">
        <v>0</v>
      </c>
      <c r="AB1">
        <v>0</v>
      </c>
      <c r="AC1">
        <v>0</v>
      </c>
      <c r="AD1">
        <v>0</v>
      </c>
      <c r="AE1">
        <v>0</v>
      </c>
      <c r="AF1">
        <v>0</v>
      </c>
      <c r="AG1">
        <v>0</v>
      </c>
      <c r="AH1">
        <v>0</v>
      </c>
      <c r="AI1">
        <v>1</v>
      </c>
      <c r="AJ1">
        <v>1</v>
      </c>
      <c r="AK1">
        <v>1</v>
      </c>
      <c r="AL1">
        <v>1</v>
      </c>
      <c r="AN1">
        <v>0</v>
      </c>
      <c r="AO1">
        <v>1</v>
      </c>
      <c r="AP1">
        <v>0</v>
      </c>
      <c r="AQ1">
        <v>0</v>
      </c>
      <c r="AR1">
        <v>0</v>
      </c>
      <c r="AS1" t="s">
        <v>3</v>
      </c>
      <c r="AT1">
        <v>1.19</v>
      </c>
      <c r="AU1" t="s">
        <v>3</v>
      </c>
      <c r="AV1">
        <v>1</v>
      </c>
      <c r="AW1">
        <v>2</v>
      </c>
      <c r="AX1">
        <v>42447081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X1">
        <f>Y1*Source!I32</f>
        <v>9.7275360000000006</v>
      </c>
      <c r="CY1">
        <f>AD1</f>
        <v>0</v>
      </c>
      <c r="CZ1">
        <f>AH1</f>
        <v>0</v>
      </c>
      <c r="DA1">
        <f>AL1</f>
        <v>1</v>
      </c>
      <c r="DB1">
        <v>0</v>
      </c>
    </row>
    <row r="2" spans="1:106" x14ac:dyDescent="0.2">
      <c r="A2">
        <f>ROW(Source!A32)</f>
        <v>32</v>
      </c>
      <c r="B2">
        <v>42446460</v>
      </c>
      <c r="C2">
        <v>42447078</v>
      </c>
      <c r="D2">
        <v>30595241</v>
      </c>
      <c r="E2">
        <v>1</v>
      </c>
      <c r="F2">
        <v>1</v>
      </c>
      <c r="G2">
        <v>30515945</v>
      </c>
      <c r="H2">
        <v>2</v>
      </c>
      <c r="I2" t="s">
        <v>421</v>
      </c>
      <c r="J2" t="s">
        <v>422</v>
      </c>
      <c r="K2" t="s">
        <v>423</v>
      </c>
      <c r="L2">
        <v>1367</v>
      </c>
      <c r="N2">
        <v>1011</v>
      </c>
      <c r="O2" t="s">
        <v>409</v>
      </c>
      <c r="P2" t="s">
        <v>409</v>
      </c>
      <c r="Q2">
        <v>1</v>
      </c>
      <c r="W2">
        <v>0</v>
      </c>
      <c r="X2">
        <v>851387592</v>
      </c>
      <c r="Y2">
        <v>6.3194999999999997</v>
      </c>
      <c r="AA2">
        <v>0</v>
      </c>
      <c r="AB2">
        <v>539.04999999999995</v>
      </c>
      <c r="AC2">
        <v>362.92</v>
      </c>
      <c r="AD2">
        <v>0</v>
      </c>
      <c r="AE2">
        <v>0</v>
      </c>
      <c r="AF2">
        <v>65.260000000000005</v>
      </c>
      <c r="AG2">
        <v>20.04</v>
      </c>
      <c r="AH2">
        <v>0</v>
      </c>
      <c r="AI2">
        <v>1</v>
      </c>
      <c r="AJ2">
        <v>8.26</v>
      </c>
      <c r="AK2">
        <v>18.11</v>
      </c>
      <c r="AL2">
        <v>1</v>
      </c>
      <c r="AN2">
        <v>0</v>
      </c>
      <c r="AO2">
        <v>1</v>
      </c>
      <c r="AP2">
        <v>0</v>
      </c>
      <c r="AQ2">
        <v>0</v>
      </c>
      <c r="AR2">
        <v>0</v>
      </c>
      <c r="AS2" t="s">
        <v>3</v>
      </c>
      <c r="AT2">
        <v>6.3194999999999997</v>
      </c>
      <c r="AU2" t="s">
        <v>3</v>
      </c>
      <c r="AV2">
        <v>0</v>
      </c>
      <c r="AW2">
        <v>2</v>
      </c>
      <c r="AX2">
        <v>42447082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X2">
        <f>Y2*Source!I32</f>
        <v>51.658120799999999</v>
      </c>
      <c r="CY2">
        <f>AB2</f>
        <v>539.04999999999995</v>
      </c>
      <c r="CZ2">
        <f>AF2</f>
        <v>65.260000000000005</v>
      </c>
      <c r="DA2">
        <f>AJ2</f>
        <v>8.26</v>
      </c>
      <c r="DB2">
        <v>0</v>
      </c>
    </row>
    <row r="3" spans="1:106" x14ac:dyDescent="0.2">
      <c r="A3">
        <f>ROW(Source!A33)</f>
        <v>33</v>
      </c>
      <c r="B3">
        <v>42446460</v>
      </c>
      <c r="C3">
        <v>42582570</v>
      </c>
      <c r="D3">
        <v>30515951</v>
      </c>
      <c r="E3">
        <v>30515945</v>
      </c>
      <c r="F3">
        <v>1</v>
      </c>
      <c r="G3">
        <v>30515945</v>
      </c>
      <c r="H3">
        <v>1</v>
      </c>
      <c r="I3" t="s">
        <v>418</v>
      </c>
      <c r="J3" t="s">
        <v>3</v>
      </c>
      <c r="K3" t="s">
        <v>419</v>
      </c>
      <c r="L3">
        <v>1191</v>
      </c>
      <c r="N3">
        <v>1013</v>
      </c>
      <c r="O3" t="s">
        <v>420</v>
      </c>
      <c r="P3" t="s">
        <v>420</v>
      </c>
      <c r="Q3">
        <v>1</v>
      </c>
      <c r="W3">
        <v>0</v>
      </c>
      <c r="X3">
        <v>476480486</v>
      </c>
      <c r="Y3">
        <v>2.95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1</v>
      </c>
      <c r="AJ3">
        <v>1</v>
      </c>
      <c r="AK3">
        <v>1</v>
      </c>
      <c r="AL3">
        <v>1</v>
      </c>
      <c r="AN3">
        <v>0</v>
      </c>
      <c r="AO3">
        <v>1</v>
      </c>
      <c r="AP3">
        <v>0</v>
      </c>
      <c r="AQ3">
        <v>0</v>
      </c>
      <c r="AR3">
        <v>0</v>
      </c>
      <c r="AS3" t="s">
        <v>3</v>
      </c>
      <c r="AT3">
        <v>2.95</v>
      </c>
      <c r="AU3" t="s">
        <v>3</v>
      </c>
      <c r="AV3">
        <v>1</v>
      </c>
      <c r="AW3">
        <v>2</v>
      </c>
      <c r="AX3">
        <v>42582571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X3">
        <f>Y3*Source!I33</f>
        <v>11.505000000000001</v>
      </c>
      <c r="CY3">
        <f>AD3</f>
        <v>0</v>
      </c>
      <c r="CZ3">
        <f>AH3</f>
        <v>0</v>
      </c>
      <c r="DA3">
        <f>AL3</f>
        <v>1</v>
      </c>
      <c r="DB3">
        <v>0</v>
      </c>
    </row>
    <row r="4" spans="1:106" x14ac:dyDescent="0.2">
      <c r="A4">
        <f>ROW(Source!A33)</f>
        <v>33</v>
      </c>
      <c r="B4">
        <v>42446460</v>
      </c>
      <c r="C4">
        <v>42582570</v>
      </c>
      <c r="D4">
        <v>30595241</v>
      </c>
      <c r="E4">
        <v>1</v>
      </c>
      <c r="F4">
        <v>1</v>
      </c>
      <c r="G4">
        <v>30515945</v>
      </c>
      <c r="H4">
        <v>2</v>
      </c>
      <c r="I4" t="s">
        <v>421</v>
      </c>
      <c r="J4" t="s">
        <v>422</v>
      </c>
      <c r="K4" t="s">
        <v>423</v>
      </c>
      <c r="L4">
        <v>1367</v>
      </c>
      <c r="N4">
        <v>1011</v>
      </c>
      <c r="O4" t="s">
        <v>409</v>
      </c>
      <c r="P4" t="s">
        <v>409</v>
      </c>
      <c r="Q4">
        <v>1</v>
      </c>
      <c r="W4">
        <v>0</v>
      </c>
      <c r="X4">
        <v>851387592</v>
      </c>
      <c r="Y4">
        <v>7.4139999999999997</v>
      </c>
      <c r="AA4">
        <v>0</v>
      </c>
      <c r="AB4">
        <v>642.54</v>
      </c>
      <c r="AC4">
        <v>432.61</v>
      </c>
      <c r="AD4">
        <v>0</v>
      </c>
      <c r="AE4">
        <v>0</v>
      </c>
      <c r="AF4">
        <v>65.260000000000005</v>
      </c>
      <c r="AG4">
        <v>20.04</v>
      </c>
      <c r="AH4">
        <v>0</v>
      </c>
      <c r="AI4">
        <v>1</v>
      </c>
      <c r="AJ4">
        <v>8.26</v>
      </c>
      <c r="AK4">
        <v>18.11</v>
      </c>
      <c r="AL4">
        <v>1</v>
      </c>
      <c r="AN4">
        <v>0</v>
      </c>
      <c r="AO4">
        <v>1</v>
      </c>
      <c r="AP4">
        <v>0</v>
      </c>
      <c r="AQ4">
        <v>0</v>
      </c>
      <c r="AR4">
        <v>0</v>
      </c>
      <c r="AS4" t="s">
        <v>3</v>
      </c>
      <c r="AT4">
        <v>7.4139999999999997</v>
      </c>
      <c r="AU4" t="s">
        <v>3</v>
      </c>
      <c r="AV4">
        <v>0</v>
      </c>
      <c r="AW4">
        <v>2</v>
      </c>
      <c r="AX4">
        <v>42582572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X4">
        <f>Y4*Source!I33</f>
        <v>28.914599999999997</v>
      </c>
      <c r="CY4">
        <f>AB4</f>
        <v>642.54</v>
      </c>
      <c r="CZ4">
        <f>AF4</f>
        <v>65.260000000000005</v>
      </c>
      <c r="DA4">
        <f>AJ4</f>
        <v>8.26</v>
      </c>
      <c r="DB4">
        <v>0</v>
      </c>
    </row>
    <row r="5" spans="1:106" x14ac:dyDescent="0.2">
      <c r="A5">
        <f>ROW(Source!A33)</f>
        <v>33</v>
      </c>
      <c r="B5">
        <v>42446460</v>
      </c>
      <c r="C5">
        <v>42582570</v>
      </c>
      <c r="D5">
        <v>30595253</v>
      </c>
      <c r="E5">
        <v>1</v>
      </c>
      <c r="F5">
        <v>1</v>
      </c>
      <c r="G5">
        <v>30515945</v>
      </c>
      <c r="H5">
        <v>2</v>
      </c>
      <c r="I5" t="s">
        <v>424</v>
      </c>
      <c r="J5" t="s">
        <v>425</v>
      </c>
      <c r="K5" t="s">
        <v>426</v>
      </c>
      <c r="L5">
        <v>1367</v>
      </c>
      <c r="N5">
        <v>1011</v>
      </c>
      <c r="O5" t="s">
        <v>409</v>
      </c>
      <c r="P5" t="s">
        <v>409</v>
      </c>
      <c r="Q5">
        <v>1</v>
      </c>
      <c r="W5">
        <v>0</v>
      </c>
      <c r="X5">
        <v>1109083233</v>
      </c>
      <c r="Y5">
        <v>1.6975</v>
      </c>
      <c r="AA5">
        <v>0</v>
      </c>
      <c r="AB5">
        <v>862.3</v>
      </c>
      <c r="AC5">
        <v>479.67</v>
      </c>
      <c r="AD5">
        <v>0</v>
      </c>
      <c r="AE5">
        <v>0</v>
      </c>
      <c r="AF5">
        <v>95.06</v>
      </c>
      <c r="AG5">
        <v>22.22</v>
      </c>
      <c r="AH5">
        <v>0</v>
      </c>
      <c r="AI5">
        <v>1</v>
      </c>
      <c r="AJ5">
        <v>7.61</v>
      </c>
      <c r="AK5">
        <v>18.11</v>
      </c>
      <c r="AL5">
        <v>1</v>
      </c>
      <c r="AN5">
        <v>0</v>
      </c>
      <c r="AO5">
        <v>1</v>
      </c>
      <c r="AP5">
        <v>0</v>
      </c>
      <c r="AQ5">
        <v>0</v>
      </c>
      <c r="AR5">
        <v>0</v>
      </c>
      <c r="AS5" t="s">
        <v>3</v>
      </c>
      <c r="AT5">
        <v>1.6975</v>
      </c>
      <c r="AU5" t="s">
        <v>3</v>
      </c>
      <c r="AV5">
        <v>0</v>
      </c>
      <c r="AW5">
        <v>2</v>
      </c>
      <c r="AX5">
        <v>42582573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X5">
        <f>Y5*Source!I33</f>
        <v>6.6202499999999995</v>
      </c>
      <c r="CY5">
        <f>AB5</f>
        <v>862.3</v>
      </c>
      <c r="CZ5">
        <f>AF5</f>
        <v>95.06</v>
      </c>
      <c r="DA5">
        <f>AJ5</f>
        <v>7.61</v>
      </c>
      <c r="DB5">
        <v>0</v>
      </c>
    </row>
    <row r="6" spans="1:106" x14ac:dyDescent="0.2">
      <c r="A6">
        <f>ROW(Source!A35)</f>
        <v>35</v>
      </c>
      <c r="B6">
        <v>42446460</v>
      </c>
      <c r="C6">
        <v>42582342</v>
      </c>
      <c r="D6">
        <v>30515951</v>
      </c>
      <c r="E6">
        <v>30515945</v>
      </c>
      <c r="F6">
        <v>1</v>
      </c>
      <c r="G6">
        <v>30515945</v>
      </c>
      <c r="H6">
        <v>1</v>
      </c>
      <c r="I6" t="s">
        <v>418</v>
      </c>
      <c r="J6" t="s">
        <v>3</v>
      </c>
      <c r="K6" t="s">
        <v>419</v>
      </c>
      <c r="L6">
        <v>1191</v>
      </c>
      <c r="N6">
        <v>1013</v>
      </c>
      <c r="O6" t="s">
        <v>420</v>
      </c>
      <c r="P6" t="s">
        <v>420</v>
      </c>
      <c r="Q6">
        <v>1</v>
      </c>
      <c r="W6">
        <v>0</v>
      </c>
      <c r="X6">
        <v>476480486</v>
      </c>
      <c r="Y6">
        <v>6.08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1</v>
      </c>
      <c r="AJ6">
        <v>1</v>
      </c>
      <c r="AK6">
        <v>1</v>
      </c>
      <c r="AL6">
        <v>1</v>
      </c>
      <c r="AN6">
        <v>0</v>
      </c>
      <c r="AO6">
        <v>1</v>
      </c>
      <c r="AP6">
        <v>0</v>
      </c>
      <c r="AQ6">
        <v>0</v>
      </c>
      <c r="AR6">
        <v>0</v>
      </c>
      <c r="AS6" t="s">
        <v>3</v>
      </c>
      <c r="AT6">
        <v>6.08</v>
      </c>
      <c r="AU6" t="s">
        <v>3</v>
      </c>
      <c r="AV6">
        <v>1</v>
      </c>
      <c r="AW6">
        <v>2</v>
      </c>
      <c r="AX6">
        <v>42582421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X6">
        <f>Y6*Source!I35</f>
        <v>189.696</v>
      </c>
      <c r="CY6">
        <f>AD6</f>
        <v>0</v>
      </c>
      <c r="CZ6">
        <f>AH6</f>
        <v>0</v>
      </c>
      <c r="DA6">
        <f>AL6</f>
        <v>1</v>
      </c>
      <c r="DB6">
        <v>0</v>
      </c>
    </row>
    <row r="7" spans="1:106" x14ac:dyDescent="0.2">
      <c r="A7">
        <f>ROW(Source!A37)</f>
        <v>37</v>
      </c>
      <c r="B7">
        <v>42446460</v>
      </c>
      <c r="C7">
        <v>42447095</v>
      </c>
      <c r="D7">
        <v>30571740</v>
      </c>
      <c r="E7">
        <v>1</v>
      </c>
      <c r="F7">
        <v>1</v>
      </c>
      <c r="G7">
        <v>30515945</v>
      </c>
      <c r="H7">
        <v>3</v>
      </c>
      <c r="I7" t="s">
        <v>43</v>
      </c>
      <c r="J7" t="s">
        <v>46</v>
      </c>
      <c r="K7" t="s">
        <v>44</v>
      </c>
      <c r="L7">
        <v>1339</v>
      </c>
      <c r="N7">
        <v>1007</v>
      </c>
      <c r="O7" t="s">
        <v>45</v>
      </c>
      <c r="P7" t="s">
        <v>45</v>
      </c>
      <c r="Q7">
        <v>1</v>
      </c>
      <c r="W7">
        <v>0</v>
      </c>
      <c r="X7">
        <v>2069056849</v>
      </c>
      <c r="Y7">
        <v>100</v>
      </c>
      <c r="AA7">
        <v>553.29999999999995</v>
      </c>
      <c r="AB7">
        <v>0</v>
      </c>
      <c r="AC7">
        <v>0</v>
      </c>
      <c r="AD7">
        <v>0</v>
      </c>
      <c r="AE7">
        <v>104.99</v>
      </c>
      <c r="AF7">
        <v>0</v>
      </c>
      <c r="AG7">
        <v>0</v>
      </c>
      <c r="AH7">
        <v>0</v>
      </c>
      <c r="AI7">
        <v>5.27</v>
      </c>
      <c r="AJ7">
        <v>1</v>
      </c>
      <c r="AK7">
        <v>1</v>
      </c>
      <c r="AL7">
        <v>1</v>
      </c>
      <c r="AN7">
        <v>0</v>
      </c>
      <c r="AO7">
        <v>0</v>
      </c>
      <c r="AP7">
        <v>0</v>
      </c>
      <c r="AQ7">
        <v>0</v>
      </c>
      <c r="AR7">
        <v>0</v>
      </c>
      <c r="AS7" t="s">
        <v>3</v>
      </c>
      <c r="AT7">
        <v>100</v>
      </c>
      <c r="AU7" t="s">
        <v>3</v>
      </c>
      <c r="AV7">
        <v>0</v>
      </c>
      <c r="AW7">
        <v>1</v>
      </c>
      <c r="AX7">
        <v>-1</v>
      </c>
      <c r="AY7">
        <v>0</v>
      </c>
      <c r="AZ7">
        <v>0</v>
      </c>
      <c r="BA7" t="s">
        <v>3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X7">
        <f>Y7*Source!I37</f>
        <v>234</v>
      </c>
      <c r="CY7">
        <f>AA7</f>
        <v>553.29999999999995</v>
      </c>
      <c r="CZ7">
        <f>AE7</f>
        <v>104.99</v>
      </c>
      <c r="DA7">
        <f>AI7</f>
        <v>5.27</v>
      </c>
      <c r="DB7">
        <v>0</v>
      </c>
    </row>
    <row r="8" spans="1:106" x14ac:dyDescent="0.2">
      <c r="A8">
        <f>ROW(Source!A39)</f>
        <v>39</v>
      </c>
      <c r="B8">
        <v>42446460</v>
      </c>
      <c r="C8">
        <v>42447099</v>
      </c>
      <c r="D8">
        <v>30595253</v>
      </c>
      <c r="E8">
        <v>1</v>
      </c>
      <c r="F8">
        <v>1</v>
      </c>
      <c r="G8">
        <v>30515945</v>
      </c>
      <c r="H8">
        <v>2</v>
      </c>
      <c r="I8" t="s">
        <v>424</v>
      </c>
      <c r="J8" t="s">
        <v>425</v>
      </c>
      <c r="K8" t="s">
        <v>426</v>
      </c>
      <c r="L8">
        <v>1367</v>
      </c>
      <c r="N8">
        <v>1011</v>
      </c>
      <c r="O8" t="s">
        <v>409</v>
      </c>
      <c r="P8" t="s">
        <v>409</v>
      </c>
      <c r="Q8">
        <v>1</v>
      </c>
      <c r="W8">
        <v>0</v>
      </c>
      <c r="X8">
        <v>1109083233</v>
      </c>
      <c r="Y8">
        <v>0.89300000000000002</v>
      </c>
      <c r="AA8">
        <v>0</v>
      </c>
      <c r="AB8">
        <v>723.41</v>
      </c>
      <c r="AC8">
        <v>402.4</v>
      </c>
      <c r="AD8">
        <v>0</v>
      </c>
      <c r="AE8">
        <v>0</v>
      </c>
      <c r="AF8">
        <v>95.06</v>
      </c>
      <c r="AG8">
        <v>22.22</v>
      </c>
      <c r="AH8">
        <v>0</v>
      </c>
      <c r="AI8">
        <v>1</v>
      </c>
      <c r="AJ8">
        <v>7.61</v>
      </c>
      <c r="AK8">
        <v>18.11</v>
      </c>
      <c r="AL8">
        <v>1</v>
      </c>
      <c r="AN8">
        <v>0</v>
      </c>
      <c r="AO8">
        <v>1</v>
      </c>
      <c r="AP8">
        <v>0</v>
      </c>
      <c r="AQ8">
        <v>0</v>
      </c>
      <c r="AR8">
        <v>0</v>
      </c>
      <c r="AS8" t="s">
        <v>3</v>
      </c>
      <c r="AT8">
        <v>0.89300000000000002</v>
      </c>
      <c r="AU8" t="s">
        <v>3</v>
      </c>
      <c r="AV8">
        <v>0</v>
      </c>
      <c r="AW8">
        <v>2</v>
      </c>
      <c r="AX8">
        <v>42447101</v>
      </c>
      <c r="AY8">
        <v>1</v>
      </c>
      <c r="AZ8">
        <v>0</v>
      </c>
      <c r="BA8">
        <v>8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X8">
        <f>Y8*Source!I39</f>
        <v>7.6480091999999997</v>
      </c>
      <c r="CY8">
        <f>AB8</f>
        <v>723.41</v>
      </c>
      <c r="CZ8">
        <f>AF8</f>
        <v>95.06</v>
      </c>
      <c r="DA8">
        <f>AJ8</f>
        <v>7.61</v>
      </c>
      <c r="DB8">
        <v>0</v>
      </c>
    </row>
    <row r="9" spans="1:106" x14ac:dyDescent="0.2">
      <c r="A9">
        <f>ROW(Source!A40)</f>
        <v>40</v>
      </c>
      <c r="B9">
        <v>42446460</v>
      </c>
      <c r="C9">
        <v>42447102</v>
      </c>
      <c r="D9">
        <v>30515951</v>
      </c>
      <c r="E9">
        <v>30515945</v>
      </c>
      <c r="F9">
        <v>1</v>
      </c>
      <c r="G9">
        <v>30515945</v>
      </c>
      <c r="H9">
        <v>1</v>
      </c>
      <c r="I9" t="s">
        <v>418</v>
      </c>
      <c r="J9" t="s">
        <v>3</v>
      </c>
      <c r="K9" t="s">
        <v>419</v>
      </c>
      <c r="L9">
        <v>1191</v>
      </c>
      <c r="N9">
        <v>1013</v>
      </c>
      <c r="O9" t="s">
        <v>420</v>
      </c>
      <c r="P9" t="s">
        <v>420</v>
      </c>
      <c r="Q9">
        <v>1</v>
      </c>
      <c r="W9">
        <v>0</v>
      </c>
      <c r="X9">
        <v>476480486</v>
      </c>
      <c r="Y9">
        <v>10.8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1</v>
      </c>
      <c r="AJ9">
        <v>1</v>
      </c>
      <c r="AK9">
        <v>1</v>
      </c>
      <c r="AL9">
        <v>1</v>
      </c>
      <c r="AN9">
        <v>0</v>
      </c>
      <c r="AO9">
        <v>1</v>
      </c>
      <c r="AP9">
        <v>0</v>
      </c>
      <c r="AQ9">
        <v>0</v>
      </c>
      <c r="AR9">
        <v>0</v>
      </c>
      <c r="AS9" t="s">
        <v>3</v>
      </c>
      <c r="AT9">
        <v>10.8</v>
      </c>
      <c r="AU9" t="s">
        <v>3</v>
      </c>
      <c r="AV9">
        <v>1</v>
      </c>
      <c r="AW9">
        <v>2</v>
      </c>
      <c r="AX9">
        <v>42447106</v>
      </c>
      <c r="AY9">
        <v>1</v>
      </c>
      <c r="AZ9">
        <v>0</v>
      </c>
      <c r="BA9">
        <v>9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X9">
        <f>Y9*Source!I40</f>
        <v>92.495519999999999</v>
      </c>
      <c r="CY9">
        <f>AD9</f>
        <v>0</v>
      </c>
      <c r="CZ9">
        <f>AH9</f>
        <v>0</v>
      </c>
      <c r="DA9">
        <f>AL9</f>
        <v>1</v>
      </c>
      <c r="DB9">
        <v>0</v>
      </c>
    </row>
    <row r="10" spans="1:106" x14ac:dyDescent="0.2">
      <c r="A10">
        <f>ROW(Source!A40)</f>
        <v>40</v>
      </c>
      <c r="B10">
        <v>42446460</v>
      </c>
      <c r="C10">
        <v>42447102</v>
      </c>
      <c r="D10">
        <v>30595693</v>
      </c>
      <c r="E10">
        <v>1</v>
      </c>
      <c r="F10">
        <v>1</v>
      </c>
      <c r="G10">
        <v>30515945</v>
      </c>
      <c r="H10">
        <v>2</v>
      </c>
      <c r="I10" t="s">
        <v>427</v>
      </c>
      <c r="J10" t="s">
        <v>428</v>
      </c>
      <c r="K10" t="s">
        <v>429</v>
      </c>
      <c r="L10">
        <v>1367</v>
      </c>
      <c r="N10">
        <v>1011</v>
      </c>
      <c r="O10" t="s">
        <v>409</v>
      </c>
      <c r="P10" t="s">
        <v>409</v>
      </c>
      <c r="Q10">
        <v>1</v>
      </c>
      <c r="W10">
        <v>0</v>
      </c>
      <c r="X10">
        <v>2125593233</v>
      </c>
      <c r="Y10">
        <v>10.5</v>
      </c>
      <c r="AA10">
        <v>0</v>
      </c>
      <c r="AB10">
        <v>571.24</v>
      </c>
      <c r="AC10">
        <v>334.67</v>
      </c>
      <c r="AD10">
        <v>0</v>
      </c>
      <c r="AE10">
        <v>0</v>
      </c>
      <c r="AF10">
        <v>60.77</v>
      </c>
      <c r="AG10">
        <v>18.48</v>
      </c>
      <c r="AH10">
        <v>0</v>
      </c>
      <c r="AI10">
        <v>1</v>
      </c>
      <c r="AJ10">
        <v>9.4</v>
      </c>
      <c r="AK10">
        <v>18.11</v>
      </c>
      <c r="AL10">
        <v>1</v>
      </c>
      <c r="AN10">
        <v>0</v>
      </c>
      <c r="AO10">
        <v>1</v>
      </c>
      <c r="AP10">
        <v>0</v>
      </c>
      <c r="AQ10">
        <v>0</v>
      </c>
      <c r="AR10">
        <v>0</v>
      </c>
      <c r="AS10" t="s">
        <v>3</v>
      </c>
      <c r="AT10">
        <v>10.5</v>
      </c>
      <c r="AU10" t="s">
        <v>3</v>
      </c>
      <c r="AV10">
        <v>0</v>
      </c>
      <c r="AW10">
        <v>2</v>
      </c>
      <c r="AX10">
        <v>42447107</v>
      </c>
      <c r="AY10">
        <v>1</v>
      </c>
      <c r="AZ10">
        <v>0</v>
      </c>
      <c r="BA10">
        <v>10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X10">
        <f>Y10*Source!I40</f>
        <v>89.926199999999994</v>
      </c>
      <c r="CY10">
        <f>AB10</f>
        <v>571.24</v>
      </c>
      <c r="CZ10">
        <f>AF10</f>
        <v>60.77</v>
      </c>
      <c r="DA10">
        <f>AJ10</f>
        <v>9.4</v>
      </c>
      <c r="DB10">
        <v>0</v>
      </c>
    </row>
    <row r="11" spans="1:106" x14ac:dyDescent="0.2">
      <c r="A11">
        <f>ROW(Source!A40)</f>
        <v>40</v>
      </c>
      <c r="B11">
        <v>42446460</v>
      </c>
      <c r="C11">
        <v>42447102</v>
      </c>
      <c r="D11">
        <v>30596103</v>
      </c>
      <c r="E11">
        <v>1</v>
      </c>
      <c r="F11">
        <v>1</v>
      </c>
      <c r="G11">
        <v>30515945</v>
      </c>
      <c r="H11">
        <v>2</v>
      </c>
      <c r="I11" t="s">
        <v>430</v>
      </c>
      <c r="J11" t="s">
        <v>431</v>
      </c>
      <c r="K11" t="s">
        <v>432</v>
      </c>
      <c r="L11">
        <v>1367</v>
      </c>
      <c r="N11">
        <v>1011</v>
      </c>
      <c r="O11" t="s">
        <v>409</v>
      </c>
      <c r="P11" t="s">
        <v>409</v>
      </c>
      <c r="Q11">
        <v>1</v>
      </c>
      <c r="W11">
        <v>0</v>
      </c>
      <c r="X11">
        <v>1280158331</v>
      </c>
      <c r="Y11">
        <v>10.5</v>
      </c>
      <c r="AA11">
        <v>0</v>
      </c>
      <c r="AB11">
        <v>2.83</v>
      </c>
      <c r="AC11">
        <v>1.63</v>
      </c>
      <c r="AD11">
        <v>0</v>
      </c>
      <c r="AE11">
        <v>0</v>
      </c>
      <c r="AF11">
        <v>0.56000000000000005</v>
      </c>
      <c r="AG11">
        <v>0.09</v>
      </c>
      <c r="AH11">
        <v>0</v>
      </c>
      <c r="AI11">
        <v>1</v>
      </c>
      <c r="AJ11">
        <v>5.05</v>
      </c>
      <c r="AK11">
        <v>18.11</v>
      </c>
      <c r="AL11">
        <v>1</v>
      </c>
      <c r="AN11">
        <v>0</v>
      </c>
      <c r="AO11">
        <v>1</v>
      </c>
      <c r="AP11">
        <v>0</v>
      </c>
      <c r="AQ11">
        <v>0</v>
      </c>
      <c r="AR11">
        <v>0</v>
      </c>
      <c r="AS11" t="s">
        <v>3</v>
      </c>
      <c r="AT11">
        <v>10.5</v>
      </c>
      <c r="AU11" t="s">
        <v>3</v>
      </c>
      <c r="AV11">
        <v>0</v>
      </c>
      <c r="AW11">
        <v>2</v>
      </c>
      <c r="AX11">
        <v>42447108</v>
      </c>
      <c r="AY11">
        <v>1</v>
      </c>
      <c r="AZ11">
        <v>0</v>
      </c>
      <c r="BA11">
        <v>11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X11">
        <f>Y11*Source!I40</f>
        <v>89.926199999999994</v>
      </c>
      <c r="CY11">
        <f>AB11</f>
        <v>2.83</v>
      </c>
      <c r="CZ11">
        <f>AF11</f>
        <v>0.56000000000000005</v>
      </c>
      <c r="DA11">
        <f>AJ11</f>
        <v>5.05</v>
      </c>
      <c r="DB11">
        <v>0</v>
      </c>
    </row>
    <row r="12" spans="1:106" x14ac:dyDescent="0.2">
      <c r="A12">
        <f>ROW(Source!A41)</f>
        <v>41</v>
      </c>
      <c r="B12">
        <v>42446460</v>
      </c>
      <c r="C12">
        <v>42582490</v>
      </c>
      <c r="D12">
        <v>30515951</v>
      </c>
      <c r="E12">
        <v>30515945</v>
      </c>
      <c r="F12">
        <v>1</v>
      </c>
      <c r="G12">
        <v>30515945</v>
      </c>
      <c r="H12">
        <v>1</v>
      </c>
      <c r="I12" t="s">
        <v>418</v>
      </c>
      <c r="J12" t="s">
        <v>3</v>
      </c>
      <c r="K12" t="s">
        <v>419</v>
      </c>
      <c r="L12">
        <v>1191</v>
      </c>
      <c r="N12">
        <v>1013</v>
      </c>
      <c r="O12" t="s">
        <v>420</v>
      </c>
      <c r="P12" t="s">
        <v>420</v>
      </c>
      <c r="Q12">
        <v>1</v>
      </c>
      <c r="W12">
        <v>0</v>
      </c>
      <c r="X12">
        <v>476480486</v>
      </c>
      <c r="Y12">
        <v>12.2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1</v>
      </c>
      <c r="AJ12">
        <v>1</v>
      </c>
      <c r="AK12">
        <v>1</v>
      </c>
      <c r="AL12">
        <v>1</v>
      </c>
      <c r="AN12">
        <v>0</v>
      </c>
      <c r="AO12">
        <v>1</v>
      </c>
      <c r="AP12">
        <v>0</v>
      </c>
      <c r="AQ12">
        <v>0</v>
      </c>
      <c r="AR12">
        <v>0</v>
      </c>
      <c r="AS12" t="s">
        <v>3</v>
      </c>
      <c r="AT12">
        <v>12.2</v>
      </c>
      <c r="AU12" t="s">
        <v>3</v>
      </c>
      <c r="AV12">
        <v>1</v>
      </c>
      <c r="AW12">
        <v>2</v>
      </c>
      <c r="AX12">
        <v>42582491</v>
      </c>
      <c r="AY12">
        <v>1</v>
      </c>
      <c r="AZ12">
        <v>0</v>
      </c>
      <c r="BA12">
        <v>12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X12">
        <f>Y12*Source!I41</f>
        <v>104.48567999999999</v>
      </c>
      <c r="CY12">
        <f>AD12</f>
        <v>0</v>
      </c>
      <c r="CZ12">
        <f>AH12</f>
        <v>0</v>
      </c>
      <c r="DA12">
        <f>AL12</f>
        <v>1</v>
      </c>
      <c r="DB12">
        <v>0</v>
      </c>
    </row>
    <row r="13" spans="1:106" x14ac:dyDescent="0.2">
      <c r="A13">
        <f>ROW(Source!A41)</f>
        <v>41</v>
      </c>
      <c r="B13">
        <v>42446460</v>
      </c>
      <c r="C13">
        <v>42582490</v>
      </c>
      <c r="D13">
        <v>30595500</v>
      </c>
      <c r="E13">
        <v>1</v>
      </c>
      <c r="F13">
        <v>1</v>
      </c>
      <c r="G13">
        <v>30515945</v>
      </c>
      <c r="H13">
        <v>2</v>
      </c>
      <c r="I13" t="s">
        <v>433</v>
      </c>
      <c r="J13" t="s">
        <v>434</v>
      </c>
      <c r="K13" t="s">
        <v>435</v>
      </c>
      <c r="L13">
        <v>1367</v>
      </c>
      <c r="N13">
        <v>1011</v>
      </c>
      <c r="O13" t="s">
        <v>409</v>
      </c>
      <c r="P13" t="s">
        <v>409</v>
      </c>
      <c r="Q13">
        <v>1</v>
      </c>
      <c r="W13">
        <v>0</v>
      </c>
      <c r="X13">
        <v>378346098</v>
      </c>
      <c r="Y13">
        <v>12.2</v>
      </c>
      <c r="AA13">
        <v>0</v>
      </c>
      <c r="AB13">
        <v>1589.62</v>
      </c>
      <c r="AC13">
        <v>542.48</v>
      </c>
      <c r="AD13">
        <v>0</v>
      </c>
      <c r="AE13">
        <v>0</v>
      </c>
      <c r="AF13">
        <v>140.58000000000001</v>
      </c>
      <c r="AG13">
        <v>28.61</v>
      </c>
      <c r="AH13">
        <v>0</v>
      </c>
      <c r="AI13">
        <v>1</v>
      </c>
      <c r="AJ13">
        <v>10.8</v>
      </c>
      <c r="AK13">
        <v>18.11</v>
      </c>
      <c r="AL13">
        <v>1</v>
      </c>
      <c r="AN13">
        <v>0</v>
      </c>
      <c r="AO13">
        <v>1</v>
      </c>
      <c r="AP13">
        <v>0</v>
      </c>
      <c r="AQ13">
        <v>0</v>
      </c>
      <c r="AR13">
        <v>0</v>
      </c>
      <c r="AS13" t="s">
        <v>3</v>
      </c>
      <c r="AT13">
        <v>12.2</v>
      </c>
      <c r="AU13" t="s">
        <v>3</v>
      </c>
      <c r="AV13">
        <v>0</v>
      </c>
      <c r="AW13">
        <v>2</v>
      </c>
      <c r="AX13">
        <v>42582492</v>
      </c>
      <c r="AY13">
        <v>1</v>
      </c>
      <c r="AZ13">
        <v>0</v>
      </c>
      <c r="BA13">
        <v>13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X13">
        <f>Y13*Source!I41</f>
        <v>104.48567999999999</v>
      </c>
      <c r="CY13">
        <f>AB13</f>
        <v>1589.62</v>
      </c>
      <c r="CZ13">
        <f>AF13</f>
        <v>140.58000000000001</v>
      </c>
      <c r="DA13">
        <f>AJ13</f>
        <v>10.8</v>
      </c>
      <c r="DB13">
        <v>0</v>
      </c>
    </row>
    <row r="14" spans="1:106" x14ac:dyDescent="0.2">
      <c r="A14">
        <f>ROW(Source!A41)</f>
        <v>41</v>
      </c>
      <c r="B14">
        <v>42446460</v>
      </c>
      <c r="C14">
        <v>42582490</v>
      </c>
      <c r="D14">
        <v>30571181</v>
      </c>
      <c r="E14">
        <v>1</v>
      </c>
      <c r="F14">
        <v>1</v>
      </c>
      <c r="G14">
        <v>30515945</v>
      </c>
      <c r="H14">
        <v>3</v>
      </c>
      <c r="I14" t="s">
        <v>436</v>
      </c>
      <c r="J14" t="s">
        <v>437</v>
      </c>
      <c r="K14" t="s">
        <v>438</v>
      </c>
      <c r="L14">
        <v>1339</v>
      </c>
      <c r="N14">
        <v>1007</v>
      </c>
      <c r="O14" t="s">
        <v>45</v>
      </c>
      <c r="P14" t="s">
        <v>45</v>
      </c>
      <c r="Q14">
        <v>1</v>
      </c>
      <c r="W14">
        <v>0</v>
      </c>
      <c r="X14">
        <v>-862991314</v>
      </c>
      <c r="Y14">
        <v>100</v>
      </c>
      <c r="AA14">
        <v>29.98</v>
      </c>
      <c r="AB14">
        <v>0</v>
      </c>
      <c r="AC14">
        <v>0</v>
      </c>
      <c r="AD14">
        <v>0</v>
      </c>
      <c r="AE14">
        <v>7.07</v>
      </c>
      <c r="AF14">
        <v>0</v>
      </c>
      <c r="AG14">
        <v>0</v>
      </c>
      <c r="AH14">
        <v>0</v>
      </c>
      <c r="AI14">
        <v>4.24</v>
      </c>
      <c r="AJ14">
        <v>1</v>
      </c>
      <c r="AK14">
        <v>1</v>
      </c>
      <c r="AL14">
        <v>1</v>
      </c>
      <c r="AN14">
        <v>0</v>
      </c>
      <c r="AO14">
        <v>1</v>
      </c>
      <c r="AP14">
        <v>0</v>
      </c>
      <c r="AQ14">
        <v>0</v>
      </c>
      <c r="AR14">
        <v>0</v>
      </c>
      <c r="AS14" t="s">
        <v>3</v>
      </c>
      <c r="AT14">
        <v>100</v>
      </c>
      <c r="AU14" t="s">
        <v>3</v>
      </c>
      <c r="AV14">
        <v>0</v>
      </c>
      <c r="AW14">
        <v>2</v>
      </c>
      <c r="AX14">
        <v>42582493</v>
      </c>
      <c r="AY14">
        <v>1</v>
      </c>
      <c r="AZ14">
        <v>0</v>
      </c>
      <c r="BA14">
        <v>14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X14">
        <f>Y14*Source!I41</f>
        <v>856.43999999999994</v>
      </c>
      <c r="CY14">
        <f>AA14</f>
        <v>29.98</v>
      </c>
      <c r="CZ14">
        <f>AE14</f>
        <v>7.07</v>
      </c>
      <c r="DA14">
        <f>AI14</f>
        <v>4.24</v>
      </c>
      <c r="DB14">
        <v>0</v>
      </c>
    </row>
    <row r="15" spans="1:106" x14ac:dyDescent="0.2">
      <c r="A15">
        <f>ROW(Source!A77)</f>
        <v>77</v>
      </c>
      <c r="B15">
        <v>42446460</v>
      </c>
      <c r="C15">
        <v>42447113</v>
      </c>
      <c r="D15">
        <v>30515951</v>
      </c>
      <c r="E15">
        <v>30515945</v>
      </c>
      <c r="F15">
        <v>1</v>
      </c>
      <c r="G15">
        <v>30515945</v>
      </c>
      <c r="H15">
        <v>1</v>
      </c>
      <c r="I15" t="s">
        <v>418</v>
      </c>
      <c r="J15" t="s">
        <v>3</v>
      </c>
      <c r="K15" t="s">
        <v>419</v>
      </c>
      <c r="L15">
        <v>1191</v>
      </c>
      <c r="N15">
        <v>1013</v>
      </c>
      <c r="O15" t="s">
        <v>420</v>
      </c>
      <c r="P15" t="s">
        <v>420</v>
      </c>
      <c r="Q15">
        <v>1</v>
      </c>
      <c r="W15">
        <v>0</v>
      </c>
      <c r="X15">
        <v>476480486</v>
      </c>
      <c r="Y15">
        <v>1.19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1</v>
      </c>
      <c r="AJ15">
        <v>1</v>
      </c>
      <c r="AK15">
        <v>1</v>
      </c>
      <c r="AL15">
        <v>1</v>
      </c>
      <c r="AN15">
        <v>0</v>
      </c>
      <c r="AO15">
        <v>1</v>
      </c>
      <c r="AP15">
        <v>0</v>
      </c>
      <c r="AQ15">
        <v>0</v>
      </c>
      <c r="AR15">
        <v>0</v>
      </c>
      <c r="AS15" t="s">
        <v>3</v>
      </c>
      <c r="AT15">
        <v>1.19</v>
      </c>
      <c r="AU15" t="s">
        <v>3</v>
      </c>
      <c r="AV15">
        <v>1</v>
      </c>
      <c r="AW15">
        <v>2</v>
      </c>
      <c r="AX15">
        <v>42447116</v>
      </c>
      <c r="AY15">
        <v>1</v>
      </c>
      <c r="AZ15">
        <v>0</v>
      </c>
      <c r="BA15">
        <v>16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X15">
        <f>Y15*Source!I77</f>
        <v>4.2302358</v>
      </c>
      <c r="CY15">
        <f>AD15</f>
        <v>0</v>
      </c>
      <c r="CZ15">
        <f>AH15</f>
        <v>0</v>
      </c>
      <c r="DA15">
        <f>AL15</f>
        <v>1</v>
      </c>
      <c r="DB15">
        <v>0</v>
      </c>
    </row>
    <row r="16" spans="1:106" x14ac:dyDescent="0.2">
      <c r="A16">
        <f>ROW(Source!A77)</f>
        <v>77</v>
      </c>
      <c r="B16">
        <v>42446460</v>
      </c>
      <c r="C16">
        <v>42447113</v>
      </c>
      <c r="D16">
        <v>30595241</v>
      </c>
      <c r="E16">
        <v>1</v>
      </c>
      <c r="F16">
        <v>1</v>
      </c>
      <c r="G16">
        <v>30515945</v>
      </c>
      <c r="H16">
        <v>2</v>
      </c>
      <c r="I16" t="s">
        <v>421</v>
      </c>
      <c r="J16" t="s">
        <v>422</v>
      </c>
      <c r="K16" t="s">
        <v>423</v>
      </c>
      <c r="L16">
        <v>1367</v>
      </c>
      <c r="N16">
        <v>1011</v>
      </c>
      <c r="O16" t="s">
        <v>409</v>
      </c>
      <c r="P16" t="s">
        <v>409</v>
      </c>
      <c r="Q16">
        <v>1</v>
      </c>
      <c r="W16">
        <v>0</v>
      </c>
      <c r="X16">
        <v>851387592</v>
      </c>
      <c r="Y16">
        <v>6.3194999999999997</v>
      </c>
      <c r="AA16">
        <v>0</v>
      </c>
      <c r="AB16">
        <v>539.04999999999995</v>
      </c>
      <c r="AC16">
        <v>362.92</v>
      </c>
      <c r="AD16">
        <v>0</v>
      </c>
      <c r="AE16">
        <v>0</v>
      </c>
      <c r="AF16">
        <v>65.260000000000005</v>
      </c>
      <c r="AG16">
        <v>20.04</v>
      </c>
      <c r="AH16">
        <v>0</v>
      </c>
      <c r="AI16">
        <v>1</v>
      </c>
      <c r="AJ16">
        <v>8.26</v>
      </c>
      <c r="AK16">
        <v>18.11</v>
      </c>
      <c r="AL16">
        <v>1</v>
      </c>
      <c r="AN16">
        <v>0</v>
      </c>
      <c r="AO16">
        <v>1</v>
      </c>
      <c r="AP16">
        <v>0</v>
      </c>
      <c r="AQ16">
        <v>0</v>
      </c>
      <c r="AR16">
        <v>0</v>
      </c>
      <c r="AS16" t="s">
        <v>3</v>
      </c>
      <c r="AT16">
        <v>6.3194999999999997</v>
      </c>
      <c r="AU16" t="s">
        <v>3</v>
      </c>
      <c r="AV16">
        <v>0</v>
      </c>
      <c r="AW16">
        <v>2</v>
      </c>
      <c r="AX16">
        <v>42447117</v>
      </c>
      <c r="AY16">
        <v>1</v>
      </c>
      <c r="AZ16">
        <v>0</v>
      </c>
      <c r="BA16">
        <v>17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X16">
        <f>Y16*Source!I77</f>
        <v>22.464684989999999</v>
      </c>
      <c r="CY16">
        <f>AB16</f>
        <v>539.04999999999995</v>
      </c>
      <c r="CZ16">
        <f>AF16</f>
        <v>65.260000000000005</v>
      </c>
      <c r="DA16">
        <f>AJ16</f>
        <v>8.26</v>
      </c>
      <c r="DB16">
        <v>0</v>
      </c>
    </row>
    <row r="17" spans="1:106" x14ac:dyDescent="0.2">
      <c r="A17">
        <f>ROW(Source!A78)</f>
        <v>78</v>
      </c>
      <c r="B17">
        <v>42446460</v>
      </c>
      <c r="C17">
        <v>42582574</v>
      </c>
      <c r="D17">
        <v>30515951</v>
      </c>
      <c r="E17">
        <v>30515945</v>
      </c>
      <c r="F17">
        <v>1</v>
      </c>
      <c r="G17">
        <v>30515945</v>
      </c>
      <c r="H17">
        <v>1</v>
      </c>
      <c r="I17" t="s">
        <v>418</v>
      </c>
      <c r="J17" t="s">
        <v>3</v>
      </c>
      <c r="K17" t="s">
        <v>419</v>
      </c>
      <c r="L17">
        <v>1191</v>
      </c>
      <c r="N17">
        <v>1013</v>
      </c>
      <c r="O17" t="s">
        <v>420</v>
      </c>
      <c r="P17" t="s">
        <v>420</v>
      </c>
      <c r="Q17">
        <v>1</v>
      </c>
      <c r="W17">
        <v>0</v>
      </c>
      <c r="X17">
        <v>476480486</v>
      </c>
      <c r="Y17">
        <v>2.95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1</v>
      </c>
      <c r="AJ17">
        <v>1</v>
      </c>
      <c r="AK17">
        <v>1</v>
      </c>
      <c r="AL17">
        <v>1</v>
      </c>
      <c r="AN17">
        <v>0</v>
      </c>
      <c r="AO17">
        <v>1</v>
      </c>
      <c r="AP17">
        <v>0</v>
      </c>
      <c r="AQ17">
        <v>0</v>
      </c>
      <c r="AR17">
        <v>0</v>
      </c>
      <c r="AS17" t="s">
        <v>3</v>
      </c>
      <c r="AT17">
        <v>2.95</v>
      </c>
      <c r="AU17" t="s">
        <v>3</v>
      </c>
      <c r="AV17">
        <v>1</v>
      </c>
      <c r="AW17">
        <v>2</v>
      </c>
      <c r="AX17">
        <v>42582575</v>
      </c>
      <c r="AY17">
        <v>1</v>
      </c>
      <c r="AZ17">
        <v>0</v>
      </c>
      <c r="BA17">
        <v>18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X17">
        <f>Y17*Source!I78</f>
        <v>9.4703850000000003</v>
      </c>
      <c r="CY17">
        <f>AD17</f>
        <v>0</v>
      </c>
      <c r="CZ17">
        <f>AH17</f>
        <v>0</v>
      </c>
      <c r="DA17">
        <f>AL17</f>
        <v>1</v>
      </c>
      <c r="DB17">
        <v>0</v>
      </c>
    </row>
    <row r="18" spans="1:106" x14ac:dyDescent="0.2">
      <c r="A18">
        <f>ROW(Source!A78)</f>
        <v>78</v>
      </c>
      <c r="B18">
        <v>42446460</v>
      </c>
      <c r="C18">
        <v>42582574</v>
      </c>
      <c r="D18">
        <v>30595241</v>
      </c>
      <c r="E18">
        <v>1</v>
      </c>
      <c r="F18">
        <v>1</v>
      </c>
      <c r="G18">
        <v>30515945</v>
      </c>
      <c r="H18">
        <v>2</v>
      </c>
      <c r="I18" t="s">
        <v>421</v>
      </c>
      <c r="J18" t="s">
        <v>422</v>
      </c>
      <c r="K18" t="s">
        <v>423</v>
      </c>
      <c r="L18">
        <v>1367</v>
      </c>
      <c r="N18">
        <v>1011</v>
      </c>
      <c r="O18" t="s">
        <v>409</v>
      </c>
      <c r="P18" t="s">
        <v>409</v>
      </c>
      <c r="Q18">
        <v>1</v>
      </c>
      <c r="W18">
        <v>0</v>
      </c>
      <c r="X18">
        <v>851387592</v>
      </c>
      <c r="Y18">
        <v>7.4139999999999997</v>
      </c>
      <c r="AA18">
        <v>0</v>
      </c>
      <c r="AB18">
        <v>642.54</v>
      </c>
      <c r="AC18">
        <v>432.61</v>
      </c>
      <c r="AD18">
        <v>0</v>
      </c>
      <c r="AE18">
        <v>0</v>
      </c>
      <c r="AF18">
        <v>65.260000000000005</v>
      </c>
      <c r="AG18">
        <v>20.04</v>
      </c>
      <c r="AH18">
        <v>0</v>
      </c>
      <c r="AI18">
        <v>1</v>
      </c>
      <c r="AJ18">
        <v>8.26</v>
      </c>
      <c r="AK18">
        <v>18.11</v>
      </c>
      <c r="AL18">
        <v>1</v>
      </c>
      <c r="AN18">
        <v>0</v>
      </c>
      <c r="AO18">
        <v>1</v>
      </c>
      <c r="AP18">
        <v>0</v>
      </c>
      <c r="AQ18">
        <v>0</v>
      </c>
      <c r="AR18">
        <v>0</v>
      </c>
      <c r="AS18" t="s">
        <v>3</v>
      </c>
      <c r="AT18">
        <v>7.4139999999999997</v>
      </c>
      <c r="AU18" t="s">
        <v>3</v>
      </c>
      <c r="AV18">
        <v>0</v>
      </c>
      <c r="AW18">
        <v>2</v>
      </c>
      <c r="AX18">
        <v>42582576</v>
      </c>
      <c r="AY18">
        <v>1</v>
      </c>
      <c r="AZ18">
        <v>0</v>
      </c>
      <c r="BA18">
        <v>19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X18">
        <f>Y18*Source!I78</f>
        <v>23.801164199999999</v>
      </c>
      <c r="CY18">
        <f>AB18</f>
        <v>642.54</v>
      </c>
      <c r="CZ18">
        <f>AF18</f>
        <v>65.260000000000005</v>
      </c>
      <c r="DA18">
        <f>AJ18</f>
        <v>8.26</v>
      </c>
      <c r="DB18">
        <v>0</v>
      </c>
    </row>
    <row r="19" spans="1:106" x14ac:dyDescent="0.2">
      <c r="A19">
        <f>ROW(Source!A78)</f>
        <v>78</v>
      </c>
      <c r="B19">
        <v>42446460</v>
      </c>
      <c r="C19">
        <v>42582574</v>
      </c>
      <c r="D19">
        <v>30595253</v>
      </c>
      <c r="E19">
        <v>1</v>
      </c>
      <c r="F19">
        <v>1</v>
      </c>
      <c r="G19">
        <v>30515945</v>
      </c>
      <c r="H19">
        <v>2</v>
      </c>
      <c r="I19" t="s">
        <v>424</v>
      </c>
      <c r="J19" t="s">
        <v>425</v>
      </c>
      <c r="K19" t="s">
        <v>426</v>
      </c>
      <c r="L19">
        <v>1367</v>
      </c>
      <c r="N19">
        <v>1011</v>
      </c>
      <c r="O19" t="s">
        <v>409</v>
      </c>
      <c r="P19" t="s">
        <v>409</v>
      </c>
      <c r="Q19">
        <v>1</v>
      </c>
      <c r="W19">
        <v>0</v>
      </c>
      <c r="X19">
        <v>1109083233</v>
      </c>
      <c r="Y19">
        <v>1.6975</v>
      </c>
      <c r="AA19">
        <v>0</v>
      </c>
      <c r="AB19">
        <v>862.3</v>
      </c>
      <c r="AC19">
        <v>479.67</v>
      </c>
      <c r="AD19">
        <v>0</v>
      </c>
      <c r="AE19">
        <v>0</v>
      </c>
      <c r="AF19">
        <v>95.06</v>
      </c>
      <c r="AG19">
        <v>22.22</v>
      </c>
      <c r="AH19">
        <v>0</v>
      </c>
      <c r="AI19">
        <v>1</v>
      </c>
      <c r="AJ19">
        <v>7.61</v>
      </c>
      <c r="AK19">
        <v>18.11</v>
      </c>
      <c r="AL19">
        <v>1</v>
      </c>
      <c r="AN19">
        <v>0</v>
      </c>
      <c r="AO19">
        <v>1</v>
      </c>
      <c r="AP19">
        <v>0</v>
      </c>
      <c r="AQ19">
        <v>0</v>
      </c>
      <c r="AR19">
        <v>0</v>
      </c>
      <c r="AS19" t="s">
        <v>3</v>
      </c>
      <c r="AT19">
        <v>1.6975</v>
      </c>
      <c r="AU19" t="s">
        <v>3</v>
      </c>
      <c r="AV19">
        <v>0</v>
      </c>
      <c r="AW19">
        <v>2</v>
      </c>
      <c r="AX19">
        <v>42582577</v>
      </c>
      <c r="AY19">
        <v>1</v>
      </c>
      <c r="AZ19">
        <v>0</v>
      </c>
      <c r="BA19">
        <v>20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X19">
        <f>Y19*Source!I78</f>
        <v>5.4494842500000003</v>
      </c>
      <c r="CY19">
        <f>AB19</f>
        <v>862.3</v>
      </c>
      <c r="CZ19">
        <f>AF19</f>
        <v>95.06</v>
      </c>
      <c r="DA19">
        <f>AJ19</f>
        <v>7.61</v>
      </c>
      <c r="DB19">
        <v>0</v>
      </c>
    </row>
    <row r="20" spans="1:106" x14ac:dyDescent="0.2">
      <c r="A20">
        <f>ROW(Source!A80)</f>
        <v>80</v>
      </c>
      <c r="B20">
        <v>42446460</v>
      </c>
      <c r="C20">
        <v>42582531</v>
      </c>
      <c r="D20">
        <v>30515951</v>
      </c>
      <c r="E20">
        <v>30515945</v>
      </c>
      <c r="F20">
        <v>1</v>
      </c>
      <c r="G20">
        <v>30515945</v>
      </c>
      <c r="H20">
        <v>1</v>
      </c>
      <c r="I20" t="s">
        <v>418</v>
      </c>
      <c r="J20" t="s">
        <v>3</v>
      </c>
      <c r="K20" t="s">
        <v>419</v>
      </c>
      <c r="L20">
        <v>1191</v>
      </c>
      <c r="N20">
        <v>1013</v>
      </c>
      <c r="O20" t="s">
        <v>420</v>
      </c>
      <c r="P20" t="s">
        <v>420</v>
      </c>
      <c r="Q20">
        <v>1</v>
      </c>
      <c r="W20">
        <v>0</v>
      </c>
      <c r="X20">
        <v>476480486</v>
      </c>
      <c r="Y20">
        <v>6.08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1</v>
      </c>
      <c r="AJ20">
        <v>1</v>
      </c>
      <c r="AK20">
        <v>1</v>
      </c>
      <c r="AL20">
        <v>1</v>
      </c>
      <c r="AN20">
        <v>0</v>
      </c>
      <c r="AO20">
        <v>1</v>
      </c>
      <c r="AP20">
        <v>0</v>
      </c>
      <c r="AQ20">
        <v>0</v>
      </c>
      <c r="AR20">
        <v>0</v>
      </c>
      <c r="AS20" t="s">
        <v>3</v>
      </c>
      <c r="AT20">
        <v>6.08</v>
      </c>
      <c r="AU20" t="s">
        <v>3</v>
      </c>
      <c r="AV20">
        <v>1</v>
      </c>
      <c r="AW20">
        <v>2</v>
      </c>
      <c r="AX20">
        <v>42582533</v>
      </c>
      <c r="AY20">
        <v>1</v>
      </c>
      <c r="AZ20">
        <v>0</v>
      </c>
      <c r="BA20">
        <v>21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X20">
        <f>Y20*Source!I80</f>
        <v>47.606400000000001</v>
      </c>
      <c r="CY20">
        <f>AD20</f>
        <v>0</v>
      </c>
      <c r="CZ20">
        <f>AH20</f>
        <v>0</v>
      </c>
      <c r="DA20">
        <f>AL20</f>
        <v>1</v>
      </c>
      <c r="DB20">
        <v>0</v>
      </c>
    </row>
    <row r="21" spans="1:106" x14ac:dyDescent="0.2">
      <c r="A21">
        <f>ROW(Source!A82)</f>
        <v>82</v>
      </c>
      <c r="B21">
        <v>42446460</v>
      </c>
      <c r="C21">
        <v>42447130</v>
      </c>
      <c r="D21">
        <v>30571740</v>
      </c>
      <c r="E21">
        <v>1</v>
      </c>
      <c r="F21">
        <v>1</v>
      </c>
      <c r="G21">
        <v>30515945</v>
      </c>
      <c r="H21">
        <v>3</v>
      </c>
      <c r="I21" t="s">
        <v>43</v>
      </c>
      <c r="J21" t="s">
        <v>46</v>
      </c>
      <c r="K21" t="s">
        <v>44</v>
      </c>
      <c r="L21">
        <v>1339</v>
      </c>
      <c r="N21">
        <v>1007</v>
      </c>
      <c r="O21" t="s">
        <v>45</v>
      </c>
      <c r="P21" t="s">
        <v>45</v>
      </c>
      <c r="Q21">
        <v>1</v>
      </c>
      <c r="W21">
        <v>0</v>
      </c>
      <c r="X21">
        <v>2069056849</v>
      </c>
      <c r="Y21">
        <v>100</v>
      </c>
      <c r="AA21">
        <v>553.29999999999995</v>
      </c>
      <c r="AB21">
        <v>0</v>
      </c>
      <c r="AC21">
        <v>0</v>
      </c>
      <c r="AD21">
        <v>0</v>
      </c>
      <c r="AE21">
        <v>104.99</v>
      </c>
      <c r="AF21">
        <v>0</v>
      </c>
      <c r="AG21">
        <v>0</v>
      </c>
      <c r="AH21">
        <v>0</v>
      </c>
      <c r="AI21">
        <v>5.27</v>
      </c>
      <c r="AJ21">
        <v>1</v>
      </c>
      <c r="AK21">
        <v>1</v>
      </c>
      <c r="AL21">
        <v>1</v>
      </c>
      <c r="AN21">
        <v>0</v>
      </c>
      <c r="AO21">
        <v>0</v>
      </c>
      <c r="AP21">
        <v>0</v>
      </c>
      <c r="AQ21">
        <v>0</v>
      </c>
      <c r="AR21">
        <v>0</v>
      </c>
      <c r="AS21" t="s">
        <v>3</v>
      </c>
      <c r="AT21">
        <v>100</v>
      </c>
      <c r="AU21" t="s">
        <v>3</v>
      </c>
      <c r="AV21">
        <v>0</v>
      </c>
      <c r="AW21">
        <v>1</v>
      </c>
      <c r="AX21">
        <v>-1</v>
      </c>
      <c r="AY21">
        <v>0</v>
      </c>
      <c r="AZ21">
        <v>0</v>
      </c>
      <c r="BA21" t="s">
        <v>3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X21">
        <f>Y21*Source!I82</f>
        <v>242.73</v>
      </c>
      <c r="CY21">
        <f>AA21</f>
        <v>553.29999999999995</v>
      </c>
      <c r="CZ21">
        <f>AE21</f>
        <v>104.99</v>
      </c>
      <c r="DA21">
        <f>AI21</f>
        <v>5.27</v>
      </c>
      <c r="DB21">
        <v>0</v>
      </c>
    </row>
    <row r="22" spans="1:106" x14ac:dyDescent="0.2">
      <c r="A22">
        <f>ROW(Source!A84)</f>
        <v>84</v>
      </c>
      <c r="B22">
        <v>42446460</v>
      </c>
      <c r="C22">
        <v>42447134</v>
      </c>
      <c r="D22">
        <v>30595253</v>
      </c>
      <c r="E22">
        <v>1</v>
      </c>
      <c r="F22">
        <v>1</v>
      </c>
      <c r="G22">
        <v>30515945</v>
      </c>
      <c r="H22">
        <v>2</v>
      </c>
      <c r="I22" t="s">
        <v>424</v>
      </c>
      <c r="J22" t="s">
        <v>425</v>
      </c>
      <c r="K22" t="s">
        <v>426</v>
      </c>
      <c r="L22">
        <v>1367</v>
      </c>
      <c r="N22">
        <v>1011</v>
      </c>
      <c r="O22" t="s">
        <v>409</v>
      </c>
      <c r="P22" t="s">
        <v>409</v>
      </c>
      <c r="Q22">
        <v>1</v>
      </c>
      <c r="W22">
        <v>0</v>
      </c>
      <c r="X22">
        <v>1109083233</v>
      </c>
      <c r="Y22">
        <v>0.89300000000000002</v>
      </c>
      <c r="AA22">
        <v>0</v>
      </c>
      <c r="AB22">
        <v>723.41</v>
      </c>
      <c r="AC22">
        <v>402.4</v>
      </c>
      <c r="AD22">
        <v>0</v>
      </c>
      <c r="AE22">
        <v>0</v>
      </c>
      <c r="AF22">
        <v>95.06</v>
      </c>
      <c r="AG22">
        <v>22.22</v>
      </c>
      <c r="AH22">
        <v>0</v>
      </c>
      <c r="AI22">
        <v>1</v>
      </c>
      <c r="AJ22">
        <v>7.61</v>
      </c>
      <c r="AK22">
        <v>18.11</v>
      </c>
      <c r="AL22">
        <v>1</v>
      </c>
      <c r="AN22">
        <v>0</v>
      </c>
      <c r="AO22">
        <v>1</v>
      </c>
      <c r="AP22">
        <v>0</v>
      </c>
      <c r="AQ22">
        <v>0</v>
      </c>
      <c r="AR22">
        <v>0</v>
      </c>
      <c r="AS22" t="s">
        <v>3</v>
      </c>
      <c r="AT22">
        <v>0.89300000000000002</v>
      </c>
      <c r="AU22" t="s">
        <v>3</v>
      </c>
      <c r="AV22">
        <v>0</v>
      </c>
      <c r="AW22">
        <v>2</v>
      </c>
      <c r="AX22">
        <v>42447136</v>
      </c>
      <c r="AY22">
        <v>1</v>
      </c>
      <c r="AZ22">
        <v>0</v>
      </c>
      <c r="BA22">
        <v>23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X22">
        <f>Y22*Source!I84</f>
        <v>3.4611340500000001</v>
      </c>
      <c r="CY22">
        <f>AB22</f>
        <v>723.41</v>
      </c>
      <c r="CZ22">
        <f>AF22</f>
        <v>95.06</v>
      </c>
      <c r="DA22">
        <f>AJ22</f>
        <v>7.61</v>
      </c>
      <c r="DB22">
        <v>0</v>
      </c>
    </row>
    <row r="23" spans="1:106" x14ac:dyDescent="0.2">
      <c r="A23">
        <f>ROW(Source!A85)</f>
        <v>85</v>
      </c>
      <c r="B23">
        <v>42446460</v>
      </c>
      <c r="C23">
        <v>42582486</v>
      </c>
      <c r="D23">
        <v>30515951</v>
      </c>
      <c r="E23">
        <v>30515945</v>
      </c>
      <c r="F23">
        <v>1</v>
      </c>
      <c r="G23">
        <v>30515945</v>
      </c>
      <c r="H23">
        <v>1</v>
      </c>
      <c r="I23" t="s">
        <v>418</v>
      </c>
      <c r="J23" t="s">
        <v>3</v>
      </c>
      <c r="K23" t="s">
        <v>419</v>
      </c>
      <c r="L23">
        <v>1191</v>
      </c>
      <c r="N23">
        <v>1013</v>
      </c>
      <c r="O23" t="s">
        <v>420</v>
      </c>
      <c r="P23" t="s">
        <v>420</v>
      </c>
      <c r="Q23">
        <v>1</v>
      </c>
      <c r="W23">
        <v>0</v>
      </c>
      <c r="X23">
        <v>476480486</v>
      </c>
      <c r="Y23">
        <v>12.2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1</v>
      </c>
      <c r="AJ23">
        <v>1</v>
      </c>
      <c r="AK23">
        <v>1</v>
      </c>
      <c r="AL23">
        <v>1</v>
      </c>
      <c r="AN23">
        <v>0</v>
      </c>
      <c r="AO23">
        <v>1</v>
      </c>
      <c r="AP23">
        <v>0</v>
      </c>
      <c r="AQ23">
        <v>0</v>
      </c>
      <c r="AR23">
        <v>0</v>
      </c>
      <c r="AS23" t="s">
        <v>3</v>
      </c>
      <c r="AT23">
        <v>12.2</v>
      </c>
      <c r="AU23" t="s">
        <v>3</v>
      </c>
      <c r="AV23">
        <v>1</v>
      </c>
      <c r="AW23">
        <v>2</v>
      </c>
      <c r="AX23">
        <v>42582487</v>
      </c>
      <c r="AY23">
        <v>1</v>
      </c>
      <c r="AZ23">
        <v>0</v>
      </c>
      <c r="BA23">
        <v>24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X23">
        <f>Y23*Source!I85</f>
        <v>47.285369999999993</v>
      </c>
      <c r="CY23">
        <f>AD23</f>
        <v>0</v>
      </c>
      <c r="CZ23">
        <f>AH23</f>
        <v>0</v>
      </c>
      <c r="DA23">
        <f>AL23</f>
        <v>1</v>
      </c>
      <c r="DB23">
        <v>0</v>
      </c>
    </row>
    <row r="24" spans="1:106" x14ac:dyDescent="0.2">
      <c r="A24">
        <f>ROW(Source!A85)</f>
        <v>85</v>
      </c>
      <c r="B24">
        <v>42446460</v>
      </c>
      <c r="C24">
        <v>42582486</v>
      </c>
      <c r="D24">
        <v>30595500</v>
      </c>
      <c r="E24">
        <v>1</v>
      </c>
      <c r="F24">
        <v>1</v>
      </c>
      <c r="G24">
        <v>30515945</v>
      </c>
      <c r="H24">
        <v>2</v>
      </c>
      <c r="I24" t="s">
        <v>433</v>
      </c>
      <c r="J24" t="s">
        <v>434</v>
      </c>
      <c r="K24" t="s">
        <v>435</v>
      </c>
      <c r="L24">
        <v>1367</v>
      </c>
      <c r="N24">
        <v>1011</v>
      </c>
      <c r="O24" t="s">
        <v>409</v>
      </c>
      <c r="P24" t="s">
        <v>409</v>
      </c>
      <c r="Q24">
        <v>1</v>
      </c>
      <c r="W24">
        <v>0</v>
      </c>
      <c r="X24">
        <v>378346098</v>
      </c>
      <c r="Y24">
        <v>12.2</v>
      </c>
      <c r="AA24">
        <v>0</v>
      </c>
      <c r="AB24">
        <v>1589.62</v>
      </c>
      <c r="AC24">
        <v>542.48</v>
      </c>
      <c r="AD24">
        <v>0</v>
      </c>
      <c r="AE24">
        <v>0</v>
      </c>
      <c r="AF24">
        <v>140.58000000000001</v>
      </c>
      <c r="AG24">
        <v>28.61</v>
      </c>
      <c r="AH24">
        <v>0</v>
      </c>
      <c r="AI24">
        <v>1</v>
      </c>
      <c r="AJ24">
        <v>10.8</v>
      </c>
      <c r="AK24">
        <v>18.11</v>
      </c>
      <c r="AL24">
        <v>1</v>
      </c>
      <c r="AN24">
        <v>0</v>
      </c>
      <c r="AO24">
        <v>1</v>
      </c>
      <c r="AP24">
        <v>0</v>
      </c>
      <c r="AQ24">
        <v>0</v>
      </c>
      <c r="AR24">
        <v>0</v>
      </c>
      <c r="AS24" t="s">
        <v>3</v>
      </c>
      <c r="AT24">
        <v>12.2</v>
      </c>
      <c r="AU24" t="s">
        <v>3</v>
      </c>
      <c r="AV24">
        <v>0</v>
      </c>
      <c r="AW24">
        <v>2</v>
      </c>
      <c r="AX24">
        <v>42582488</v>
      </c>
      <c r="AY24">
        <v>1</v>
      </c>
      <c r="AZ24">
        <v>0</v>
      </c>
      <c r="BA24">
        <v>25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X24">
        <f>Y24*Source!I85</f>
        <v>47.285369999999993</v>
      </c>
      <c r="CY24">
        <f>AB24</f>
        <v>1589.62</v>
      </c>
      <c r="CZ24">
        <f>AF24</f>
        <v>140.58000000000001</v>
      </c>
      <c r="DA24">
        <f>AJ24</f>
        <v>10.8</v>
      </c>
      <c r="DB24">
        <v>0</v>
      </c>
    </row>
    <row r="25" spans="1:106" x14ac:dyDescent="0.2">
      <c r="A25">
        <f>ROW(Source!A85)</f>
        <v>85</v>
      </c>
      <c r="B25">
        <v>42446460</v>
      </c>
      <c r="C25">
        <v>42582486</v>
      </c>
      <c r="D25">
        <v>30571181</v>
      </c>
      <c r="E25">
        <v>1</v>
      </c>
      <c r="F25">
        <v>1</v>
      </c>
      <c r="G25">
        <v>30515945</v>
      </c>
      <c r="H25">
        <v>3</v>
      </c>
      <c r="I25" t="s">
        <v>436</v>
      </c>
      <c r="J25" t="s">
        <v>437</v>
      </c>
      <c r="K25" t="s">
        <v>438</v>
      </c>
      <c r="L25">
        <v>1339</v>
      </c>
      <c r="N25">
        <v>1007</v>
      </c>
      <c r="O25" t="s">
        <v>45</v>
      </c>
      <c r="P25" t="s">
        <v>45</v>
      </c>
      <c r="Q25">
        <v>1</v>
      </c>
      <c r="W25">
        <v>0</v>
      </c>
      <c r="X25">
        <v>-862991314</v>
      </c>
      <c r="Y25">
        <v>100</v>
      </c>
      <c r="AA25">
        <v>29.98</v>
      </c>
      <c r="AB25">
        <v>0</v>
      </c>
      <c r="AC25">
        <v>0</v>
      </c>
      <c r="AD25">
        <v>0</v>
      </c>
      <c r="AE25">
        <v>7.07</v>
      </c>
      <c r="AF25">
        <v>0</v>
      </c>
      <c r="AG25">
        <v>0</v>
      </c>
      <c r="AH25">
        <v>0</v>
      </c>
      <c r="AI25">
        <v>4.24</v>
      </c>
      <c r="AJ25">
        <v>1</v>
      </c>
      <c r="AK25">
        <v>1</v>
      </c>
      <c r="AL25">
        <v>1</v>
      </c>
      <c r="AN25">
        <v>0</v>
      </c>
      <c r="AO25">
        <v>1</v>
      </c>
      <c r="AP25">
        <v>0</v>
      </c>
      <c r="AQ25">
        <v>0</v>
      </c>
      <c r="AR25">
        <v>0</v>
      </c>
      <c r="AS25" t="s">
        <v>3</v>
      </c>
      <c r="AT25">
        <v>100</v>
      </c>
      <c r="AU25" t="s">
        <v>3</v>
      </c>
      <c r="AV25">
        <v>0</v>
      </c>
      <c r="AW25">
        <v>2</v>
      </c>
      <c r="AX25">
        <v>42582489</v>
      </c>
      <c r="AY25">
        <v>1</v>
      </c>
      <c r="AZ25">
        <v>0</v>
      </c>
      <c r="BA25">
        <v>26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X25">
        <f>Y25*Source!I85</f>
        <v>387.58499999999998</v>
      </c>
      <c r="CY25">
        <f>AA25</f>
        <v>29.98</v>
      </c>
      <c r="CZ25">
        <f>AE25</f>
        <v>7.07</v>
      </c>
      <c r="DA25">
        <f>AI25</f>
        <v>4.24</v>
      </c>
      <c r="DB25">
        <v>0</v>
      </c>
    </row>
    <row r="26" spans="1:106" x14ac:dyDescent="0.2">
      <c r="A26">
        <f>ROW(Source!A86)</f>
        <v>86</v>
      </c>
      <c r="B26">
        <v>42446460</v>
      </c>
      <c r="C26">
        <v>42447137</v>
      </c>
      <c r="D26">
        <v>30515951</v>
      </c>
      <c r="E26">
        <v>30515945</v>
      </c>
      <c r="F26">
        <v>1</v>
      </c>
      <c r="G26">
        <v>30515945</v>
      </c>
      <c r="H26">
        <v>1</v>
      </c>
      <c r="I26" t="s">
        <v>418</v>
      </c>
      <c r="J26" t="s">
        <v>3</v>
      </c>
      <c r="K26" t="s">
        <v>419</v>
      </c>
      <c r="L26">
        <v>1191</v>
      </c>
      <c r="N26">
        <v>1013</v>
      </c>
      <c r="O26" t="s">
        <v>420</v>
      </c>
      <c r="P26" t="s">
        <v>420</v>
      </c>
      <c r="Q26">
        <v>1</v>
      </c>
      <c r="W26">
        <v>0</v>
      </c>
      <c r="X26">
        <v>476480486</v>
      </c>
      <c r="Y26">
        <v>10.8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1</v>
      </c>
      <c r="AJ26">
        <v>1</v>
      </c>
      <c r="AK26">
        <v>1</v>
      </c>
      <c r="AL26">
        <v>1</v>
      </c>
      <c r="AN26">
        <v>0</v>
      </c>
      <c r="AO26">
        <v>1</v>
      </c>
      <c r="AP26">
        <v>0</v>
      </c>
      <c r="AQ26">
        <v>0</v>
      </c>
      <c r="AR26">
        <v>0</v>
      </c>
      <c r="AS26" t="s">
        <v>3</v>
      </c>
      <c r="AT26">
        <v>10.8</v>
      </c>
      <c r="AU26" t="s">
        <v>3</v>
      </c>
      <c r="AV26">
        <v>1</v>
      </c>
      <c r="AW26">
        <v>2</v>
      </c>
      <c r="AX26">
        <v>42447141</v>
      </c>
      <c r="AY26">
        <v>1</v>
      </c>
      <c r="AZ26">
        <v>0</v>
      </c>
      <c r="BA26">
        <v>27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X26">
        <f>Y26*Source!I86</f>
        <v>41.859180000000002</v>
      </c>
      <c r="CY26">
        <f>AD26</f>
        <v>0</v>
      </c>
      <c r="CZ26">
        <f>AH26</f>
        <v>0</v>
      </c>
      <c r="DA26">
        <f>AL26</f>
        <v>1</v>
      </c>
      <c r="DB26">
        <v>0</v>
      </c>
    </row>
    <row r="27" spans="1:106" x14ac:dyDescent="0.2">
      <c r="A27">
        <f>ROW(Source!A86)</f>
        <v>86</v>
      </c>
      <c r="B27">
        <v>42446460</v>
      </c>
      <c r="C27">
        <v>42447137</v>
      </c>
      <c r="D27">
        <v>30595693</v>
      </c>
      <c r="E27">
        <v>1</v>
      </c>
      <c r="F27">
        <v>1</v>
      </c>
      <c r="G27">
        <v>30515945</v>
      </c>
      <c r="H27">
        <v>2</v>
      </c>
      <c r="I27" t="s">
        <v>427</v>
      </c>
      <c r="J27" t="s">
        <v>428</v>
      </c>
      <c r="K27" t="s">
        <v>429</v>
      </c>
      <c r="L27">
        <v>1367</v>
      </c>
      <c r="N27">
        <v>1011</v>
      </c>
      <c r="O27" t="s">
        <v>409</v>
      </c>
      <c r="P27" t="s">
        <v>409</v>
      </c>
      <c r="Q27">
        <v>1</v>
      </c>
      <c r="W27">
        <v>0</v>
      </c>
      <c r="X27">
        <v>2125593233</v>
      </c>
      <c r="Y27">
        <v>10.5</v>
      </c>
      <c r="AA27">
        <v>0</v>
      </c>
      <c r="AB27">
        <v>571.24</v>
      </c>
      <c r="AC27">
        <v>334.67</v>
      </c>
      <c r="AD27">
        <v>0</v>
      </c>
      <c r="AE27">
        <v>0</v>
      </c>
      <c r="AF27">
        <v>60.77</v>
      </c>
      <c r="AG27">
        <v>18.48</v>
      </c>
      <c r="AH27">
        <v>0</v>
      </c>
      <c r="AI27">
        <v>1</v>
      </c>
      <c r="AJ27">
        <v>9.4</v>
      </c>
      <c r="AK27">
        <v>18.11</v>
      </c>
      <c r="AL27">
        <v>1</v>
      </c>
      <c r="AN27">
        <v>0</v>
      </c>
      <c r="AO27">
        <v>1</v>
      </c>
      <c r="AP27">
        <v>0</v>
      </c>
      <c r="AQ27">
        <v>0</v>
      </c>
      <c r="AR27">
        <v>0</v>
      </c>
      <c r="AS27" t="s">
        <v>3</v>
      </c>
      <c r="AT27">
        <v>10.5</v>
      </c>
      <c r="AU27" t="s">
        <v>3</v>
      </c>
      <c r="AV27">
        <v>0</v>
      </c>
      <c r="AW27">
        <v>2</v>
      </c>
      <c r="AX27">
        <v>42447142</v>
      </c>
      <c r="AY27">
        <v>1</v>
      </c>
      <c r="AZ27">
        <v>0</v>
      </c>
      <c r="BA27">
        <v>28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X27">
        <f>Y27*Source!I86</f>
        <v>40.696424999999998</v>
      </c>
      <c r="CY27">
        <f>AB27</f>
        <v>571.24</v>
      </c>
      <c r="CZ27">
        <f>AF27</f>
        <v>60.77</v>
      </c>
      <c r="DA27">
        <f>AJ27</f>
        <v>9.4</v>
      </c>
      <c r="DB27">
        <v>0</v>
      </c>
    </row>
    <row r="28" spans="1:106" x14ac:dyDescent="0.2">
      <c r="A28">
        <f>ROW(Source!A86)</f>
        <v>86</v>
      </c>
      <c r="B28">
        <v>42446460</v>
      </c>
      <c r="C28">
        <v>42447137</v>
      </c>
      <c r="D28">
        <v>30596103</v>
      </c>
      <c r="E28">
        <v>1</v>
      </c>
      <c r="F28">
        <v>1</v>
      </c>
      <c r="G28">
        <v>30515945</v>
      </c>
      <c r="H28">
        <v>2</v>
      </c>
      <c r="I28" t="s">
        <v>430</v>
      </c>
      <c r="J28" t="s">
        <v>431</v>
      </c>
      <c r="K28" t="s">
        <v>432</v>
      </c>
      <c r="L28">
        <v>1367</v>
      </c>
      <c r="N28">
        <v>1011</v>
      </c>
      <c r="O28" t="s">
        <v>409</v>
      </c>
      <c r="P28" t="s">
        <v>409</v>
      </c>
      <c r="Q28">
        <v>1</v>
      </c>
      <c r="W28">
        <v>0</v>
      </c>
      <c r="X28">
        <v>1280158331</v>
      </c>
      <c r="Y28">
        <v>10.5</v>
      </c>
      <c r="AA28">
        <v>0</v>
      </c>
      <c r="AB28">
        <v>2.83</v>
      </c>
      <c r="AC28">
        <v>1.63</v>
      </c>
      <c r="AD28">
        <v>0</v>
      </c>
      <c r="AE28">
        <v>0</v>
      </c>
      <c r="AF28">
        <v>0.56000000000000005</v>
      </c>
      <c r="AG28">
        <v>0.09</v>
      </c>
      <c r="AH28">
        <v>0</v>
      </c>
      <c r="AI28">
        <v>1</v>
      </c>
      <c r="AJ28">
        <v>5.05</v>
      </c>
      <c r="AK28">
        <v>18.11</v>
      </c>
      <c r="AL28">
        <v>1</v>
      </c>
      <c r="AN28">
        <v>0</v>
      </c>
      <c r="AO28">
        <v>1</v>
      </c>
      <c r="AP28">
        <v>0</v>
      </c>
      <c r="AQ28">
        <v>0</v>
      </c>
      <c r="AR28">
        <v>0</v>
      </c>
      <c r="AS28" t="s">
        <v>3</v>
      </c>
      <c r="AT28">
        <v>10.5</v>
      </c>
      <c r="AU28" t="s">
        <v>3</v>
      </c>
      <c r="AV28">
        <v>0</v>
      </c>
      <c r="AW28">
        <v>2</v>
      </c>
      <c r="AX28">
        <v>42447143</v>
      </c>
      <c r="AY28">
        <v>1</v>
      </c>
      <c r="AZ28">
        <v>0</v>
      </c>
      <c r="BA28">
        <v>29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X28">
        <f>Y28*Source!I86</f>
        <v>40.696424999999998</v>
      </c>
      <c r="CY28">
        <f>AB28</f>
        <v>2.83</v>
      </c>
      <c r="CZ28">
        <f>AF28</f>
        <v>0.56000000000000005</v>
      </c>
      <c r="DA28">
        <f>AJ28</f>
        <v>5.05</v>
      </c>
      <c r="DB28">
        <v>0</v>
      </c>
    </row>
    <row r="29" spans="1:106" x14ac:dyDescent="0.2">
      <c r="A29">
        <f>ROW(Source!A122)</f>
        <v>122</v>
      </c>
      <c r="B29">
        <v>42446460</v>
      </c>
      <c r="C29">
        <v>42447148</v>
      </c>
      <c r="D29">
        <v>30595254</v>
      </c>
      <c r="E29">
        <v>1</v>
      </c>
      <c r="F29">
        <v>1</v>
      </c>
      <c r="G29">
        <v>30515945</v>
      </c>
      <c r="H29">
        <v>2</v>
      </c>
      <c r="I29" t="s">
        <v>439</v>
      </c>
      <c r="J29" t="s">
        <v>440</v>
      </c>
      <c r="K29" t="s">
        <v>441</v>
      </c>
      <c r="L29">
        <v>1367</v>
      </c>
      <c r="N29">
        <v>1011</v>
      </c>
      <c r="O29" t="s">
        <v>409</v>
      </c>
      <c r="P29" t="s">
        <v>409</v>
      </c>
      <c r="Q29">
        <v>1</v>
      </c>
      <c r="W29">
        <v>0</v>
      </c>
      <c r="X29">
        <v>695902881</v>
      </c>
      <c r="Y29">
        <v>0.68300000000000005</v>
      </c>
      <c r="AA29">
        <v>0</v>
      </c>
      <c r="AB29">
        <v>783.2</v>
      </c>
      <c r="AC29">
        <v>480.28</v>
      </c>
      <c r="AD29">
        <v>0</v>
      </c>
      <c r="AE29">
        <v>0</v>
      </c>
      <c r="AF29">
        <v>110.31</v>
      </c>
      <c r="AG29">
        <v>26.52</v>
      </c>
      <c r="AH29">
        <v>0</v>
      </c>
      <c r="AI29">
        <v>1</v>
      </c>
      <c r="AJ29">
        <v>7.1</v>
      </c>
      <c r="AK29">
        <v>18.11</v>
      </c>
      <c r="AL29">
        <v>1</v>
      </c>
      <c r="AN29">
        <v>0</v>
      </c>
      <c r="AO29">
        <v>1</v>
      </c>
      <c r="AP29">
        <v>0</v>
      </c>
      <c r="AQ29">
        <v>0</v>
      </c>
      <c r="AR29">
        <v>0</v>
      </c>
      <c r="AS29" t="s">
        <v>3</v>
      </c>
      <c r="AT29">
        <v>0.68300000000000005</v>
      </c>
      <c r="AU29" t="s">
        <v>3</v>
      </c>
      <c r="AV29">
        <v>0</v>
      </c>
      <c r="AW29">
        <v>2</v>
      </c>
      <c r="AX29">
        <v>42447151</v>
      </c>
      <c r="AY29">
        <v>1</v>
      </c>
      <c r="AZ29">
        <v>0</v>
      </c>
      <c r="BA29">
        <v>31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X29">
        <f>Y29*Source!I122</f>
        <v>4.8616623000000008</v>
      </c>
      <c r="CY29">
        <f>AB29</f>
        <v>783.2</v>
      </c>
      <c r="CZ29">
        <f>AF29</f>
        <v>110.31</v>
      </c>
      <c r="DA29">
        <f>AJ29</f>
        <v>7.1</v>
      </c>
      <c r="DB29">
        <v>0</v>
      </c>
    </row>
    <row r="30" spans="1:106" x14ac:dyDescent="0.2">
      <c r="A30">
        <f>ROW(Source!A122)</f>
        <v>122</v>
      </c>
      <c r="B30">
        <v>42446460</v>
      </c>
      <c r="C30">
        <v>42447148</v>
      </c>
      <c r="D30">
        <v>30595528</v>
      </c>
      <c r="E30">
        <v>1</v>
      </c>
      <c r="F30">
        <v>1</v>
      </c>
      <c r="G30">
        <v>30515945</v>
      </c>
      <c r="H30">
        <v>2</v>
      </c>
      <c r="I30" t="s">
        <v>442</v>
      </c>
      <c r="J30" t="s">
        <v>443</v>
      </c>
      <c r="K30" t="s">
        <v>444</v>
      </c>
      <c r="L30">
        <v>1367</v>
      </c>
      <c r="N30">
        <v>1011</v>
      </c>
      <c r="O30" t="s">
        <v>409</v>
      </c>
      <c r="P30" t="s">
        <v>409</v>
      </c>
      <c r="Q30">
        <v>1</v>
      </c>
      <c r="W30">
        <v>0</v>
      </c>
      <c r="X30">
        <v>856318566</v>
      </c>
      <c r="Y30">
        <v>0.39700000000000002</v>
      </c>
      <c r="AA30">
        <v>0</v>
      </c>
      <c r="AB30">
        <v>1153.7</v>
      </c>
      <c r="AC30">
        <v>448.04</v>
      </c>
      <c r="AD30">
        <v>0</v>
      </c>
      <c r="AE30">
        <v>0</v>
      </c>
      <c r="AF30">
        <v>125.13</v>
      </c>
      <c r="AG30">
        <v>24.74</v>
      </c>
      <c r="AH30">
        <v>0</v>
      </c>
      <c r="AI30">
        <v>1</v>
      </c>
      <c r="AJ30">
        <v>9.2200000000000006</v>
      </c>
      <c r="AK30">
        <v>18.11</v>
      </c>
      <c r="AL30">
        <v>1</v>
      </c>
      <c r="AN30">
        <v>0</v>
      </c>
      <c r="AO30">
        <v>1</v>
      </c>
      <c r="AP30">
        <v>0</v>
      </c>
      <c r="AQ30">
        <v>0</v>
      </c>
      <c r="AR30">
        <v>0</v>
      </c>
      <c r="AS30" t="s">
        <v>3</v>
      </c>
      <c r="AT30">
        <v>0.39700000000000002</v>
      </c>
      <c r="AU30" t="s">
        <v>3</v>
      </c>
      <c r="AV30">
        <v>0</v>
      </c>
      <c r="AW30">
        <v>2</v>
      </c>
      <c r="AX30">
        <v>42447152</v>
      </c>
      <c r="AY30">
        <v>1</v>
      </c>
      <c r="AZ30">
        <v>0</v>
      </c>
      <c r="BA30">
        <v>32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X30">
        <f>Y30*Source!I122</f>
        <v>2.8258857000000002</v>
      </c>
      <c r="CY30">
        <f>AB30</f>
        <v>1153.7</v>
      </c>
      <c r="CZ30">
        <f>AF30</f>
        <v>125.13</v>
      </c>
      <c r="DA30">
        <f>AJ30</f>
        <v>9.2200000000000006</v>
      </c>
      <c r="DB30">
        <v>0</v>
      </c>
    </row>
    <row r="31" spans="1:106" x14ac:dyDescent="0.2">
      <c r="A31">
        <f>ROW(Source!A123)</f>
        <v>123</v>
      </c>
      <c r="B31">
        <v>42446460</v>
      </c>
      <c r="C31">
        <v>42447153</v>
      </c>
      <c r="D31">
        <v>30515951</v>
      </c>
      <c r="E31">
        <v>30515945</v>
      </c>
      <c r="F31">
        <v>1</v>
      </c>
      <c r="G31">
        <v>30515945</v>
      </c>
      <c r="H31">
        <v>1</v>
      </c>
      <c r="I31" t="s">
        <v>418</v>
      </c>
      <c r="J31" t="s">
        <v>3</v>
      </c>
      <c r="K31" t="s">
        <v>419</v>
      </c>
      <c r="L31">
        <v>1191</v>
      </c>
      <c r="N31">
        <v>1013</v>
      </c>
      <c r="O31" t="s">
        <v>420</v>
      </c>
      <c r="P31" t="s">
        <v>420</v>
      </c>
      <c r="Q31">
        <v>1</v>
      </c>
      <c r="W31">
        <v>0</v>
      </c>
      <c r="X31">
        <v>476480486</v>
      </c>
      <c r="Y31">
        <v>132.69999999999999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1</v>
      </c>
      <c r="AJ31">
        <v>1</v>
      </c>
      <c r="AK31">
        <v>1</v>
      </c>
      <c r="AL31">
        <v>1</v>
      </c>
      <c r="AN31">
        <v>0</v>
      </c>
      <c r="AO31">
        <v>1</v>
      </c>
      <c r="AP31">
        <v>0</v>
      </c>
      <c r="AQ31">
        <v>0</v>
      </c>
      <c r="AR31">
        <v>0</v>
      </c>
      <c r="AS31" t="s">
        <v>3</v>
      </c>
      <c r="AT31">
        <v>132.69999999999999</v>
      </c>
      <c r="AU31" t="s">
        <v>3</v>
      </c>
      <c r="AV31">
        <v>1</v>
      </c>
      <c r="AW31">
        <v>2</v>
      </c>
      <c r="AX31">
        <v>42447155</v>
      </c>
      <c r="AY31">
        <v>1</v>
      </c>
      <c r="AZ31">
        <v>0</v>
      </c>
      <c r="BA31">
        <v>33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X31">
        <f>Y31*Source!I123</f>
        <v>104.95242999999999</v>
      </c>
      <c r="CY31">
        <f>AD31</f>
        <v>0</v>
      </c>
      <c r="CZ31">
        <f>AH31</f>
        <v>0</v>
      </c>
      <c r="DA31">
        <f>AL31</f>
        <v>1</v>
      </c>
      <c r="DB31">
        <v>0</v>
      </c>
    </row>
    <row r="32" spans="1:106" x14ac:dyDescent="0.2">
      <c r="A32">
        <f>ROW(Source!A160)</f>
        <v>160</v>
      </c>
      <c r="B32">
        <v>42446460</v>
      </c>
      <c r="C32">
        <v>42447165</v>
      </c>
      <c r="D32">
        <v>30515951</v>
      </c>
      <c r="E32">
        <v>30515945</v>
      </c>
      <c r="F32">
        <v>1</v>
      </c>
      <c r="G32">
        <v>30515945</v>
      </c>
      <c r="H32">
        <v>1</v>
      </c>
      <c r="I32" t="s">
        <v>418</v>
      </c>
      <c r="J32" t="s">
        <v>3</v>
      </c>
      <c r="K32" t="s">
        <v>419</v>
      </c>
      <c r="L32">
        <v>1191</v>
      </c>
      <c r="N32">
        <v>1013</v>
      </c>
      <c r="O32" t="s">
        <v>420</v>
      </c>
      <c r="P32" t="s">
        <v>420</v>
      </c>
      <c r="Q32">
        <v>1</v>
      </c>
      <c r="W32">
        <v>0</v>
      </c>
      <c r="X32">
        <v>476480486</v>
      </c>
      <c r="Y32">
        <v>10.8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1</v>
      </c>
      <c r="AJ32">
        <v>1</v>
      </c>
      <c r="AK32">
        <v>1</v>
      </c>
      <c r="AL32">
        <v>1</v>
      </c>
      <c r="AN32">
        <v>0</v>
      </c>
      <c r="AO32">
        <v>1</v>
      </c>
      <c r="AP32">
        <v>0</v>
      </c>
      <c r="AQ32">
        <v>0</v>
      </c>
      <c r="AR32">
        <v>0</v>
      </c>
      <c r="AS32" t="s">
        <v>3</v>
      </c>
      <c r="AT32">
        <v>10.8</v>
      </c>
      <c r="AU32" t="s">
        <v>3</v>
      </c>
      <c r="AV32">
        <v>1</v>
      </c>
      <c r="AW32">
        <v>2</v>
      </c>
      <c r="AX32">
        <v>42447169</v>
      </c>
      <c r="AY32">
        <v>1</v>
      </c>
      <c r="AZ32">
        <v>0</v>
      </c>
      <c r="BA32">
        <v>35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X32">
        <f>Y32*Source!I160</f>
        <v>1.0368000000000002</v>
      </c>
      <c r="CY32">
        <f>AD32</f>
        <v>0</v>
      </c>
      <c r="CZ32">
        <f>AH32</f>
        <v>0</v>
      </c>
      <c r="DA32">
        <f>AL32</f>
        <v>1</v>
      </c>
      <c r="DB32">
        <v>0</v>
      </c>
    </row>
    <row r="33" spans="1:106" x14ac:dyDescent="0.2">
      <c r="A33">
        <f>ROW(Source!A160)</f>
        <v>160</v>
      </c>
      <c r="B33">
        <v>42446460</v>
      </c>
      <c r="C33">
        <v>42447165</v>
      </c>
      <c r="D33">
        <v>30595693</v>
      </c>
      <c r="E33">
        <v>1</v>
      </c>
      <c r="F33">
        <v>1</v>
      </c>
      <c r="G33">
        <v>30515945</v>
      </c>
      <c r="H33">
        <v>2</v>
      </c>
      <c r="I33" t="s">
        <v>427</v>
      </c>
      <c r="J33" t="s">
        <v>428</v>
      </c>
      <c r="K33" t="s">
        <v>429</v>
      </c>
      <c r="L33">
        <v>1367</v>
      </c>
      <c r="N33">
        <v>1011</v>
      </c>
      <c r="O33" t="s">
        <v>409</v>
      </c>
      <c r="P33" t="s">
        <v>409</v>
      </c>
      <c r="Q33">
        <v>1</v>
      </c>
      <c r="W33">
        <v>0</v>
      </c>
      <c r="X33">
        <v>2125593233</v>
      </c>
      <c r="Y33">
        <v>10.5</v>
      </c>
      <c r="AA33">
        <v>0</v>
      </c>
      <c r="AB33">
        <v>571.24</v>
      </c>
      <c r="AC33">
        <v>334.67</v>
      </c>
      <c r="AD33">
        <v>0</v>
      </c>
      <c r="AE33">
        <v>0</v>
      </c>
      <c r="AF33">
        <v>60.77</v>
      </c>
      <c r="AG33">
        <v>18.48</v>
      </c>
      <c r="AH33">
        <v>0</v>
      </c>
      <c r="AI33">
        <v>1</v>
      </c>
      <c r="AJ33">
        <v>9.4</v>
      </c>
      <c r="AK33">
        <v>18.11</v>
      </c>
      <c r="AL33">
        <v>1</v>
      </c>
      <c r="AN33">
        <v>0</v>
      </c>
      <c r="AO33">
        <v>1</v>
      </c>
      <c r="AP33">
        <v>0</v>
      </c>
      <c r="AQ33">
        <v>0</v>
      </c>
      <c r="AR33">
        <v>0</v>
      </c>
      <c r="AS33" t="s">
        <v>3</v>
      </c>
      <c r="AT33">
        <v>10.5</v>
      </c>
      <c r="AU33" t="s">
        <v>3</v>
      </c>
      <c r="AV33">
        <v>0</v>
      </c>
      <c r="AW33">
        <v>2</v>
      </c>
      <c r="AX33">
        <v>42447170</v>
      </c>
      <c r="AY33">
        <v>1</v>
      </c>
      <c r="AZ33">
        <v>0</v>
      </c>
      <c r="BA33">
        <v>36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X33">
        <f>Y33*Source!I160</f>
        <v>1.008</v>
      </c>
      <c r="CY33">
        <f>AB33</f>
        <v>571.24</v>
      </c>
      <c r="CZ33">
        <f>AF33</f>
        <v>60.77</v>
      </c>
      <c r="DA33">
        <f>AJ33</f>
        <v>9.4</v>
      </c>
      <c r="DB33">
        <v>0</v>
      </c>
    </row>
    <row r="34" spans="1:106" x14ac:dyDescent="0.2">
      <c r="A34">
        <f>ROW(Source!A160)</f>
        <v>160</v>
      </c>
      <c r="B34">
        <v>42446460</v>
      </c>
      <c r="C34">
        <v>42447165</v>
      </c>
      <c r="D34">
        <v>30596103</v>
      </c>
      <c r="E34">
        <v>1</v>
      </c>
      <c r="F34">
        <v>1</v>
      </c>
      <c r="G34">
        <v>30515945</v>
      </c>
      <c r="H34">
        <v>2</v>
      </c>
      <c r="I34" t="s">
        <v>430</v>
      </c>
      <c r="J34" t="s">
        <v>431</v>
      </c>
      <c r="K34" t="s">
        <v>432</v>
      </c>
      <c r="L34">
        <v>1367</v>
      </c>
      <c r="N34">
        <v>1011</v>
      </c>
      <c r="O34" t="s">
        <v>409</v>
      </c>
      <c r="P34" t="s">
        <v>409</v>
      </c>
      <c r="Q34">
        <v>1</v>
      </c>
      <c r="W34">
        <v>0</v>
      </c>
      <c r="X34">
        <v>1280158331</v>
      </c>
      <c r="Y34">
        <v>10.5</v>
      </c>
      <c r="AA34">
        <v>0</v>
      </c>
      <c r="AB34">
        <v>2.83</v>
      </c>
      <c r="AC34">
        <v>1.63</v>
      </c>
      <c r="AD34">
        <v>0</v>
      </c>
      <c r="AE34">
        <v>0</v>
      </c>
      <c r="AF34">
        <v>0.56000000000000005</v>
      </c>
      <c r="AG34">
        <v>0.09</v>
      </c>
      <c r="AH34">
        <v>0</v>
      </c>
      <c r="AI34">
        <v>1</v>
      </c>
      <c r="AJ34">
        <v>5.05</v>
      </c>
      <c r="AK34">
        <v>18.11</v>
      </c>
      <c r="AL34">
        <v>1</v>
      </c>
      <c r="AN34">
        <v>0</v>
      </c>
      <c r="AO34">
        <v>1</v>
      </c>
      <c r="AP34">
        <v>0</v>
      </c>
      <c r="AQ34">
        <v>0</v>
      </c>
      <c r="AR34">
        <v>0</v>
      </c>
      <c r="AS34" t="s">
        <v>3</v>
      </c>
      <c r="AT34">
        <v>10.5</v>
      </c>
      <c r="AU34" t="s">
        <v>3</v>
      </c>
      <c r="AV34">
        <v>0</v>
      </c>
      <c r="AW34">
        <v>2</v>
      </c>
      <c r="AX34">
        <v>42447171</v>
      </c>
      <c r="AY34">
        <v>1</v>
      </c>
      <c r="AZ34">
        <v>0</v>
      </c>
      <c r="BA34">
        <v>37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X34">
        <f>Y34*Source!I160</f>
        <v>1.008</v>
      </c>
      <c r="CY34">
        <f>AB34</f>
        <v>2.83</v>
      </c>
      <c r="CZ34">
        <f>AF34</f>
        <v>0.56000000000000005</v>
      </c>
      <c r="DA34">
        <f>AJ34</f>
        <v>5.05</v>
      </c>
      <c r="DB34">
        <v>0</v>
      </c>
    </row>
    <row r="35" spans="1:106" x14ac:dyDescent="0.2">
      <c r="A35">
        <f>ROW(Source!A161)</f>
        <v>161</v>
      </c>
      <c r="B35">
        <v>42446460</v>
      </c>
      <c r="C35">
        <v>42447179</v>
      </c>
      <c r="D35">
        <v>30515951</v>
      </c>
      <c r="E35">
        <v>30515945</v>
      </c>
      <c r="F35">
        <v>1</v>
      </c>
      <c r="G35">
        <v>30515945</v>
      </c>
      <c r="H35">
        <v>1</v>
      </c>
      <c r="I35" t="s">
        <v>418</v>
      </c>
      <c r="J35" t="s">
        <v>3</v>
      </c>
      <c r="K35" t="s">
        <v>419</v>
      </c>
      <c r="L35">
        <v>1191</v>
      </c>
      <c r="N35">
        <v>1013</v>
      </c>
      <c r="O35" t="s">
        <v>420</v>
      </c>
      <c r="P35" t="s">
        <v>420</v>
      </c>
      <c r="Q35">
        <v>1</v>
      </c>
      <c r="W35">
        <v>0</v>
      </c>
      <c r="X35">
        <v>476480486</v>
      </c>
      <c r="Y35">
        <v>132.69999999999999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1</v>
      </c>
      <c r="AJ35">
        <v>1</v>
      </c>
      <c r="AK35">
        <v>1</v>
      </c>
      <c r="AL35">
        <v>1</v>
      </c>
      <c r="AN35">
        <v>0</v>
      </c>
      <c r="AO35">
        <v>1</v>
      </c>
      <c r="AP35">
        <v>0</v>
      </c>
      <c r="AQ35">
        <v>0</v>
      </c>
      <c r="AR35">
        <v>0</v>
      </c>
      <c r="AS35" t="s">
        <v>3</v>
      </c>
      <c r="AT35">
        <v>132.69999999999999</v>
      </c>
      <c r="AU35" t="s">
        <v>3</v>
      </c>
      <c r="AV35">
        <v>1</v>
      </c>
      <c r="AW35">
        <v>2</v>
      </c>
      <c r="AX35">
        <v>42447181</v>
      </c>
      <c r="AY35">
        <v>1</v>
      </c>
      <c r="AZ35">
        <v>0</v>
      </c>
      <c r="BA35">
        <v>38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X35">
        <f>Y35*Source!I161</f>
        <v>6.3695999999999993</v>
      </c>
      <c r="CY35">
        <f t="shared" ref="CY35:CY50" si="0">AD35</f>
        <v>0</v>
      </c>
      <c r="CZ35">
        <f t="shared" ref="CZ35:CZ50" si="1">AH35</f>
        <v>0</v>
      </c>
      <c r="DA35">
        <f t="shared" ref="DA35:DA50" si="2">AL35</f>
        <v>1</v>
      </c>
      <c r="DB35">
        <v>0</v>
      </c>
    </row>
    <row r="36" spans="1:106" x14ac:dyDescent="0.2">
      <c r="A36">
        <f>ROW(Source!A196)</f>
        <v>196</v>
      </c>
      <c r="B36">
        <v>42446460</v>
      </c>
      <c r="C36">
        <v>42447182</v>
      </c>
      <c r="D36">
        <v>30515951</v>
      </c>
      <c r="E36">
        <v>30515945</v>
      </c>
      <c r="F36">
        <v>1</v>
      </c>
      <c r="G36">
        <v>30515945</v>
      </c>
      <c r="H36">
        <v>1</v>
      </c>
      <c r="I36" t="s">
        <v>418</v>
      </c>
      <c r="J36" t="s">
        <v>3</v>
      </c>
      <c r="K36" t="s">
        <v>419</v>
      </c>
      <c r="L36">
        <v>1191</v>
      </c>
      <c r="N36">
        <v>1013</v>
      </c>
      <c r="O36" t="s">
        <v>420</v>
      </c>
      <c r="P36" t="s">
        <v>420</v>
      </c>
      <c r="Q36">
        <v>1</v>
      </c>
      <c r="W36">
        <v>0</v>
      </c>
      <c r="X36">
        <v>476480486</v>
      </c>
      <c r="Y36">
        <v>11.8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1</v>
      </c>
      <c r="AJ36">
        <v>1</v>
      </c>
      <c r="AK36">
        <v>1</v>
      </c>
      <c r="AL36">
        <v>1</v>
      </c>
      <c r="AN36">
        <v>0</v>
      </c>
      <c r="AO36">
        <v>1</v>
      </c>
      <c r="AP36">
        <v>0</v>
      </c>
      <c r="AQ36">
        <v>0</v>
      </c>
      <c r="AR36">
        <v>0</v>
      </c>
      <c r="AS36" t="s">
        <v>3</v>
      </c>
      <c r="AT36">
        <v>11.8</v>
      </c>
      <c r="AU36" t="s">
        <v>3</v>
      </c>
      <c r="AV36">
        <v>1</v>
      </c>
      <c r="AW36">
        <v>2</v>
      </c>
      <c r="AX36">
        <v>42447184</v>
      </c>
      <c r="AY36">
        <v>1</v>
      </c>
      <c r="AZ36">
        <v>6144</v>
      </c>
      <c r="BA36">
        <v>39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X36">
        <f>Y36*Source!I196</f>
        <v>85.195999999999998</v>
      </c>
      <c r="CY36">
        <f t="shared" si="0"/>
        <v>0</v>
      </c>
      <c r="CZ36">
        <f t="shared" si="1"/>
        <v>0</v>
      </c>
      <c r="DA36">
        <f t="shared" si="2"/>
        <v>1</v>
      </c>
      <c r="DB36">
        <v>0</v>
      </c>
    </row>
    <row r="37" spans="1:106" x14ac:dyDescent="0.2">
      <c r="A37">
        <f>ROW(Source!A197)</f>
        <v>197</v>
      </c>
      <c r="B37">
        <v>42446460</v>
      </c>
      <c r="C37">
        <v>42447185</v>
      </c>
      <c r="D37">
        <v>30515951</v>
      </c>
      <c r="E37">
        <v>30515945</v>
      </c>
      <c r="F37">
        <v>1</v>
      </c>
      <c r="G37">
        <v>30515945</v>
      </c>
      <c r="H37">
        <v>1</v>
      </c>
      <c r="I37" t="s">
        <v>418</v>
      </c>
      <c r="J37" t="s">
        <v>3</v>
      </c>
      <c r="K37" t="s">
        <v>419</v>
      </c>
      <c r="L37">
        <v>1191</v>
      </c>
      <c r="N37">
        <v>1013</v>
      </c>
      <c r="O37" t="s">
        <v>420</v>
      </c>
      <c r="P37" t="s">
        <v>420</v>
      </c>
      <c r="Q37">
        <v>1</v>
      </c>
      <c r="W37">
        <v>0</v>
      </c>
      <c r="X37">
        <v>476480486</v>
      </c>
      <c r="Y37">
        <v>24.8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1</v>
      </c>
      <c r="AJ37">
        <v>1</v>
      </c>
      <c r="AK37">
        <v>1</v>
      </c>
      <c r="AL37">
        <v>1</v>
      </c>
      <c r="AN37">
        <v>0</v>
      </c>
      <c r="AO37">
        <v>1</v>
      </c>
      <c r="AP37">
        <v>0</v>
      </c>
      <c r="AQ37">
        <v>0</v>
      </c>
      <c r="AR37">
        <v>0</v>
      </c>
      <c r="AS37" t="s">
        <v>3</v>
      </c>
      <c r="AT37">
        <v>24.8</v>
      </c>
      <c r="AU37" t="s">
        <v>3</v>
      </c>
      <c r="AV37">
        <v>1</v>
      </c>
      <c r="AW37">
        <v>2</v>
      </c>
      <c r="AX37">
        <v>42447187</v>
      </c>
      <c r="AY37">
        <v>1</v>
      </c>
      <c r="AZ37">
        <v>0</v>
      </c>
      <c r="BA37">
        <v>40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X37">
        <f>Y37*Source!I197</f>
        <v>20.335999999999999</v>
      </c>
      <c r="CY37">
        <f t="shared" si="0"/>
        <v>0</v>
      </c>
      <c r="CZ37">
        <f t="shared" si="1"/>
        <v>0</v>
      </c>
      <c r="DA37">
        <f t="shared" si="2"/>
        <v>1</v>
      </c>
      <c r="DB37">
        <v>0</v>
      </c>
    </row>
    <row r="38" spans="1:106" x14ac:dyDescent="0.2">
      <c r="A38">
        <f>ROW(Source!A198)</f>
        <v>198</v>
      </c>
      <c r="B38">
        <v>42446460</v>
      </c>
      <c r="C38">
        <v>42582541</v>
      </c>
      <c r="D38">
        <v>30515951</v>
      </c>
      <c r="E38">
        <v>30515945</v>
      </c>
      <c r="F38">
        <v>1</v>
      </c>
      <c r="G38">
        <v>30515945</v>
      </c>
      <c r="H38">
        <v>1</v>
      </c>
      <c r="I38" t="s">
        <v>418</v>
      </c>
      <c r="J38" t="s">
        <v>3</v>
      </c>
      <c r="K38" t="s">
        <v>419</v>
      </c>
      <c r="L38">
        <v>1191</v>
      </c>
      <c r="N38">
        <v>1013</v>
      </c>
      <c r="O38" t="s">
        <v>420</v>
      </c>
      <c r="P38" t="s">
        <v>420</v>
      </c>
      <c r="Q38">
        <v>1</v>
      </c>
      <c r="W38">
        <v>0</v>
      </c>
      <c r="X38">
        <v>476480486</v>
      </c>
      <c r="Y38">
        <v>26.7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1</v>
      </c>
      <c r="AJ38">
        <v>1</v>
      </c>
      <c r="AK38">
        <v>1</v>
      </c>
      <c r="AL38">
        <v>1</v>
      </c>
      <c r="AN38">
        <v>0</v>
      </c>
      <c r="AO38">
        <v>1</v>
      </c>
      <c r="AP38">
        <v>0</v>
      </c>
      <c r="AQ38">
        <v>0</v>
      </c>
      <c r="AR38">
        <v>0</v>
      </c>
      <c r="AS38" t="s">
        <v>3</v>
      </c>
      <c r="AT38">
        <v>26.7</v>
      </c>
      <c r="AU38" t="s">
        <v>3</v>
      </c>
      <c r="AV38">
        <v>1</v>
      </c>
      <c r="AW38">
        <v>2</v>
      </c>
      <c r="AX38">
        <v>42582580</v>
      </c>
      <c r="AY38">
        <v>1</v>
      </c>
      <c r="AZ38">
        <v>6144</v>
      </c>
      <c r="BA38">
        <v>41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X38">
        <f>Y38*Source!I198</f>
        <v>2.67</v>
      </c>
      <c r="CY38">
        <f t="shared" si="0"/>
        <v>0</v>
      </c>
      <c r="CZ38">
        <f t="shared" si="1"/>
        <v>0</v>
      </c>
      <c r="DA38">
        <f t="shared" si="2"/>
        <v>1</v>
      </c>
      <c r="DB38">
        <v>0</v>
      </c>
    </row>
    <row r="39" spans="1:106" x14ac:dyDescent="0.2">
      <c r="A39">
        <f>ROW(Source!A200)</f>
        <v>200</v>
      </c>
      <c r="B39">
        <v>42446460</v>
      </c>
      <c r="C39">
        <v>42447192</v>
      </c>
      <c r="D39">
        <v>30515951</v>
      </c>
      <c r="E39">
        <v>30515945</v>
      </c>
      <c r="F39">
        <v>1</v>
      </c>
      <c r="G39">
        <v>30515945</v>
      </c>
      <c r="H39">
        <v>1</v>
      </c>
      <c r="I39" t="s">
        <v>418</v>
      </c>
      <c r="J39" t="s">
        <v>3</v>
      </c>
      <c r="K39" t="s">
        <v>419</v>
      </c>
      <c r="L39">
        <v>1191</v>
      </c>
      <c r="N39">
        <v>1013</v>
      </c>
      <c r="O39" t="s">
        <v>420</v>
      </c>
      <c r="P39" t="s">
        <v>420</v>
      </c>
      <c r="Q39">
        <v>1</v>
      </c>
      <c r="W39">
        <v>0</v>
      </c>
      <c r="X39">
        <v>476480486</v>
      </c>
      <c r="Y39">
        <v>18.8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1</v>
      </c>
      <c r="AJ39">
        <v>1</v>
      </c>
      <c r="AK39">
        <v>1</v>
      </c>
      <c r="AL39">
        <v>1</v>
      </c>
      <c r="AN39">
        <v>0</v>
      </c>
      <c r="AO39">
        <v>1</v>
      </c>
      <c r="AP39">
        <v>0</v>
      </c>
      <c r="AQ39">
        <v>0</v>
      </c>
      <c r="AR39">
        <v>0</v>
      </c>
      <c r="AS39" t="s">
        <v>3</v>
      </c>
      <c r="AT39">
        <v>18.8</v>
      </c>
      <c r="AU39" t="s">
        <v>3</v>
      </c>
      <c r="AV39">
        <v>1</v>
      </c>
      <c r="AW39">
        <v>2</v>
      </c>
      <c r="AX39">
        <v>42447194</v>
      </c>
      <c r="AY39">
        <v>1</v>
      </c>
      <c r="AZ39">
        <v>0</v>
      </c>
      <c r="BA39">
        <v>42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X39">
        <f>Y39*Source!I200</f>
        <v>207.17599999999999</v>
      </c>
      <c r="CY39">
        <f t="shared" si="0"/>
        <v>0</v>
      </c>
      <c r="CZ39">
        <f t="shared" si="1"/>
        <v>0</v>
      </c>
      <c r="DA39">
        <f t="shared" si="2"/>
        <v>1</v>
      </c>
      <c r="DB39">
        <v>0</v>
      </c>
    </row>
    <row r="40" spans="1:106" x14ac:dyDescent="0.2">
      <c r="A40">
        <f>ROW(Source!A201)</f>
        <v>201</v>
      </c>
      <c r="B40">
        <v>42446460</v>
      </c>
      <c r="C40">
        <v>42447195</v>
      </c>
      <c r="D40">
        <v>30515951</v>
      </c>
      <c r="E40">
        <v>30515945</v>
      </c>
      <c r="F40">
        <v>1</v>
      </c>
      <c r="G40">
        <v>30515945</v>
      </c>
      <c r="H40">
        <v>1</v>
      </c>
      <c r="I40" t="s">
        <v>418</v>
      </c>
      <c r="J40" t="s">
        <v>3</v>
      </c>
      <c r="K40" t="s">
        <v>419</v>
      </c>
      <c r="L40">
        <v>1191</v>
      </c>
      <c r="N40">
        <v>1013</v>
      </c>
      <c r="O40" t="s">
        <v>420</v>
      </c>
      <c r="P40" t="s">
        <v>420</v>
      </c>
      <c r="Q40">
        <v>1</v>
      </c>
      <c r="W40">
        <v>0</v>
      </c>
      <c r="X40">
        <v>476480486</v>
      </c>
      <c r="Y40">
        <v>24.8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1</v>
      </c>
      <c r="AJ40">
        <v>1</v>
      </c>
      <c r="AK40">
        <v>1</v>
      </c>
      <c r="AL40">
        <v>1</v>
      </c>
      <c r="AN40">
        <v>0</v>
      </c>
      <c r="AO40">
        <v>1</v>
      </c>
      <c r="AP40">
        <v>0</v>
      </c>
      <c r="AQ40">
        <v>0</v>
      </c>
      <c r="AR40">
        <v>0</v>
      </c>
      <c r="AS40" t="s">
        <v>3</v>
      </c>
      <c r="AT40">
        <v>24.8</v>
      </c>
      <c r="AU40" t="s">
        <v>3</v>
      </c>
      <c r="AV40">
        <v>1</v>
      </c>
      <c r="AW40">
        <v>2</v>
      </c>
      <c r="AX40">
        <v>42447197</v>
      </c>
      <c r="AY40">
        <v>1</v>
      </c>
      <c r="AZ40">
        <v>0</v>
      </c>
      <c r="BA40">
        <v>43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X40">
        <f>Y40*Source!I201</f>
        <v>98.952000000000012</v>
      </c>
      <c r="CY40">
        <f t="shared" si="0"/>
        <v>0</v>
      </c>
      <c r="CZ40">
        <f t="shared" si="1"/>
        <v>0</v>
      </c>
      <c r="DA40">
        <f t="shared" si="2"/>
        <v>1</v>
      </c>
      <c r="DB40">
        <v>0</v>
      </c>
    </row>
    <row r="41" spans="1:106" x14ac:dyDescent="0.2">
      <c r="A41">
        <f>ROW(Source!A202)</f>
        <v>202</v>
      </c>
      <c r="B41">
        <v>42446460</v>
      </c>
      <c r="C41">
        <v>42447198</v>
      </c>
      <c r="D41">
        <v>30515951</v>
      </c>
      <c r="E41">
        <v>30515945</v>
      </c>
      <c r="F41">
        <v>1</v>
      </c>
      <c r="G41">
        <v>30515945</v>
      </c>
      <c r="H41">
        <v>1</v>
      </c>
      <c r="I41" t="s">
        <v>418</v>
      </c>
      <c r="J41" t="s">
        <v>3</v>
      </c>
      <c r="K41" t="s">
        <v>419</v>
      </c>
      <c r="L41">
        <v>1191</v>
      </c>
      <c r="N41">
        <v>1013</v>
      </c>
      <c r="O41" t="s">
        <v>420</v>
      </c>
      <c r="P41" t="s">
        <v>420</v>
      </c>
      <c r="Q41">
        <v>1</v>
      </c>
      <c r="W41">
        <v>0</v>
      </c>
      <c r="X41">
        <v>476480486</v>
      </c>
      <c r="Y41">
        <v>20.100000000000001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1</v>
      </c>
      <c r="AJ41">
        <v>1</v>
      </c>
      <c r="AK41">
        <v>1</v>
      </c>
      <c r="AL41">
        <v>1</v>
      </c>
      <c r="AN41">
        <v>0</v>
      </c>
      <c r="AO41">
        <v>1</v>
      </c>
      <c r="AP41">
        <v>0</v>
      </c>
      <c r="AQ41">
        <v>0</v>
      </c>
      <c r="AR41">
        <v>0</v>
      </c>
      <c r="AS41" t="s">
        <v>3</v>
      </c>
      <c r="AT41">
        <v>20.100000000000001</v>
      </c>
      <c r="AU41" t="s">
        <v>3</v>
      </c>
      <c r="AV41">
        <v>1</v>
      </c>
      <c r="AW41">
        <v>2</v>
      </c>
      <c r="AX41">
        <v>42582581</v>
      </c>
      <c r="AY41">
        <v>1</v>
      </c>
      <c r="AZ41">
        <v>6144</v>
      </c>
      <c r="BA41">
        <v>44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X41">
        <f>Y41*Source!I202</f>
        <v>19.094999999999999</v>
      </c>
      <c r="CY41">
        <f t="shared" si="0"/>
        <v>0</v>
      </c>
      <c r="CZ41">
        <f t="shared" si="1"/>
        <v>0</v>
      </c>
      <c r="DA41">
        <f t="shared" si="2"/>
        <v>1</v>
      </c>
      <c r="DB41">
        <v>0</v>
      </c>
    </row>
    <row r="42" spans="1:106" x14ac:dyDescent="0.2">
      <c r="A42">
        <f>ROW(Source!A204)</f>
        <v>204</v>
      </c>
      <c r="B42">
        <v>42446460</v>
      </c>
      <c r="C42">
        <v>42447202</v>
      </c>
      <c r="D42">
        <v>30515951</v>
      </c>
      <c r="E42">
        <v>30515945</v>
      </c>
      <c r="F42">
        <v>1</v>
      </c>
      <c r="G42">
        <v>30515945</v>
      </c>
      <c r="H42">
        <v>1</v>
      </c>
      <c r="I42" t="s">
        <v>418</v>
      </c>
      <c r="J42" t="s">
        <v>3</v>
      </c>
      <c r="K42" t="s">
        <v>419</v>
      </c>
      <c r="L42">
        <v>1191</v>
      </c>
      <c r="N42">
        <v>1013</v>
      </c>
      <c r="O42" t="s">
        <v>420</v>
      </c>
      <c r="P42" t="s">
        <v>420</v>
      </c>
      <c r="Q42">
        <v>1</v>
      </c>
      <c r="W42">
        <v>0</v>
      </c>
      <c r="X42">
        <v>476480486</v>
      </c>
      <c r="Y42">
        <v>14.4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1</v>
      </c>
      <c r="AJ42">
        <v>1</v>
      </c>
      <c r="AK42">
        <v>1</v>
      </c>
      <c r="AL42">
        <v>1</v>
      </c>
      <c r="AN42">
        <v>0</v>
      </c>
      <c r="AO42">
        <v>1</v>
      </c>
      <c r="AP42">
        <v>0</v>
      </c>
      <c r="AQ42">
        <v>0</v>
      </c>
      <c r="AR42">
        <v>0</v>
      </c>
      <c r="AS42" t="s">
        <v>3</v>
      </c>
      <c r="AT42">
        <v>14.4</v>
      </c>
      <c r="AU42" t="s">
        <v>3</v>
      </c>
      <c r="AV42">
        <v>1</v>
      </c>
      <c r="AW42">
        <v>2</v>
      </c>
      <c r="AX42">
        <v>42447204</v>
      </c>
      <c r="AY42">
        <v>1</v>
      </c>
      <c r="AZ42">
        <v>6144</v>
      </c>
      <c r="BA42">
        <v>45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X42">
        <f>Y42*Source!I204</f>
        <v>38.880000000000003</v>
      </c>
      <c r="CY42">
        <f t="shared" si="0"/>
        <v>0</v>
      </c>
      <c r="CZ42">
        <f t="shared" si="1"/>
        <v>0</v>
      </c>
      <c r="DA42">
        <f t="shared" si="2"/>
        <v>1</v>
      </c>
      <c r="DB42">
        <v>0</v>
      </c>
    </row>
    <row r="43" spans="1:106" x14ac:dyDescent="0.2">
      <c r="A43">
        <f>ROW(Source!A205)</f>
        <v>205</v>
      </c>
      <c r="B43">
        <v>42446460</v>
      </c>
      <c r="C43">
        <v>42447205</v>
      </c>
      <c r="D43">
        <v>30515951</v>
      </c>
      <c r="E43">
        <v>30515945</v>
      </c>
      <c r="F43">
        <v>1</v>
      </c>
      <c r="G43">
        <v>30515945</v>
      </c>
      <c r="H43">
        <v>1</v>
      </c>
      <c r="I43" t="s">
        <v>418</v>
      </c>
      <c r="J43" t="s">
        <v>3</v>
      </c>
      <c r="K43" t="s">
        <v>419</v>
      </c>
      <c r="L43">
        <v>1191</v>
      </c>
      <c r="N43">
        <v>1013</v>
      </c>
      <c r="O43" t="s">
        <v>420</v>
      </c>
      <c r="P43" t="s">
        <v>420</v>
      </c>
      <c r="Q43">
        <v>1</v>
      </c>
      <c r="W43">
        <v>0</v>
      </c>
      <c r="X43">
        <v>476480486</v>
      </c>
      <c r="Y43">
        <v>15.8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1</v>
      </c>
      <c r="AJ43">
        <v>1</v>
      </c>
      <c r="AK43">
        <v>1</v>
      </c>
      <c r="AL43">
        <v>1</v>
      </c>
      <c r="AN43">
        <v>0</v>
      </c>
      <c r="AO43">
        <v>1</v>
      </c>
      <c r="AP43">
        <v>0</v>
      </c>
      <c r="AQ43">
        <v>0</v>
      </c>
      <c r="AR43">
        <v>0</v>
      </c>
      <c r="AS43" t="s">
        <v>3</v>
      </c>
      <c r="AT43">
        <v>15.8</v>
      </c>
      <c r="AU43" t="s">
        <v>3</v>
      </c>
      <c r="AV43">
        <v>1</v>
      </c>
      <c r="AW43">
        <v>2</v>
      </c>
      <c r="AX43">
        <v>42447207</v>
      </c>
      <c r="AY43">
        <v>1</v>
      </c>
      <c r="AZ43">
        <v>0</v>
      </c>
      <c r="BA43">
        <v>46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X43">
        <f>Y43*Source!I205</f>
        <v>7.9</v>
      </c>
      <c r="CY43">
        <f t="shared" si="0"/>
        <v>0</v>
      </c>
      <c r="CZ43">
        <f t="shared" si="1"/>
        <v>0</v>
      </c>
      <c r="DA43">
        <f t="shared" si="2"/>
        <v>1</v>
      </c>
      <c r="DB43">
        <v>0</v>
      </c>
    </row>
    <row r="44" spans="1:106" x14ac:dyDescent="0.2">
      <c r="A44">
        <f>ROW(Source!A206)</f>
        <v>206</v>
      </c>
      <c r="B44">
        <v>42446460</v>
      </c>
      <c r="C44">
        <v>42447208</v>
      </c>
      <c r="D44">
        <v>30515951</v>
      </c>
      <c r="E44">
        <v>30515945</v>
      </c>
      <c r="F44">
        <v>1</v>
      </c>
      <c r="G44">
        <v>30515945</v>
      </c>
      <c r="H44">
        <v>1</v>
      </c>
      <c r="I44" t="s">
        <v>418</v>
      </c>
      <c r="J44" t="s">
        <v>3</v>
      </c>
      <c r="K44" t="s">
        <v>419</v>
      </c>
      <c r="L44">
        <v>1191</v>
      </c>
      <c r="N44">
        <v>1013</v>
      </c>
      <c r="O44" t="s">
        <v>420</v>
      </c>
      <c r="P44" t="s">
        <v>420</v>
      </c>
      <c r="Q44">
        <v>1</v>
      </c>
      <c r="W44">
        <v>0</v>
      </c>
      <c r="X44">
        <v>476480486</v>
      </c>
      <c r="Y44">
        <v>14.4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1</v>
      </c>
      <c r="AJ44">
        <v>1</v>
      </c>
      <c r="AK44">
        <v>1</v>
      </c>
      <c r="AL44">
        <v>1</v>
      </c>
      <c r="AN44">
        <v>0</v>
      </c>
      <c r="AO44">
        <v>1</v>
      </c>
      <c r="AP44">
        <v>0</v>
      </c>
      <c r="AQ44">
        <v>0</v>
      </c>
      <c r="AR44">
        <v>0</v>
      </c>
      <c r="AS44" t="s">
        <v>3</v>
      </c>
      <c r="AT44">
        <v>14.4</v>
      </c>
      <c r="AU44" t="s">
        <v>3</v>
      </c>
      <c r="AV44">
        <v>1</v>
      </c>
      <c r="AW44">
        <v>2</v>
      </c>
      <c r="AX44">
        <v>42582584</v>
      </c>
      <c r="AY44">
        <v>1</v>
      </c>
      <c r="AZ44">
        <v>6144</v>
      </c>
      <c r="BA44">
        <v>47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X44">
        <f>Y44*Source!I206</f>
        <v>2.8800000000000003</v>
      </c>
      <c r="CY44">
        <f t="shared" si="0"/>
        <v>0</v>
      </c>
      <c r="CZ44">
        <f t="shared" si="1"/>
        <v>0</v>
      </c>
      <c r="DA44">
        <f t="shared" si="2"/>
        <v>1</v>
      </c>
      <c r="DB44">
        <v>0</v>
      </c>
    </row>
    <row r="45" spans="1:106" x14ac:dyDescent="0.2">
      <c r="A45">
        <f>ROW(Source!A208)</f>
        <v>208</v>
      </c>
      <c r="B45">
        <v>42446460</v>
      </c>
      <c r="C45">
        <v>42447213</v>
      </c>
      <c r="D45">
        <v>30515951</v>
      </c>
      <c r="E45">
        <v>30515945</v>
      </c>
      <c r="F45">
        <v>1</v>
      </c>
      <c r="G45">
        <v>30515945</v>
      </c>
      <c r="H45">
        <v>1</v>
      </c>
      <c r="I45" t="s">
        <v>418</v>
      </c>
      <c r="J45" t="s">
        <v>3</v>
      </c>
      <c r="K45" t="s">
        <v>419</v>
      </c>
      <c r="L45">
        <v>1191</v>
      </c>
      <c r="N45">
        <v>1013</v>
      </c>
      <c r="O45" t="s">
        <v>420</v>
      </c>
      <c r="P45" t="s">
        <v>420</v>
      </c>
      <c r="Q45">
        <v>1</v>
      </c>
      <c r="W45">
        <v>0</v>
      </c>
      <c r="X45">
        <v>476480486</v>
      </c>
      <c r="Y45">
        <v>11.8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1</v>
      </c>
      <c r="AJ45">
        <v>1</v>
      </c>
      <c r="AK45">
        <v>1</v>
      </c>
      <c r="AL45">
        <v>1</v>
      </c>
      <c r="AN45">
        <v>0</v>
      </c>
      <c r="AO45">
        <v>1</v>
      </c>
      <c r="AP45">
        <v>0</v>
      </c>
      <c r="AQ45">
        <v>0</v>
      </c>
      <c r="AR45">
        <v>0</v>
      </c>
      <c r="AS45" t="s">
        <v>3</v>
      </c>
      <c r="AT45">
        <v>11.8</v>
      </c>
      <c r="AU45" t="s">
        <v>3</v>
      </c>
      <c r="AV45">
        <v>1</v>
      </c>
      <c r="AW45">
        <v>2</v>
      </c>
      <c r="AX45">
        <v>42447215</v>
      </c>
      <c r="AY45">
        <v>1</v>
      </c>
      <c r="AZ45">
        <v>0</v>
      </c>
      <c r="BA45">
        <v>48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X45">
        <f>Y45*Source!I208</f>
        <v>297.36</v>
      </c>
      <c r="CY45">
        <f t="shared" si="0"/>
        <v>0</v>
      </c>
      <c r="CZ45">
        <f t="shared" si="1"/>
        <v>0</v>
      </c>
      <c r="DA45">
        <f t="shared" si="2"/>
        <v>1</v>
      </c>
      <c r="DB45">
        <v>0</v>
      </c>
    </row>
    <row r="46" spans="1:106" x14ac:dyDescent="0.2">
      <c r="A46">
        <f>ROW(Source!A209)</f>
        <v>209</v>
      </c>
      <c r="B46">
        <v>42446460</v>
      </c>
      <c r="C46">
        <v>42447216</v>
      </c>
      <c r="D46">
        <v>30515951</v>
      </c>
      <c r="E46">
        <v>30515945</v>
      </c>
      <c r="F46">
        <v>1</v>
      </c>
      <c r="G46">
        <v>30515945</v>
      </c>
      <c r="H46">
        <v>1</v>
      </c>
      <c r="I46" t="s">
        <v>418</v>
      </c>
      <c r="J46" t="s">
        <v>3</v>
      </c>
      <c r="K46" t="s">
        <v>419</v>
      </c>
      <c r="L46">
        <v>1191</v>
      </c>
      <c r="N46">
        <v>1013</v>
      </c>
      <c r="O46" t="s">
        <v>420</v>
      </c>
      <c r="P46" t="s">
        <v>420</v>
      </c>
      <c r="Q46">
        <v>1</v>
      </c>
      <c r="W46">
        <v>0</v>
      </c>
      <c r="X46">
        <v>476480486</v>
      </c>
      <c r="Y46">
        <v>10.7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1</v>
      </c>
      <c r="AJ46">
        <v>1</v>
      </c>
      <c r="AK46">
        <v>1</v>
      </c>
      <c r="AL46">
        <v>1</v>
      </c>
      <c r="AN46">
        <v>0</v>
      </c>
      <c r="AO46">
        <v>1</v>
      </c>
      <c r="AP46">
        <v>0</v>
      </c>
      <c r="AQ46">
        <v>0</v>
      </c>
      <c r="AR46">
        <v>0</v>
      </c>
      <c r="AS46" t="s">
        <v>3</v>
      </c>
      <c r="AT46">
        <v>10.7</v>
      </c>
      <c r="AU46" t="s">
        <v>3</v>
      </c>
      <c r="AV46">
        <v>1</v>
      </c>
      <c r="AW46">
        <v>2</v>
      </c>
      <c r="AX46">
        <v>42447218</v>
      </c>
      <c r="AY46">
        <v>1</v>
      </c>
      <c r="AZ46">
        <v>0</v>
      </c>
      <c r="BA46">
        <v>49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X46">
        <f>Y46*Source!I209</f>
        <v>112.35</v>
      </c>
      <c r="CY46">
        <f t="shared" si="0"/>
        <v>0</v>
      </c>
      <c r="CZ46">
        <f t="shared" si="1"/>
        <v>0</v>
      </c>
      <c r="DA46">
        <f t="shared" si="2"/>
        <v>1</v>
      </c>
      <c r="DB46">
        <v>0</v>
      </c>
    </row>
    <row r="47" spans="1:106" x14ac:dyDescent="0.2">
      <c r="A47">
        <f>ROW(Source!A210)</f>
        <v>210</v>
      </c>
      <c r="B47">
        <v>42446460</v>
      </c>
      <c r="C47">
        <v>42447219</v>
      </c>
      <c r="D47">
        <v>30515951</v>
      </c>
      <c r="E47">
        <v>30515945</v>
      </c>
      <c r="F47">
        <v>1</v>
      </c>
      <c r="G47">
        <v>30515945</v>
      </c>
      <c r="H47">
        <v>1</v>
      </c>
      <c r="I47" t="s">
        <v>418</v>
      </c>
      <c r="J47" t="s">
        <v>3</v>
      </c>
      <c r="K47" t="s">
        <v>419</v>
      </c>
      <c r="L47">
        <v>1191</v>
      </c>
      <c r="N47">
        <v>1013</v>
      </c>
      <c r="O47" t="s">
        <v>420</v>
      </c>
      <c r="P47" t="s">
        <v>420</v>
      </c>
      <c r="Q47">
        <v>1</v>
      </c>
      <c r="W47">
        <v>0</v>
      </c>
      <c r="X47">
        <v>476480486</v>
      </c>
      <c r="Y47">
        <v>12.7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1</v>
      </c>
      <c r="AJ47">
        <v>1</v>
      </c>
      <c r="AK47">
        <v>1</v>
      </c>
      <c r="AL47">
        <v>1</v>
      </c>
      <c r="AN47">
        <v>0</v>
      </c>
      <c r="AO47">
        <v>1</v>
      </c>
      <c r="AP47">
        <v>0</v>
      </c>
      <c r="AQ47">
        <v>0</v>
      </c>
      <c r="AR47">
        <v>0</v>
      </c>
      <c r="AS47" t="s">
        <v>3</v>
      </c>
      <c r="AT47">
        <v>12.7</v>
      </c>
      <c r="AU47" t="s">
        <v>3</v>
      </c>
      <c r="AV47">
        <v>1</v>
      </c>
      <c r="AW47">
        <v>2</v>
      </c>
      <c r="AX47">
        <v>42582583</v>
      </c>
      <c r="AY47">
        <v>1</v>
      </c>
      <c r="AZ47">
        <v>6144</v>
      </c>
      <c r="BA47">
        <v>50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CX47">
        <f>Y47*Source!I210</f>
        <v>40.64</v>
      </c>
      <c r="CY47">
        <f t="shared" si="0"/>
        <v>0</v>
      </c>
      <c r="CZ47">
        <f t="shared" si="1"/>
        <v>0</v>
      </c>
      <c r="DA47">
        <f t="shared" si="2"/>
        <v>1</v>
      </c>
      <c r="DB47">
        <v>0</v>
      </c>
    </row>
    <row r="48" spans="1:106" x14ac:dyDescent="0.2">
      <c r="A48">
        <f>ROW(Source!A247)</f>
        <v>247</v>
      </c>
      <c r="B48">
        <v>42446460</v>
      </c>
      <c r="C48">
        <v>42596463</v>
      </c>
      <c r="D48">
        <v>30515951</v>
      </c>
      <c r="E48">
        <v>30515945</v>
      </c>
      <c r="F48">
        <v>1</v>
      </c>
      <c r="G48">
        <v>30515945</v>
      </c>
      <c r="H48">
        <v>1</v>
      </c>
      <c r="I48" t="s">
        <v>418</v>
      </c>
      <c r="J48" t="s">
        <v>3</v>
      </c>
      <c r="K48" t="s">
        <v>419</v>
      </c>
      <c r="L48">
        <v>1191</v>
      </c>
      <c r="N48">
        <v>1013</v>
      </c>
      <c r="O48" t="s">
        <v>420</v>
      </c>
      <c r="P48" t="s">
        <v>420</v>
      </c>
      <c r="Q48">
        <v>1</v>
      </c>
      <c r="W48">
        <v>0</v>
      </c>
      <c r="X48">
        <v>476480486</v>
      </c>
      <c r="Y48">
        <v>16.8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1</v>
      </c>
      <c r="AJ48">
        <v>1</v>
      </c>
      <c r="AK48">
        <v>1</v>
      </c>
      <c r="AL48">
        <v>1</v>
      </c>
      <c r="AN48">
        <v>0</v>
      </c>
      <c r="AO48">
        <v>1</v>
      </c>
      <c r="AP48">
        <v>0</v>
      </c>
      <c r="AQ48">
        <v>0</v>
      </c>
      <c r="AR48">
        <v>0</v>
      </c>
      <c r="AS48" t="s">
        <v>3</v>
      </c>
      <c r="AT48">
        <v>16.8</v>
      </c>
      <c r="AU48" t="s">
        <v>3</v>
      </c>
      <c r="AV48">
        <v>1</v>
      </c>
      <c r="AW48">
        <v>2</v>
      </c>
      <c r="AX48">
        <v>42596464</v>
      </c>
      <c r="AY48">
        <v>1</v>
      </c>
      <c r="AZ48">
        <v>0</v>
      </c>
      <c r="BA48">
        <v>51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X48">
        <f>Y48*Source!I247</f>
        <v>33.6</v>
      </c>
      <c r="CY48">
        <f t="shared" si="0"/>
        <v>0</v>
      </c>
      <c r="CZ48">
        <f t="shared" si="1"/>
        <v>0</v>
      </c>
      <c r="DA48">
        <f t="shared" si="2"/>
        <v>1</v>
      </c>
      <c r="DB48">
        <v>0</v>
      </c>
    </row>
    <row r="49" spans="1:106" x14ac:dyDescent="0.2">
      <c r="A49">
        <f>ROW(Source!A249)</f>
        <v>249</v>
      </c>
      <c r="B49">
        <v>42446460</v>
      </c>
      <c r="C49">
        <v>42582587</v>
      </c>
      <c r="D49">
        <v>30515951</v>
      </c>
      <c r="E49">
        <v>30515945</v>
      </c>
      <c r="F49">
        <v>1</v>
      </c>
      <c r="G49">
        <v>30515945</v>
      </c>
      <c r="H49">
        <v>1</v>
      </c>
      <c r="I49" t="s">
        <v>418</v>
      </c>
      <c r="J49" t="s">
        <v>3</v>
      </c>
      <c r="K49" t="s">
        <v>419</v>
      </c>
      <c r="L49">
        <v>1191</v>
      </c>
      <c r="N49">
        <v>1013</v>
      </c>
      <c r="O49" t="s">
        <v>420</v>
      </c>
      <c r="P49" t="s">
        <v>420</v>
      </c>
      <c r="Q49">
        <v>1</v>
      </c>
      <c r="W49">
        <v>0</v>
      </c>
      <c r="X49">
        <v>476480486</v>
      </c>
      <c r="Y49">
        <v>11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1</v>
      </c>
      <c r="AJ49">
        <v>1</v>
      </c>
      <c r="AK49">
        <v>1</v>
      </c>
      <c r="AL49">
        <v>1</v>
      </c>
      <c r="AN49">
        <v>0</v>
      </c>
      <c r="AO49">
        <v>1</v>
      </c>
      <c r="AP49">
        <v>0</v>
      </c>
      <c r="AQ49">
        <v>0</v>
      </c>
      <c r="AR49">
        <v>0</v>
      </c>
      <c r="AS49" t="s">
        <v>3</v>
      </c>
      <c r="AT49">
        <v>11</v>
      </c>
      <c r="AU49" t="s">
        <v>3</v>
      </c>
      <c r="AV49">
        <v>1</v>
      </c>
      <c r="AW49">
        <v>2</v>
      </c>
      <c r="AX49">
        <v>42582588</v>
      </c>
      <c r="AY49">
        <v>1</v>
      </c>
      <c r="AZ49">
        <v>0</v>
      </c>
      <c r="BA49">
        <v>52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CX49">
        <f>Y49*Source!I249</f>
        <v>88</v>
      </c>
      <c r="CY49">
        <f t="shared" si="0"/>
        <v>0</v>
      </c>
      <c r="CZ49">
        <f t="shared" si="1"/>
        <v>0</v>
      </c>
      <c r="DA49">
        <f t="shared" si="2"/>
        <v>1</v>
      </c>
      <c r="DB49">
        <v>0</v>
      </c>
    </row>
    <row r="50" spans="1:106" x14ac:dyDescent="0.2">
      <c r="A50">
        <f>ROW(Source!A285)</f>
        <v>285</v>
      </c>
      <c r="B50">
        <v>42446460</v>
      </c>
      <c r="C50">
        <v>42447234</v>
      </c>
      <c r="D50">
        <v>30515951</v>
      </c>
      <c r="E50">
        <v>30515945</v>
      </c>
      <c r="F50">
        <v>1</v>
      </c>
      <c r="G50">
        <v>30515945</v>
      </c>
      <c r="H50">
        <v>1</v>
      </c>
      <c r="I50" t="s">
        <v>418</v>
      </c>
      <c r="J50" t="s">
        <v>3</v>
      </c>
      <c r="K50" t="s">
        <v>419</v>
      </c>
      <c r="L50">
        <v>1191</v>
      </c>
      <c r="N50">
        <v>1013</v>
      </c>
      <c r="O50" t="s">
        <v>420</v>
      </c>
      <c r="P50" t="s">
        <v>420</v>
      </c>
      <c r="Q50">
        <v>1</v>
      </c>
      <c r="W50">
        <v>0</v>
      </c>
      <c r="X50">
        <v>476480486</v>
      </c>
      <c r="Y50">
        <v>133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1</v>
      </c>
      <c r="AJ50">
        <v>1</v>
      </c>
      <c r="AK50">
        <v>1</v>
      </c>
      <c r="AL50">
        <v>1</v>
      </c>
      <c r="AN50">
        <v>0</v>
      </c>
      <c r="AO50">
        <v>1</v>
      </c>
      <c r="AP50">
        <v>0</v>
      </c>
      <c r="AQ50">
        <v>0</v>
      </c>
      <c r="AR50">
        <v>0</v>
      </c>
      <c r="AS50" t="s">
        <v>3</v>
      </c>
      <c r="AT50">
        <v>133</v>
      </c>
      <c r="AU50" t="s">
        <v>3</v>
      </c>
      <c r="AV50">
        <v>1</v>
      </c>
      <c r="AW50">
        <v>2</v>
      </c>
      <c r="AX50">
        <v>42582591</v>
      </c>
      <c r="AY50">
        <v>1</v>
      </c>
      <c r="AZ50">
        <v>0</v>
      </c>
      <c r="BA50">
        <v>53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X50">
        <f>Y50*Source!I285</f>
        <v>481.46000000000004</v>
      </c>
      <c r="CY50">
        <f t="shared" si="0"/>
        <v>0</v>
      </c>
      <c r="CZ50">
        <f t="shared" si="1"/>
        <v>0</v>
      </c>
      <c r="DA50">
        <f t="shared" si="2"/>
        <v>1</v>
      </c>
      <c r="DB50">
        <v>0</v>
      </c>
    </row>
    <row r="51" spans="1:106" x14ac:dyDescent="0.2">
      <c r="A51">
        <f>ROW(Source!A285)</f>
        <v>285</v>
      </c>
      <c r="B51">
        <v>42446460</v>
      </c>
      <c r="C51">
        <v>42447234</v>
      </c>
      <c r="D51">
        <v>30541208</v>
      </c>
      <c r="E51">
        <v>30515945</v>
      </c>
      <c r="F51">
        <v>1</v>
      </c>
      <c r="G51">
        <v>30515945</v>
      </c>
      <c r="H51">
        <v>3</v>
      </c>
      <c r="I51" t="s">
        <v>445</v>
      </c>
      <c r="J51" t="s">
        <v>3</v>
      </c>
      <c r="K51" t="s">
        <v>446</v>
      </c>
      <c r="L51">
        <v>1344</v>
      </c>
      <c r="N51">
        <v>1008</v>
      </c>
      <c r="O51" t="s">
        <v>447</v>
      </c>
      <c r="P51" t="s">
        <v>447</v>
      </c>
      <c r="Q51">
        <v>1</v>
      </c>
      <c r="W51">
        <v>0</v>
      </c>
      <c r="X51">
        <v>-94250534</v>
      </c>
      <c r="Y51">
        <v>44.38</v>
      </c>
      <c r="AA51">
        <v>1.08</v>
      </c>
      <c r="AB51">
        <v>0</v>
      </c>
      <c r="AC51">
        <v>0</v>
      </c>
      <c r="AD51">
        <v>0</v>
      </c>
      <c r="AE51">
        <v>1</v>
      </c>
      <c r="AF51">
        <v>0</v>
      </c>
      <c r="AG51">
        <v>0</v>
      </c>
      <c r="AH51">
        <v>0</v>
      </c>
      <c r="AI51">
        <v>1</v>
      </c>
      <c r="AJ51">
        <v>1</v>
      </c>
      <c r="AK51">
        <v>1</v>
      </c>
      <c r="AL51">
        <v>1</v>
      </c>
      <c r="AN51">
        <v>0</v>
      </c>
      <c r="AO51">
        <v>1</v>
      </c>
      <c r="AP51">
        <v>0</v>
      </c>
      <c r="AQ51">
        <v>0</v>
      </c>
      <c r="AR51">
        <v>0</v>
      </c>
      <c r="AS51" t="s">
        <v>3</v>
      </c>
      <c r="AT51">
        <v>44.38</v>
      </c>
      <c r="AU51" t="s">
        <v>3</v>
      </c>
      <c r="AV51">
        <v>0</v>
      </c>
      <c r="AW51">
        <v>2</v>
      </c>
      <c r="AX51">
        <v>42582593</v>
      </c>
      <c r="AY51">
        <v>1</v>
      </c>
      <c r="AZ51">
        <v>0</v>
      </c>
      <c r="BA51">
        <v>55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CX51">
        <f>Y51*Source!I285</f>
        <v>160.65560000000002</v>
      </c>
      <c r="CY51">
        <f>AA51</f>
        <v>1.08</v>
      </c>
      <c r="CZ51">
        <f>AE51</f>
        <v>1</v>
      </c>
      <c r="DA51">
        <f>AI51</f>
        <v>1</v>
      </c>
      <c r="DB51">
        <v>0</v>
      </c>
    </row>
    <row r="52" spans="1:106" x14ac:dyDescent="0.2">
      <c r="A52">
        <f>ROW(Source!A322)</f>
        <v>322</v>
      </c>
      <c r="B52">
        <v>42446460</v>
      </c>
      <c r="C52">
        <v>42447241</v>
      </c>
      <c r="D52">
        <v>30515951</v>
      </c>
      <c r="E52">
        <v>30515945</v>
      </c>
      <c r="F52">
        <v>1</v>
      </c>
      <c r="G52">
        <v>30515945</v>
      </c>
      <c r="H52">
        <v>1</v>
      </c>
      <c r="I52" t="s">
        <v>418</v>
      </c>
      <c r="J52" t="s">
        <v>3</v>
      </c>
      <c r="K52" t="s">
        <v>419</v>
      </c>
      <c r="L52">
        <v>1191</v>
      </c>
      <c r="N52">
        <v>1013</v>
      </c>
      <c r="O52" t="s">
        <v>420</v>
      </c>
      <c r="P52" t="s">
        <v>420</v>
      </c>
      <c r="Q52">
        <v>1</v>
      </c>
      <c r="W52">
        <v>0</v>
      </c>
      <c r="X52">
        <v>476480486</v>
      </c>
      <c r="Y52">
        <v>3.04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1</v>
      </c>
      <c r="AJ52">
        <v>1</v>
      </c>
      <c r="AK52">
        <v>1</v>
      </c>
      <c r="AL52">
        <v>1</v>
      </c>
      <c r="AN52">
        <v>0</v>
      </c>
      <c r="AO52">
        <v>1</v>
      </c>
      <c r="AP52">
        <v>0</v>
      </c>
      <c r="AQ52">
        <v>0</v>
      </c>
      <c r="AR52">
        <v>0</v>
      </c>
      <c r="AS52" t="s">
        <v>3</v>
      </c>
      <c r="AT52">
        <v>3.04</v>
      </c>
      <c r="AU52" t="s">
        <v>3</v>
      </c>
      <c r="AV52">
        <v>1</v>
      </c>
      <c r="AW52">
        <v>2</v>
      </c>
      <c r="AX52">
        <v>42447244</v>
      </c>
      <c r="AY52">
        <v>1</v>
      </c>
      <c r="AZ52">
        <v>0</v>
      </c>
      <c r="BA52">
        <v>56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CX52">
        <f>Y52*Source!I322</f>
        <v>11.552</v>
      </c>
      <c r="CY52">
        <f>AD52</f>
        <v>0</v>
      </c>
      <c r="CZ52">
        <f>AH52</f>
        <v>0</v>
      </c>
      <c r="DA52">
        <f>AL52</f>
        <v>1</v>
      </c>
      <c r="DB52">
        <v>0</v>
      </c>
    </row>
    <row r="53" spans="1:106" x14ac:dyDescent="0.2">
      <c r="A53">
        <f>ROW(Source!A322)</f>
        <v>322</v>
      </c>
      <c r="B53">
        <v>42446460</v>
      </c>
      <c r="C53">
        <v>42447241</v>
      </c>
      <c r="D53">
        <v>30572844</v>
      </c>
      <c r="E53">
        <v>1</v>
      </c>
      <c r="F53">
        <v>1</v>
      </c>
      <c r="G53">
        <v>30515945</v>
      </c>
      <c r="H53">
        <v>3</v>
      </c>
      <c r="I53" t="s">
        <v>278</v>
      </c>
      <c r="J53" t="s">
        <v>281</v>
      </c>
      <c r="K53" t="s">
        <v>279</v>
      </c>
      <c r="L53">
        <v>1348</v>
      </c>
      <c r="N53">
        <v>1009</v>
      </c>
      <c r="O53" t="s">
        <v>280</v>
      </c>
      <c r="P53" t="s">
        <v>280</v>
      </c>
      <c r="Q53">
        <v>1000</v>
      </c>
      <c r="W53">
        <v>0</v>
      </c>
      <c r="X53">
        <v>199408767</v>
      </c>
      <c r="Y53">
        <v>1.5E-3</v>
      </c>
      <c r="AA53">
        <v>286280.96999999997</v>
      </c>
      <c r="AB53">
        <v>0</v>
      </c>
      <c r="AC53">
        <v>0</v>
      </c>
      <c r="AD53">
        <v>0</v>
      </c>
      <c r="AE53">
        <v>152277.10999999999</v>
      </c>
      <c r="AF53">
        <v>0</v>
      </c>
      <c r="AG53">
        <v>0</v>
      </c>
      <c r="AH53">
        <v>0</v>
      </c>
      <c r="AI53">
        <v>1.88</v>
      </c>
      <c r="AJ53">
        <v>1</v>
      </c>
      <c r="AK53">
        <v>1</v>
      </c>
      <c r="AL53">
        <v>1</v>
      </c>
      <c r="AN53">
        <v>0</v>
      </c>
      <c r="AO53">
        <v>0</v>
      </c>
      <c r="AP53">
        <v>0</v>
      </c>
      <c r="AQ53">
        <v>0</v>
      </c>
      <c r="AR53">
        <v>0</v>
      </c>
      <c r="AS53" t="s">
        <v>3</v>
      </c>
      <c r="AT53">
        <v>1.5E-3</v>
      </c>
      <c r="AU53" t="s">
        <v>3</v>
      </c>
      <c r="AV53">
        <v>0</v>
      </c>
      <c r="AW53">
        <v>1</v>
      </c>
      <c r="AX53">
        <v>-1</v>
      </c>
      <c r="AY53">
        <v>0</v>
      </c>
      <c r="AZ53">
        <v>0</v>
      </c>
      <c r="BA53" t="s">
        <v>3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CX53">
        <f>Y53*Source!I322</f>
        <v>5.7000000000000002E-3</v>
      </c>
      <c r="CY53">
        <f>AA53</f>
        <v>286280.96999999997</v>
      </c>
      <c r="CZ53">
        <f>AE53</f>
        <v>152277.10999999999</v>
      </c>
      <c r="DA53">
        <f>AI53</f>
        <v>1.88</v>
      </c>
      <c r="DB53">
        <v>0</v>
      </c>
    </row>
    <row r="54" spans="1:106" x14ac:dyDescent="0.2">
      <c r="A54">
        <f>ROW(Source!A324)</f>
        <v>324</v>
      </c>
      <c r="B54">
        <v>42446460</v>
      </c>
      <c r="C54">
        <v>42582607</v>
      </c>
      <c r="D54">
        <v>30515951</v>
      </c>
      <c r="E54">
        <v>30515945</v>
      </c>
      <c r="F54">
        <v>1</v>
      </c>
      <c r="G54">
        <v>30515945</v>
      </c>
      <c r="H54">
        <v>1</v>
      </c>
      <c r="I54" t="s">
        <v>418</v>
      </c>
      <c r="J54" t="s">
        <v>3</v>
      </c>
      <c r="K54" t="s">
        <v>419</v>
      </c>
      <c r="L54">
        <v>1191</v>
      </c>
      <c r="N54">
        <v>1013</v>
      </c>
      <c r="O54" t="s">
        <v>420</v>
      </c>
      <c r="P54" t="s">
        <v>420</v>
      </c>
      <c r="Q54">
        <v>1</v>
      </c>
      <c r="W54">
        <v>0</v>
      </c>
      <c r="X54">
        <v>476480486</v>
      </c>
      <c r="Y54">
        <v>4.12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1</v>
      </c>
      <c r="AJ54">
        <v>1</v>
      </c>
      <c r="AK54">
        <v>1</v>
      </c>
      <c r="AL54">
        <v>1</v>
      </c>
      <c r="AN54">
        <v>0</v>
      </c>
      <c r="AO54">
        <v>1</v>
      </c>
      <c r="AP54">
        <v>0</v>
      </c>
      <c r="AQ54">
        <v>0</v>
      </c>
      <c r="AR54">
        <v>0</v>
      </c>
      <c r="AS54" t="s">
        <v>3</v>
      </c>
      <c r="AT54">
        <v>4.12</v>
      </c>
      <c r="AU54" t="s">
        <v>3</v>
      </c>
      <c r="AV54">
        <v>1</v>
      </c>
      <c r="AW54">
        <v>2</v>
      </c>
      <c r="AX54">
        <v>42582608</v>
      </c>
      <c r="AY54">
        <v>1</v>
      </c>
      <c r="AZ54">
        <v>0</v>
      </c>
      <c r="BA54">
        <v>58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CX54">
        <f>Y54*Source!I324</f>
        <v>16.48</v>
      </c>
      <c r="CY54">
        <f>AD54</f>
        <v>0</v>
      </c>
      <c r="CZ54">
        <f>AH54</f>
        <v>0</v>
      </c>
      <c r="DA54">
        <f>AL54</f>
        <v>1</v>
      </c>
      <c r="DB54">
        <v>0</v>
      </c>
    </row>
    <row r="55" spans="1:106" x14ac:dyDescent="0.2">
      <c r="A55">
        <f>ROW(Source!A326)</f>
        <v>326</v>
      </c>
      <c r="B55">
        <v>42446460</v>
      </c>
      <c r="C55">
        <v>42447257</v>
      </c>
      <c r="D55">
        <v>30515951</v>
      </c>
      <c r="E55">
        <v>30515945</v>
      </c>
      <c r="F55">
        <v>1</v>
      </c>
      <c r="G55">
        <v>30515945</v>
      </c>
      <c r="H55">
        <v>1</v>
      </c>
      <c r="I55" t="s">
        <v>418</v>
      </c>
      <c r="J55" t="s">
        <v>3</v>
      </c>
      <c r="K55" t="s">
        <v>419</v>
      </c>
      <c r="L55">
        <v>1191</v>
      </c>
      <c r="N55">
        <v>1013</v>
      </c>
      <c r="O55" t="s">
        <v>420</v>
      </c>
      <c r="P55" t="s">
        <v>420</v>
      </c>
      <c r="Q55">
        <v>1</v>
      </c>
      <c r="W55">
        <v>0</v>
      </c>
      <c r="X55">
        <v>476480486</v>
      </c>
      <c r="Y55">
        <v>33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1</v>
      </c>
      <c r="AJ55">
        <v>1</v>
      </c>
      <c r="AK55">
        <v>1</v>
      </c>
      <c r="AL55">
        <v>1</v>
      </c>
      <c r="AN55">
        <v>0</v>
      </c>
      <c r="AO55">
        <v>1</v>
      </c>
      <c r="AP55">
        <v>0</v>
      </c>
      <c r="AQ55">
        <v>0</v>
      </c>
      <c r="AR55">
        <v>0</v>
      </c>
      <c r="AS55" t="s">
        <v>3</v>
      </c>
      <c r="AT55">
        <v>33</v>
      </c>
      <c r="AU55" t="s">
        <v>3</v>
      </c>
      <c r="AV55">
        <v>1</v>
      </c>
      <c r="AW55">
        <v>2</v>
      </c>
      <c r="AX55">
        <v>42596442</v>
      </c>
      <c r="AY55">
        <v>1</v>
      </c>
      <c r="AZ55">
        <v>6144</v>
      </c>
      <c r="BA55">
        <v>59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CX55">
        <f>Y55*Source!I326</f>
        <v>825</v>
      </c>
      <c r="CY55">
        <f>AD55</f>
        <v>0</v>
      </c>
      <c r="CZ55">
        <f>AH55</f>
        <v>0</v>
      </c>
      <c r="DA55">
        <f>AL55</f>
        <v>1</v>
      </c>
      <c r="DB55">
        <v>0</v>
      </c>
    </row>
    <row r="56" spans="1:106" x14ac:dyDescent="0.2">
      <c r="A56">
        <f>ROW(Source!A326)</f>
        <v>326</v>
      </c>
      <c r="B56">
        <v>42446460</v>
      </c>
      <c r="C56">
        <v>42447257</v>
      </c>
      <c r="D56">
        <v>30541193</v>
      </c>
      <c r="E56">
        <v>30515945</v>
      </c>
      <c r="F56">
        <v>1</v>
      </c>
      <c r="G56">
        <v>30515945</v>
      </c>
      <c r="H56">
        <v>3</v>
      </c>
      <c r="I56" t="s">
        <v>448</v>
      </c>
      <c r="J56" t="s">
        <v>3</v>
      </c>
      <c r="K56" t="s">
        <v>449</v>
      </c>
      <c r="L56">
        <v>1348</v>
      </c>
      <c r="N56">
        <v>1009</v>
      </c>
      <c r="O56" t="s">
        <v>280</v>
      </c>
      <c r="P56" t="s">
        <v>280</v>
      </c>
      <c r="Q56">
        <v>1000</v>
      </c>
      <c r="W56">
        <v>0</v>
      </c>
      <c r="X56">
        <v>-783086922</v>
      </c>
      <c r="Y56">
        <v>7.4999999999999997E-2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1</v>
      </c>
      <c r="AJ56">
        <v>1</v>
      </c>
      <c r="AK56">
        <v>1</v>
      </c>
      <c r="AL56">
        <v>1</v>
      </c>
      <c r="AN56">
        <v>0</v>
      </c>
      <c r="AO56">
        <v>1</v>
      </c>
      <c r="AP56">
        <v>0</v>
      </c>
      <c r="AQ56">
        <v>0</v>
      </c>
      <c r="AR56">
        <v>0</v>
      </c>
      <c r="AS56" t="s">
        <v>3</v>
      </c>
      <c r="AT56">
        <v>7.4999999999999997E-2</v>
      </c>
      <c r="AU56" t="s">
        <v>3</v>
      </c>
      <c r="AV56">
        <v>0</v>
      </c>
      <c r="AW56">
        <v>1</v>
      </c>
      <c r="AX56">
        <v>-1</v>
      </c>
      <c r="AY56">
        <v>0</v>
      </c>
      <c r="AZ56">
        <v>0</v>
      </c>
      <c r="BA56" t="s">
        <v>3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CX56">
        <f>Y56*Source!I326</f>
        <v>1.875</v>
      </c>
      <c r="CY56">
        <f>AA56</f>
        <v>0</v>
      </c>
      <c r="CZ56">
        <f>AE56</f>
        <v>0</v>
      </c>
      <c r="DA56">
        <f>AI56</f>
        <v>1</v>
      </c>
      <c r="DB56">
        <v>0</v>
      </c>
    </row>
    <row r="57" spans="1:106" x14ac:dyDescent="0.2">
      <c r="A57">
        <f>ROW(Source!A328)</f>
        <v>328</v>
      </c>
      <c r="B57">
        <v>42446460</v>
      </c>
      <c r="C57">
        <v>42447263</v>
      </c>
      <c r="D57">
        <v>30515951</v>
      </c>
      <c r="E57">
        <v>30515945</v>
      </c>
      <c r="F57">
        <v>1</v>
      </c>
      <c r="G57">
        <v>30515945</v>
      </c>
      <c r="H57">
        <v>1</v>
      </c>
      <c r="I57" t="s">
        <v>418</v>
      </c>
      <c r="J57" t="s">
        <v>3</v>
      </c>
      <c r="K57" t="s">
        <v>419</v>
      </c>
      <c r="L57">
        <v>1191</v>
      </c>
      <c r="N57">
        <v>1013</v>
      </c>
      <c r="O57" t="s">
        <v>420</v>
      </c>
      <c r="P57" t="s">
        <v>420</v>
      </c>
      <c r="Q57">
        <v>1</v>
      </c>
      <c r="W57">
        <v>0</v>
      </c>
      <c r="X57">
        <v>476480486</v>
      </c>
      <c r="Y57">
        <v>135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1</v>
      </c>
      <c r="AJ57">
        <v>1</v>
      </c>
      <c r="AK57">
        <v>1</v>
      </c>
      <c r="AL57">
        <v>1</v>
      </c>
      <c r="AN57">
        <v>0</v>
      </c>
      <c r="AO57">
        <v>1</v>
      </c>
      <c r="AP57">
        <v>0</v>
      </c>
      <c r="AQ57">
        <v>0</v>
      </c>
      <c r="AR57">
        <v>0</v>
      </c>
      <c r="AS57" t="s">
        <v>3</v>
      </c>
      <c r="AT57">
        <v>135</v>
      </c>
      <c r="AU57" t="s">
        <v>3</v>
      </c>
      <c r="AV57">
        <v>1</v>
      </c>
      <c r="AW57">
        <v>2</v>
      </c>
      <c r="AX57">
        <v>42447270</v>
      </c>
      <c r="AY57">
        <v>1</v>
      </c>
      <c r="AZ57">
        <v>0</v>
      </c>
      <c r="BA57">
        <v>60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CX57">
        <f>Y57*Source!I328</f>
        <v>3.51</v>
      </c>
      <c r="CY57">
        <f>AD57</f>
        <v>0</v>
      </c>
      <c r="CZ57">
        <f>AH57</f>
        <v>0</v>
      </c>
      <c r="DA57">
        <f>AL57</f>
        <v>1</v>
      </c>
      <c r="DB57">
        <v>0</v>
      </c>
    </row>
    <row r="58" spans="1:106" x14ac:dyDescent="0.2">
      <c r="A58">
        <f>ROW(Source!A328)</f>
        <v>328</v>
      </c>
      <c r="B58">
        <v>42446460</v>
      </c>
      <c r="C58">
        <v>42447263</v>
      </c>
      <c r="D58">
        <v>30596076</v>
      </c>
      <c r="E58">
        <v>1</v>
      </c>
      <c r="F58">
        <v>1</v>
      </c>
      <c r="G58">
        <v>30515945</v>
      </c>
      <c r="H58">
        <v>2</v>
      </c>
      <c r="I58" t="s">
        <v>450</v>
      </c>
      <c r="J58" t="s">
        <v>451</v>
      </c>
      <c r="K58" t="s">
        <v>452</v>
      </c>
      <c r="L58">
        <v>1367</v>
      </c>
      <c r="N58">
        <v>1011</v>
      </c>
      <c r="O58" t="s">
        <v>409</v>
      </c>
      <c r="P58" t="s">
        <v>409</v>
      </c>
      <c r="Q58">
        <v>1</v>
      </c>
      <c r="W58">
        <v>0</v>
      </c>
      <c r="X58">
        <v>1048630520</v>
      </c>
      <c r="Y58">
        <v>0.12</v>
      </c>
      <c r="AA58">
        <v>0</v>
      </c>
      <c r="AB58">
        <v>777.18</v>
      </c>
      <c r="AC58">
        <v>356.04</v>
      </c>
      <c r="AD58">
        <v>0</v>
      </c>
      <c r="AE58">
        <v>0</v>
      </c>
      <c r="AF58">
        <v>84.66</v>
      </c>
      <c r="AG58">
        <v>19.66</v>
      </c>
      <c r="AH58">
        <v>0</v>
      </c>
      <c r="AI58">
        <v>1</v>
      </c>
      <c r="AJ58">
        <v>9.18</v>
      </c>
      <c r="AK58">
        <v>18.11</v>
      </c>
      <c r="AL58">
        <v>1</v>
      </c>
      <c r="AN58">
        <v>0</v>
      </c>
      <c r="AO58">
        <v>1</v>
      </c>
      <c r="AP58">
        <v>0</v>
      </c>
      <c r="AQ58">
        <v>0</v>
      </c>
      <c r="AR58">
        <v>0</v>
      </c>
      <c r="AS58" t="s">
        <v>3</v>
      </c>
      <c r="AT58">
        <v>0.12</v>
      </c>
      <c r="AU58" t="s">
        <v>3</v>
      </c>
      <c r="AV58">
        <v>0</v>
      </c>
      <c r="AW58">
        <v>2</v>
      </c>
      <c r="AX58">
        <v>42447271</v>
      </c>
      <c r="AY58">
        <v>1</v>
      </c>
      <c r="AZ58">
        <v>0</v>
      </c>
      <c r="BA58">
        <v>61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CX58">
        <f>Y58*Source!I328</f>
        <v>3.1199999999999999E-3</v>
      </c>
      <c r="CY58">
        <f>AB58</f>
        <v>777.18</v>
      </c>
      <c r="CZ58">
        <f>AF58</f>
        <v>84.66</v>
      </c>
      <c r="DA58">
        <f>AJ58</f>
        <v>9.18</v>
      </c>
      <c r="DB58">
        <v>0</v>
      </c>
    </row>
    <row r="59" spans="1:106" x14ac:dyDescent="0.2">
      <c r="A59">
        <f>ROW(Source!A328)</f>
        <v>328</v>
      </c>
      <c r="B59">
        <v>42446460</v>
      </c>
      <c r="C59">
        <v>42447263</v>
      </c>
      <c r="D59">
        <v>30595604</v>
      </c>
      <c r="E59">
        <v>1</v>
      </c>
      <c r="F59">
        <v>1</v>
      </c>
      <c r="G59">
        <v>30515945</v>
      </c>
      <c r="H59">
        <v>2</v>
      </c>
      <c r="I59" t="s">
        <v>453</v>
      </c>
      <c r="J59" t="s">
        <v>454</v>
      </c>
      <c r="K59" t="s">
        <v>455</v>
      </c>
      <c r="L59">
        <v>1367</v>
      </c>
      <c r="N59">
        <v>1011</v>
      </c>
      <c r="O59" t="s">
        <v>409</v>
      </c>
      <c r="P59" t="s">
        <v>409</v>
      </c>
      <c r="Q59">
        <v>1</v>
      </c>
      <c r="W59">
        <v>0</v>
      </c>
      <c r="X59">
        <v>1029667330</v>
      </c>
      <c r="Y59">
        <v>5.93</v>
      </c>
      <c r="AA59">
        <v>0</v>
      </c>
      <c r="AB59">
        <v>2.09</v>
      </c>
      <c r="AC59">
        <v>0.72</v>
      </c>
      <c r="AD59">
        <v>0</v>
      </c>
      <c r="AE59">
        <v>0</v>
      </c>
      <c r="AF59">
        <v>1.61</v>
      </c>
      <c r="AG59">
        <v>0.04</v>
      </c>
      <c r="AH59">
        <v>0</v>
      </c>
      <c r="AI59">
        <v>1</v>
      </c>
      <c r="AJ59">
        <v>1.3</v>
      </c>
      <c r="AK59">
        <v>18.11</v>
      </c>
      <c r="AL59">
        <v>1</v>
      </c>
      <c r="AN59">
        <v>0</v>
      </c>
      <c r="AO59">
        <v>1</v>
      </c>
      <c r="AP59">
        <v>0</v>
      </c>
      <c r="AQ59">
        <v>0</v>
      </c>
      <c r="AR59">
        <v>0</v>
      </c>
      <c r="AS59" t="s">
        <v>3</v>
      </c>
      <c r="AT59">
        <v>5.93</v>
      </c>
      <c r="AU59" t="s">
        <v>3</v>
      </c>
      <c r="AV59">
        <v>0</v>
      </c>
      <c r="AW59">
        <v>2</v>
      </c>
      <c r="AX59">
        <v>42447272</v>
      </c>
      <c r="AY59">
        <v>1</v>
      </c>
      <c r="AZ59">
        <v>0</v>
      </c>
      <c r="BA59">
        <v>62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CX59">
        <f>Y59*Source!I328</f>
        <v>0.15417999999999998</v>
      </c>
      <c r="CY59">
        <f>AB59</f>
        <v>2.09</v>
      </c>
      <c r="CZ59">
        <f>AF59</f>
        <v>1.61</v>
      </c>
      <c r="DA59">
        <f>AJ59</f>
        <v>1.3</v>
      </c>
      <c r="DB59">
        <v>0</v>
      </c>
    </row>
    <row r="60" spans="1:106" x14ac:dyDescent="0.2">
      <c r="A60">
        <f>ROW(Source!A328)</f>
        <v>328</v>
      </c>
      <c r="B60">
        <v>42446460</v>
      </c>
      <c r="C60">
        <v>42447263</v>
      </c>
      <c r="D60">
        <v>30571181</v>
      </c>
      <c r="E60">
        <v>1</v>
      </c>
      <c r="F60">
        <v>1</v>
      </c>
      <c r="G60">
        <v>30515945</v>
      </c>
      <c r="H60">
        <v>3</v>
      </c>
      <c r="I60" t="s">
        <v>436</v>
      </c>
      <c r="J60" t="s">
        <v>437</v>
      </c>
      <c r="K60" t="s">
        <v>438</v>
      </c>
      <c r="L60">
        <v>1339</v>
      </c>
      <c r="N60">
        <v>1007</v>
      </c>
      <c r="O60" t="s">
        <v>45</v>
      </c>
      <c r="P60" t="s">
        <v>45</v>
      </c>
      <c r="Q60">
        <v>1</v>
      </c>
      <c r="W60">
        <v>0</v>
      </c>
      <c r="X60">
        <v>-862991314</v>
      </c>
      <c r="Y60">
        <v>1.75</v>
      </c>
      <c r="AA60">
        <v>29.98</v>
      </c>
      <c r="AB60">
        <v>0</v>
      </c>
      <c r="AC60">
        <v>0</v>
      </c>
      <c r="AD60">
        <v>0</v>
      </c>
      <c r="AE60">
        <v>7.07</v>
      </c>
      <c r="AF60">
        <v>0</v>
      </c>
      <c r="AG60">
        <v>0</v>
      </c>
      <c r="AH60">
        <v>0</v>
      </c>
      <c r="AI60">
        <v>4.24</v>
      </c>
      <c r="AJ60">
        <v>1</v>
      </c>
      <c r="AK60">
        <v>1</v>
      </c>
      <c r="AL60">
        <v>1</v>
      </c>
      <c r="AN60">
        <v>0</v>
      </c>
      <c r="AO60">
        <v>1</v>
      </c>
      <c r="AP60">
        <v>0</v>
      </c>
      <c r="AQ60">
        <v>0</v>
      </c>
      <c r="AR60">
        <v>0</v>
      </c>
      <c r="AS60" t="s">
        <v>3</v>
      </c>
      <c r="AT60">
        <v>1.75</v>
      </c>
      <c r="AU60" t="s">
        <v>3</v>
      </c>
      <c r="AV60">
        <v>0</v>
      </c>
      <c r="AW60">
        <v>2</v>
      </c>
      <c r="AX60">
        <v>42447273</v>
      </c>
      <c r="AY60">
        <v>1</v>
      </c>
      <c r="AZ60">
        <v>0</v>
      </c>
      <c r="BA60">
        <v>63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CX60">
        <f>Y60*Source!I328</f>
        <v>4.5499999999999999E-2</v>
      </c>
      <c r="CY60">
        <f>AA60</f>
        <v>29.98</v>
      </c>
      <c r="CZ60">
        <f>AE60</f>
        <v>7.07</v>
      </c>
      <c r="DA60">
        <f>AI60</f>
        <v>4.24</v>
      </c>
      <c r="DB60">
        <v>0</v>
      </c>
    </row>
    <row r="61" spans="1:106" x14ac:dyDescent="0.2">
      <c r="A61">
        <f>ROW(Source!A328)</f>
        <v>328</v>
      </c>
      <c r="B61">
        <v>42446460</v>
      </c>
      <c r="C61">
        <v>42447263</v>
      </c>
      <c r="D61">
        <v>30571664</v>
      </c>
      <c r="E61">
        <v>1</v>
      </c>
      <c r="F61">
        <v>1</v>
      </c>
      <c r="G61">
        <v>30515945</v>
      </c>
      <c r="H61">
        <v>3</v>
      </c>
      <c r="I61" t="s">
        <v>456</v>
      </c>
      <c r="J61" t="s">
        <v>457</v>
      </c>
      <c r="K61" t="s">
        <v>458</v>
      </c>
      <c r="L61">
        <v>1327</v>
      </c>
      <c r="N61">
        <v>1005</v>
      </c>
      <c r="O61" t="s">
        <v>459</v>
      </c>
      <c r="P61" t="s">
        <v>459</v>
      </c>
      <c r="Q61">
        <v>1</v>
      </c>
      <c r="W61">
        <v>0</v>
      </c>
      <c r="X61">
        <v>-1476054991</v>
      </c>
      <c r="Y61">
        <v>250</v>
      </c>
      <c r="AA61">
        <v>21.21</v>
      </c>
      <c r="AB61">
        <v>0</v>
      </c>
      <c r="AC61">
        <v>0</v>
      </c>
      <c r="AD61">
        <v>0</v>
      </c>
      <c r="AE61">
        <v>7.39</v>
      </c>
      <c r="AF61">
        <v>0</v>
      </c>
      <c r="AG61">
        <v>0</v>
      </c>
      <c r="AH61">
        <v>0</v>
      </c>
      <c r="AI61">
        <v>2.87</v>
      </c>
      <c r="AJ61">
        <v>1</v>
      </c>
      <c r="AK61">
        <v>1</v>
      </c>
      <c r="AL61">
        <v>1</v>
      </c>
      <c r="AN61">
        <v>0</v>
      </c>
      <c r="AO61">
        <v>1</v>
      </c>
      <c r="AP61">
        <v>0</v>
      </c>
      <c r="AQ61">
        <v>0</v>
      </c>
      <c r="AR61">
        <v>0</v>
      </c>
      <c r="AS61" t="s">
        <v>3</v>
      </c>
      <c r="AT61">
        <v>250</v>
      </c>
      <c r="AU61" t="s">
        <v>3</v>
      </c>
      <c r="AV61">
        <v>0</v>
      </c>
      <c r="AW61">
        <v>2</v>
      </c>
      <c r="AX61">
        <v>42447274</v>
      </c>
      <c r="AY61">
        <v>1</v>
      </c>
      <c r="AZ61">
        <v>0</v>
      </c>
      <c r="BA61">
        <v>64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CX61">
        <f>Y61*Source!I328</f>
        <v>6.5</v>
      </c>
      <c r="CY61">
        <f>AA61</f>
        <v>21.21</v>
      </c>
      <c r="CZ61">
        <f>AE61</f>
        <v>7.39</v>
      </c>
      <c r="DA61">
        <f>AI61</f>
        <v>2.87</v>
      </c>
      <c r="DB61">
        <v>0</v>
      </c>
    </row>
    <row r="62" spans="1:106" x14ac:dyDescent="0.2">
      <c r="A62">
        <f>ROW(Source!A328)</f>
        <v>328</v>
      </c>
      <c r="B62">
        <v>42446460</v>
      </c>
      <c r="C62">
        <v>42447263</v>
      </c>
      <c r="D62">
        <v>30589555</v>
      </c>
      <c r="E62">
        <v>1</v>
      </c>
      <c r="F62">
        <v>1</v>
      </c>
      <c r="G62">
        <v>30515945</v>
      </c>
      <c r="H62">
        <v>3</v>
      </c>
      <c r="I62" t="s">
        <v>312</v>
      </c>
      <c r="J62" t="s">
        <v>314</v>
      </c>
      <c r="K62" t="s">
        <v>313</v>
      </c>
      <c r="L62">
        <v>1339</v>
      </c>
      <c r="N62">
        <v>1007</v>
      </c>
      <c r="O62" t="s">
        <v>45</v>
      </c>
      <c r="P62" t="s">
        <v>45</v>
      </c>
      <c r="Q62">
        <v>1</v>
      </c>
      <c r="W62">
        <v>0</v>
      </c>
      <c r="X62">
        <v>412444006</v>
      </c>
      <c r="Y62">
        <v>102</v>
      </c>
      <c r="AA62">
        <v>3123.53</v>
      </c>
      <c r="AB62">
        <v>0</v>
      </c>
      <c r="AC62">
        <v>0</v>
      </c>
      <c r="AD62">
        <v>0</v>
      </c>
      <c r="AE62">
        <v>517.14</v>
      </c>
      <c r="AF62">
        <v>0</v>
      </c>
      <c r="AG62">
        <v>0</v>
      </c>
      <c r="AH62">
        <v>0</v>
      </c>
      <c r="AI62">
        <v>6.04</v>
      </c>
      <c r="AJ62">
        <v>1</v>
      </c>
      <c r="AK62">
        <v>1</v>
      </c>
      <c r="AL62">
        <v>1</v>
      </c>
      <c r="AN62">
        <v>0</v>
      </c>
      <c r="AO62">
        <v>0</v>
      </c>
      <c r="AP62">
        <v>0</v>
      </c>
      <c r="AQ62">
        <v>0</v>
      </c>
      <c r="AR62">
        <v>0</v>
      </c>
      <c r="AS62" t="s">
        <v>3</v>
      </c>
      <c r="AT62">
        <v>102</v>
      </c>
      <c r="AU62" t="s">
        <v>3</v>
      </c>
      <c r="AV62">
        <v>0</v>
      </c>
      <c r="AW62">
        <v>1</v>
      </c>
      <c r="AX62">
        <v>-1</v>
      </c>
      <c r="AY62">
        <v>0</v>
      </c>
      <c r="AZ62">
        <v>0</v>
      </c>
      <c r="BA62" t="s">
        <v>3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CX62">
        <f>Y62*Source!I328</f>
        <v>2.6519999999999997</v>
      </c>
      <c r="CY62">
        <f>AA62</f>
        <v>3123.53</v>
      </c>
      <c r="CZ62">
        <f>AE62</f>
        <v>517.14</v>
      </c>
      <c r="DA62">
        <f>AI62</f>
        <v>6.04</v>
      </c>
      <c r="DB62">
        <v>0</v>
      </c>
    </row>
    <row r="63" spans="1:106" x14ac:dyDescent="0.2">
      <c r="A63">
        <f>ROW(Source!A330)</f>
        <v>330</v>
      </c>
      <c r="B63">
        <v>42446460</v>
      </c>
      <c r="C63">
        <v>42582612</v>
      </c>
      <c r="D63">
        <v>30515951</v>
      </c>
      <c r="E63">
        <v>30515945</v>
      </c>
      <c r="F63">
        <v>1</v>
      </c>
      <c r="G63">
        <v>30515945</v>
      </c>
      <c r="H63">
        <v>1</v>
      </c>
      <c r="I63" t="s">
        <v>418</v>
      </c>
      <c r="J63" t="s">
        <v>3</v>
      </c>
      <c r="K63" t="s">
        <v>419</v>
      </c>
      <c r="L63">
        <v>1191</v>
      </c>
      <c r="N63">
        <v>1013</v>
      </c>
      <c r="O63" t="s">
        <v>420</v>
      </c>
      <c r="P63" t="s">
        <v>420</v>
      </c>
      <c r="Q63">
        <v>1</v>
      </c>
      <c r="W63">
        <v>0</v>
      </c>
      <c r="X63">
        <v>476480486</v>
      </c>
      <c r="Y63">
        <v>53.6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1</v>
      </c>
      <c r="AJ63">
        <v>1</v>
      </c>
      <c r="AK63">
        <v>1</v>
      </c>
      <c r="AL63">
        <v>1</v>
      </c>
      <c r="AN63">
        <v>0</v>
      </c>
      <c r="AO63">
        <v>1</v>
      </c>
      <c r="AP63">
        <v>0</v>
      </c>
      <c r="AQ63">
        <v>0</v>
      </c>
      <c r="AR63">
        <v>0</v>
      </c>
      <c r="AS63" t="s">
        <v>3</v>
      </c>
      <c r="AT63">
        <v>53.6</v>
      </c>
      <c r="AU63" t="s">
        <v>3</v>
      </c>
      <c r="AV63">
        <v>1</v>
      </c>
      <c r="AW63">
        <v>2</v>
      </c>
      <c r="AX63">
        <v>42582613</v>
      </c>
      <c r="AY63">
        <v>1</v>
      </c>
      <c r="AZ63">
        <v>0</v>
      </c>
      <c r="BA63">
        <v>66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CX63">
        <f>Y63*Source!I330</f>
        <v>3.0444800000000001</v>
      </c>
      <c r="CY63">
        <f>AD63</f>
        <v>0</v>
      </c>
      <c r="CZ63">
        <f>AH63</f>
        <v>0</v>
      </c>
      <c r="DA63">
        <f>AL63</f>
        <v>1</v>
      </c>
      <c r="DB63">
        <v>0</v>
      </c>
    </row>
    <row r="64" spans="1:106" x14ac:dyDescent="0.2">
      <c r="A64">
        <f>ROW(Source!A332)</f>
        <v>332</v>
      </c>
      <c r="B64">
        <v>42446460</v>
      </c>
      <c r="C64">
        <v>42447287</v>
      </c>
      <c r="D64">
        <v>30515951</v>
      </c>
      <c r="E64">
        <v>30515945</v>
      </c>
      <c r="F64">
        <v>1</v>
      </c>
      <c r="G64">
        <v>30515945</v>
      </c>
      <c r="H64">
        <v>1</v>
      </c>
      <c r="I64" t="s">
        <v>418</v>
      </c>
      <c r="J64" t="s">
        <v>3</v>
      </c>
      <c r="K64" t="s">
        <v>419</v>
      </c>
      <c r="L64">
        <v>1191</v>
      </c>
      <c r="N64">
        <v>1013</v>
      </c>
      <c r="O64" t="s">
        <v>420</v>
      </c>
      <c r="P64" t="s">
        <v>420</v>
      </c>
      <c r="Q64">
        <v>1</v>
      </c>
      <c r="W64">
        <v>0</v>
      </c>
      <c r="X64">
        <v>476480486</v>
      </c>
      <c r="Y64">
        <v>40.17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1</v>
      </c>
      <c r="AJ64">
        <v>1</v>
      </c>
      <c r="AK64">
        <v>1</v>
      </c>
      <c r="AL64">
        <v>1</v>
      </c>
      <c r="AN64">
        <v>0</v>
      </c>
      <c r="AO64">
        <v>1</v>
      </c>
      <c r="AP64">
        <v>0</v>
      </c>
      <c r="AQ64">
        <v>0</v>
      </c>
      <c r="AR64">
        <v>0</v>
      </c>
      <c r="AS64" t="s">
        <v>3</v>
      </c>
      <c r="AT64">
        <v>40.17</v>
      </c>
      <c r="AU64" t="s">
        <v>3</v>
      </c>
      <c r="AV64">
        <v>1</v>
      </c>
      <c r="AW64">
        <v>2</v>
      </c>
      <c r="AX64">
        <v>42447289</v>
      </c>
      <c r="AY64">
        <v>1</v>
      </c>
      <c r="AZ64">
        <v>0</v>
      </c>
      <c r="BA64">
        <v>67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CX64">
        <f>Y64*Source!I332</f>
        <v>11.247600000000002</v>
      </c>
      <c r="CY64">
        <f>AD64</f>
        <v>0</v>
      </c>
      <c r="CZ64">
        <f>AH64</f>
        <v>0</v>
      </c>
      <c r="DA64">
        <f>AL64</f>
        <v>1</v>
      </c>
      <c r="DB64">
        <v>0</v>
      </c>
    </row>
    <row r="65" spans="1:106" x14ac:dyDescent="0.2">
      <c r="A65">
        <f>ROW(Source!A333)</f>
        <v>333</v>
      </c>
      <c r="B65">
        <v>42446460</v>
      </c>
      <c r="C65">
        <v>42447290</v>
      </c>
      <c r="D65">
        <v>30515951</v>
      </c>
      <c r="E65">
        <v>30515945</v>
      </c>
      <c r="F65">
        <v>1</v>
      </c>
      <c r="G65">
        <v>30515945</v>
      </c>
      <c r="H65">
        <v>1</v>
      </c>
      <c r="I65" t="s">
        <v>418</v>
      </c>
      <c r="J65" t="s">
        <v>3</v>
      </c>
      <c r="K65" t="s">
        <v>419</v>
      </c>
      <c r="L65">
        <v>1191</v>
      </c>
      <c r="N65">
        <v>1013</v>
      </c>
      <c r="O65" t="s">
        <v>420</v>
      </c>
      <c r="P65" t="s">
        <v>420</v>
      </c>
      <c r="Q65">
        <v>1</v>
      </c>
      <c r="W65">
        <v>0</v>
      </c>
      <c r="X65">
        <v>476480486</v>
      </c>
      <c r="Y65">
        <v>18.5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1</v>
      </c>
      <c r="AJ65">
        <v>1</v>
      </c>
      <c r="AK65">
        <v>1</v>
      </c>
      <c r="AL65">
        <v>1</v>
      </c>
      <c r="AN65">
        <v>0</v>
      </c>
      <c r="AO65">
        <v>1</v>
      </c>
      <c r="AP65">
        <v>0</v>
      </c>
      <c r="AQ65">
        <v>0</v>
      </c>
      <c r="AR65">
        <v>0</v>
      </c>
      <c r="AS65" t="s">
        <v>3</v>
      </c>
      <c r="AT65">
        <v>18.5</v>
      </c>
      <c r="AU65" t="s">
        <v>3</v>
      </c>
      <c r="AV65">
        <v>1</v>
      </c>
      <c r="AW65">
        <v>2</v>
      </c>
      <c r="AX65">
        <v>42447294</v>
      </c>
      <c r="AY65">
        <v>1</v>
      </c>
      <c r="AZ65">
        <v>0</v>
      </c>
      <c r="BA65">
        <v>68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CX65">
        <f>Y65*Source!I333</f>
        <v>1.85</v>
      </c>
      <c r="CY65">
        <f>AD65</f>
        <v>0</v>
      </c>
      <c r="CZ65">
        <f>AH65</f>
        <v>0</v>
      </c>
      <c r="DA65">
        <f>AL65</f>
        <v>1</v>
      </c>
      <c r="DB65">
        <v>0</v>
      </c>
    </row>
    <row r="66" spans="1:106" x14ac:dyDescent="0.2">
      <c r="A66">
        <f>ROW(Source!A333)</f>
        <v>333</v>
      </c>
      <c r="B66">
        <v>42446460</v>
      </c>
      <c r="C66">
        <v>42447290</v>
      </c>
      <c r="D66">
        <v>30572037</v>
      </c>
      <c r="E66">
        <v>1</v>
      </c>
      <c r="F66">
        <v>1</v>
      </c>
      <c r="G66">
        <v>30515945</v>
      </c>
      <c r="H66">
        <v>3</v>
      </c>
      <c r="I66" t="s">
        <v>339</v>
      </c>
      <c r="J66" t="s">
        <v>341</v>
      </c>
      <c r="K66" t="s">
        <v>340</v>
      </c>
      <c r="L66">
        <v>1348</v>
      </c>
      <c r="N66">
        <v>1009</v>
      </c>
      <c r="O66" t="s">
        <v>280</v>
      </c>
      <c r="P66" t="s">
        <v>280</v>
      </c>
      <c r="Q66">
        <v>1000</v>
      </c>
      <c r="W66">
        <v>0</v>
      </c>
      <c r="X66">
        <v>783842418</v>
      </c>
      <c r="Y66">
        <v>0.16170000000000001</v>
      </c>
      <c r="AA66">
        <v>35766.559999999998</v>
      </c>
      <c r="AB66">
        <v>0</v>
      </c>
      <c r="AC66">
        <v>0</v>
      </c>
      <c r="AD66">
        <v>0</v>
      </c>
      <c r="AE66">
        <v>7254.88</v>
      </c>
      <c r="AF66">
        <v>0</v>
      </c>
      <c r="AG66">
        <v>0</v>
      </c>
      <c r="AH66">
        <v>0</v>
      </c>
      <c r="AI66">
        <v>4.93</v>
      </c>
      <c r="AJ66">
        <v>1</v>
      </c>
      <c r="AK66">
        <v>1</v>
      </c>
      <c r="AL66">
        <v>1</v>
      </c>
      <c r="AN66">
        <v>0</v>
      </c>
      <c r="AO66">
        <v>0</v>
      </c>
      <c r="AP66">
        <v>0</v>
      </c>
      <c r="AQ66">
        <v>0</v>
      </c>
      <c r="AR66">
        <v>0</v>
      </c>
      <c r="AS66" t="s">
        <v>3</v>
      </c>
      <c r="AT66">
        <v>0.16170000000000001</v>
      </c>
      <c r="AU66" t="s">
        <v>3</v>
      </c>
      <c r="AV66">
        <v>0</v>
      </c>
      <c r="AW66">
        <v>1</v>
      </c>
      <c r="AX66">
        <v>-1</v>
      </c>
      <c r="AY66">
        <v>0</v>
      </c>
      <c r="AZ66">
        <v>0</v>
      </c>
      <c r="BA66" t="s">
        <v>3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CX66">
        <f>Y66*Source!I333</f>
        <v>1.617E-2</v>
      </c>
      <c r="CY66">
        <f>AA66</f>
        <v>35766.559999999998</v>
      </c>
      <c r="CZ66">
        <f>AE66</f>
        <v>7254.88</v>
      </c>
      <c r="DA66">
        <f>AI66</f>
        <v>4.93</v>
      </c>
      <c r="DB66">
        <v>0</v>
      </c>
    </row>
    <row r="67" spans="1:106" x14ac:dyDescent="0.2">
      <c r="A67">
        <f>ROW(Source!A335)</f>
        <v>335</v>
      </c>
      <c r="B67">
        <v>42446460</v>
      </c>
      <c r="C67">
        <v>42447297</v>
      </c>
      <c r="D67">
        <v>30515951</v>
      </c>
      <c r="E67">
        <v>30515945</v>
      </c>
      <c r="F67">
        <v>1</v>
      </c>
      <c r="G67">
        <v>30515945</v>
      </c>
      <c r="H67">
        <v>1</v>
      </c>
      <c r="I67" t="s">
        <v>418</v>
      </c>
      <c r="J67" t="s">
        <v>3</v>
      </c>
      <c r="K67" t="s">
        <v>419</v>
      </c>
      <c r="L67">
        <v>1191</v>
      </c>
      <c r="N67">
        <v>1013</v>
      </c>
      <c r="O67" t="s">
        <v>420</v>
      </c>
      <c r="P67" t="s">
        <v>420</v>
      </c>
      <c r="Q67">
        <v>1</v>
      </c>
      <c r="W67">
        <v>0</v>
      </c>
      <c r="X67">
        <v>476480486</v>
      </c>
      <c r="Y67">
        <v>9.27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1</v>
      </c>
      <c r="AJ67">
        <v>1</v>
      </c>
      <c r="AK67">
        <v>1</v>
      </c>
      <c r="AL67">
        <v>1</v>
      </c>
      <c r="AN67">
        <v>0</v>
      </c>
      <c r="AO67">
        <v>1</v>
      </c>
      <c r="AP67">
        <v>0</v>
      </c>
      <c r="AQ67">
        <v>0</v>
      </c>
      <c r="AR67">
        <v>0</v>
      </c>
      <c r="AS67" t="s">
        <v>3</v>
      </c>
      <c r="AT67">
        <v>9.27</v>
      </c>
      <c r="AU67" t="s">
        <v>3</v>
      </c>
      <c r="AV67">
        <v>1</v>
      </c>
      <c r="AW67">
        <v>2</v>
      </c>
      <c r="AX67">
        <v>42447301</v>
      </c>
      <c r="AY67">
        <v>1</v>
      </c>
      <c r="AZ67">
        <v>0</v>
      </c>
      <c r="BA67">
        <v>69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CX67">
        <f>Y67*Source!I335</f>
        <v>2.7809999999999997</v>
      </c>
      <c r="CY67">
        <f>AD67</f>
        <v>0</v>
      </c>
      <c r="CZ67">
        <f>AH67</f>
        <v>0</v>
      </c>
      <c r="DA67">
        <f>AL67</f>
        <v>1</v>
      </c>
      <c r="DB67">
        <v>0</v>
      </c>
    </row>
    <row r="68" spans="1:106" x14ac:dyDescent="0.2">
      <c r="A68">
        <f>ROW(Source!A335)</f>
        <v>335</v>
      </c>
      <c r="B68">
        <v>42446460</v>
      </c>
      <c r="C68">
        <v>42447297</v>
      </c>
      <c r="D68">
        <v>30572059</v>
      </c>
      <c r="E68">
        <v>1</v>
      </c>
      <c r="F68">
        <v>1</v>
      </c>
      <c r="G68">
        <v>30515945</v>
      </c>
      <c r="H68">
        <v>3</v>
      </c>
      <c r="I68" t="s">
        <v>323</v>
      </c>
      <c r="J68" t="s">
        <v>325</v>
      </c>
      <c r="K68" t="s">
        <v>348</v>
      </c>
      <c r="L68">
        <v>1348</v>
      </c>
      <c r="N68">
        <v>1009</v>
      </c>
      <c r="O68" t="s">
        <v>280</v>
      </c>
      <c r="P68" t="s">
        <v>280</v>
      </c>
      <c r="Q68">
        <v>1000</v>
      </c>
      <c r="W68">
        <v>0</v>
      </c>
      <c r="X68">
        <v>-3861389</v>
      </c>
      <c r="Y68">
        <v>0.109667</v>
      </c>
      <c r="AA68">
        <v>34296.76</v>
      </c>
      <c r="AB68">
        <v>0</v>
      </c>
      <c r="AC68">
        <v>0</v>
      </c>
      <c r="AD68">
        <v>0</v>
      </c>
      <c r="AE68">
        <v>8344.7099999999991</v>
      </c>
      <c r="AF68">
        <v>0</v>
      </c>
      <c r="AG68">
        <v>0</v>
      </c>
      <c r="AH68">
        <v>0</v>
      </c>
      <c r="AI68">
        <v>4.1100000000000003</v>
      </c>
      <c r="AJ68">
        <v>1</v>
      </c>
      <c r="AK68">
        <v>1</v>
      </c>
      <c r="AL68">
        <v>1</v>
      </c>
      <c r="AN68">
        <v>0</v>
      </c>
      <c r="AO68">
        <v>0</v>
      </c>
      <c r="AP68">
        <v>0</v>
      </c>
      <c r="AQ68">
        <v>0</v>
      </c>
      <c r="AR68">
        <v>0</v>
      </c>
      <c r="AS68" t="s">
        <v>3</v>
      </c>
      <c r="AT68">
        <v>0.109667</v>
      </c>
      <c r="AU68" t="s">
        <v>3</v>
      </c>
      <c r="AV68">
        <v>0</v>
      </c>
      <c r="AW68">
        <v>1</v>
      </c>
      <c r="AX68">
        <v>-1</v>
      </c>
      <c r="AY68">
        <v>0</v>
      </c>
      <c r="AZ68">
        <v>0</v>
      </c>
      <c r="BA68" t="s">
        <v>3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CX68">
        <f>Y68*Source!I335</f>
        <v>3.2900100000000002E-2</v>
      </c>
      <c r="CY68">
        <f>AA68</f>
        <v>34296.76</v>
      </c>
      <c r="CZ68">
        <f>AE68</f>
        <v>8344.7099999999991</v>
      </c>
      <c r="DA68">
        <f>AI68</f>
        <v>4.1100000000000003</v>
      </c>
      <c r="DB68">
        <v>0</v>
      </c>
    </row>
    <row r="69" spans="1:106" x14ac:dyDescent="0.2">
      <c r="A69">
        <f>ROW(Source!A372)</f>
        <v>372</v>
      </c>
      <c r="B69">
        <v>42446460</v>
      </c>
      <c r="C69">
        <v>42582623</v>
      </c>
      <c r="D69">
        <v>30515951</v>
      </c>
      <c r="E69">
        <v>30515945</v>
      </c>
      <c r="F69">
        <v>1</v>
      </c>
      <c r="G69">
        <v>30515945</v>
      </c>
      <c r="H69">
        <v>1</v>
      </c>
      <c r="I69" t="s">
        <v>418</v>
      </c>
      <c r="J69" t="s">
        <v>3</v>
      </c>
      <c r="K69" t="s">
        <v>419</v>
      </c>
      <c r="L69">
        <v>1191</v>
      </c>
      <c r="N69">
        <v>1013</v>
      </c>
      <c r="O69" t="s">
        <v>420</v>
      </c>
      <c r="P69" t="s">
        <v>420</v>
      </c>
      <c r="Q69">
        <v>1</v>
      </c>
      <c r="W69">
        <v>0</v>
      </c>
      <c r="X69">
        <v>476480486</v>
      </c>
      <c r="Y69">
        <v>0.72000000000000008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1</v>
      </c>
      <c r="AJ69">
        <v>1</v>
      </c>
      <c r="AK69">
        <v>1</v>
      </c>
      <c r="AL69">
        <v>1</v>
      </c>
      <c r="AN69">
        <v>0</v>
      </c>
      <c r="AO69">
        <v>1</v>
      </c>
      <c r="AP69">
        <v>1</v>
      </c>
      <c r="AQ69">
        <v>0</v>
      </c>
      <c r="AR69">
        <v>0</v>
      </c>
      <c r="AS69" t="s">
        <v>3</v>
      </c>
      <c r="AT69">
        <v>0.9</v>
      </c>
      <c r="AU69" t="s">
        <v>359</v>
      </c>
      <c r="AV69">
        <v>1</v>
      </c>
      <c r="AW69">
        <v>2</v>
      </c>
      <c r="AX69">
        <v>42596473</v>
      </c>
      <c r="AY69">
        <v>1</v>
      </c>
      <c r="AZ69">
        <v>6144</v>
      </c>
      <c r="BA69">
        <v>70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CX69">
        <f>Y69*Source!I372</f>
        <v>21.6</v>
      </c>
      <c r="CY69">
        <f t="shared" ref="CY69:CY77" si="3">AD69</f>
        <v>0</v>
      </c>
      <c r="CZ69">
        <f t="shared" ref="CZ69:CZ77" si="4">AH69</f>
        <v>0</v>
      </c>
      <c r="DA69">
        <f t="shared" ref="DA69:DA77" si="5">AL69</f>
        <v>1</v>
      </c>
      <c r="DB69">
        <v>0</v>
      </c>
    </row>
    <row r="70" spans="1:106" x14ac:dyDescent="0.2">
      <c r="A70">
        <f>ROW(Source!A373)</f>
        <v>373</v>
      </c>
      <c r="B70">
        <v>42446460</v>
      </c>
      <c r="C70">
        <v>42447304</v>
      </c>
      <c r="D70">
        <v>30515951</v>
      </c>
      <c r="E70">
        <v>30515945</v>
      </c>
      <c r="F70">
        <v>1</v>
      </c>
      <c r="G70">
        <v>30515945</v>
      </c>
      <c r="H70">
        <v>1</v>
      </c>
      <c r="I70" t="s">
        <v>418</v>
      </c>
      <c r="J70" t="s">
        <v>3</v>
      </c>
      <c r="K70" t="s">
        <v>419</v>
      </c>
      <c r="L70">
        <v>1191</v>
      </c>
      <c r="N70">
        <v>1013</v>
      </c>
      <c r="O70" t="s">
        <v>420</v>
      </c>
      <c r="P70" t="s">
        <v>420</v>
      </c>
      <c r="Q70">
        <v>1</v>
      </c>
      <c r="W70">
        <v>0</v>
      </c>
      <c r="X70">
        <v>476480486</v>
      </c>
      <c r="Y70">
        <v>20.8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1</v>
      </c>
      <c r="AJ70">
        <v>1</v>
      </c>
      <c r="AK70">
        <v>1</v>
      </c>
      <c r="AL70">
        <v>1</v>
      </c>
      <c r="AN70">
        <v>0</v>
      </c>
      <c r="AO70">
        <v>1</v>
      </c>
      <c r="AP70">
        <v>1</v>
      </c>
      <c r="AQ70">
        <v>0</v>
      </c>
      <c r="AR70">
        <v>0</v>
      </c>
      <c r="AS70" t="s">
        <v>3</v>
      </c>
      <c r="AT70">
        <v>26</v>
      </c>
      <c r="AU70" t="s">
        <v>359</v>
      </c>
      <c r="AV70">
        <v>1</v>
      </c>
      <c r="AW70">
        <v>2</v>
      </c>
      <c r="AX70">
        <v>42447306</v>
      </c>
      <c r="AY70">
        <v>1</v>
      </c>
      <c r="AZ70">
        <v>0</v>
      </c>
      <c r="BA70">
        <v>71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CX70">
        <f>Y70*Source!I373</f>
        <v>83.2</v>
      </c>
      <c r="CY70">
        <f t="shared" si="3"/>
        <v>0</v>
      </c>
      <c r="CZ70">
        <f t="shared" si="4"/>
        <v>0</v>
      </c>
      <c r="DA70">
        <f t="shared" si="5"/>
        <v>1</v>
      </c>
      <c r="DB70">
        <v>0</v>
      </c>
    </row>
    <row r="71" spans="1:106" x14ac:dyDescent="0.2">
      <c r="A71">
        <f>ROW(Source!A374)</f>
        <v>374</v>
      </c>
      <c r="B71">
        <v>42446460</v>
      </c>
      <c r="C71">
        <v>42447307</v>
      </c>
      <c r="D71">
        <v>30515951</v>
      </c>
      <c r="E71">
        <v>30515945</v>
      </c>
      <c r="F71">
        <v>1</v>
      </c>
      <c r="G71">
        <v>30515945</v>
      </c>
      <c r="H71">
        <v>1</v>
      </c>
      <c r="I71" t="s">
        <v>418</v>
      </c>
      <c r="J71" t="s">
        <v>3</v>
      </c>
      <c r="K71" t="s">
        <v>419</v>
      </c>
      <c r="L71">
        <v>1191</v>
      </c>
      <c r="N71">
        <v>1013</v>
      </c>
      <c r="O71" t="s">
        <v>420</v>
      </c>
      <c r="P71" t="s">
        <v>420</v>
      </c>
      <c r="Q71">
        <v>1</v>
      </c>
      <c r="W71">
        <v>0</v>
      </c>
      <c r="X71">
        <v>476480486</v>
      </c>
      <c r="Y71">
        <v>114.4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1</v>
      </c>
      <c r="AJ71">
        <v>1</v>
      </c>
      <c r="AK71">
        <v>1</v>
      </c>
      <c r="AL71">
        <v>1</v>
      </c>
      <c r="AN71">
        <v>0</v>
      </c>
      <c r="AO71">
        <v>1</v>
      </c>
      <c r="AP71">
        <v>1</v>
      </c>
      <c r="AQ71">
        <v>0</v>
      </c>
      <c r="AR71">
        <v>0</v>
      </c>
      <c r="AS71" t="s">
        <v>3</v>
      </c>
      <c r="AT71">
        <v>143</v>
      </c>
      <c r="AU71" t="s">
        <v>359</v>
      </c>
      <c r="AV71">
        <v>1</v>
      </c>
      <c r="AW71">
        <v>2</v>
      </c>
      <c r="AX71">
        <v>42447309</v>
      </c>
      <c r="AY71">
        <v>1</v>
      </c>
      <c r="AZ71">
        <v>0</v>
      </c>
      <c r="BA71">
        <v>72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CX71">
        <f>Y71*Source!I374</f>
        <v>2860</v>
      </c>
      <c r="CY71">
        <f t="shared" si="3"/>
        <v>0</v>
      </c>
      <c r="CZ71">
        <f t="shared" si="4"/>
        <v>0</v>
      </c>
      <c r="DA71">
        <f t="shared" si="5"/>
        <v>1</v>
      </c>
      <c r="DB71">
        <v>0</v>
      </c>
    </row>
    <row r="72" spans="1:106" x14ac:dyDescent="0.2">
      <c r="A72">
        <f>ROW(Source!A375)</f>
        <v>375</v>
      </c>
      <c r="B72">
        <v>42446460</v>
      </c>
      <c r="C72">
        <v>42447310</v>
      </c>
      <c r="D72">
        <v>30515951</v>
      </c>
      <c r="E72">
        <v>30515945</v>
      </c>
      <c r="F72">
        <v>1</v>
      </c>
      <c r="G72">
        <v>30515945</v>
      </c>
      <c r="H72">
        <v>1</v>
      </c>
      <c r="I72" t="s">
        <v>418</v>
      </c>
      <c r="J72" t="s">
        <v>3</v>
      </c>
      <c r="K72" t="s">
        <v>419</v>
      </c>
      <c r="L72">
        <v>1191</v>
      </c>
      <c r="N72">
        <v>1013</v>
      </c>
      <c r="O72" t="s">
        <v>420</v>
      </c>
      <c r="P72" t="s">
        <v>420</v>
      </c>
      <c r="Q72">
        <v>1</v>
      </c>
      <c r="W72">
        <v>0</v>
      </c>
      <c r="X72">
        <v>476480486</v>
      </c>
      <c r="Y72">
        <v>0.28799999999999998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1</v>
      </c>
      <c r="AJ72">
        <v>1</v>
      </c>
      <c r="AK72">
        <v>1</v>
      </c>
      <c r="AL72">
        <v>1</v>
      </c>
      <c r="AN72">
        <v>0</v>
      </c>
      <c r="AO72">
        <v>1</v>
      </c>
      <c r="AP72">
        <v>1</v>
      </c>
      <c r="AQ72">
        <v>0</v>
      </c>
      <c r="AR72">
        <v>0</v>
      </c>
      <c r="AS72" t="s">
        <v>3</v>
      </c>
      <c r="AT72">
        <v>0.36</v>
      </c>
      <c r="AU72" t="s">
        <v>359</v>
      </c>
      <c r="AV72">
        <v>1</v>
      </c>
      <c r="AW72">
        <v>2</v>
      </c>
      <c r="AX72">
        <v>42447312</v>
      </c>
      <c r="AY72">
        <v>1</v>
      </c>
      <c r="AZ72">
        <v>0</v>
      </c>
      <c r="BA72">
        <v>73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CX72">
        <f>Y72*Source!I375</f>
        <v>1.1519999999999999</v>
      </c>
      <c r="CY72">
        <f t="shared" si="3"/>
        <v>0</v>
      </c>
      <c r="CZ72">
        <f t="shared" si="4"/>
        <v>0</v>
      </c>
      <c r="DA72">
        <f t="shared" si="5"/>
        <v>1</v>
      </c>
      <c r="DB72">
        <v>0</v>
      </c>
    </row>
    <row r="73" spans="1:106" x14ac:dyDescent="0.2">
      <c r="A73">
        <f>ROW(Source!A376)</f>
        <v>376</v>
      </c>
      <c r="B73">
        <v>42446460</v>
      </c>
      <c r="C73">
        <v>42447313</v>
      </c>
      <c r="D73">
        <v>30515951</v>
      </c>
      <c r="E73">
        <v>30515945</v>
      </c>
      <c r="F73">
        <v>1</v>
      </c>
      <c r="G73">
        <v>30515945</v>
      </c>
      <c r="H73">
        <v>1</v>
      </c>
      <c r="I73" t="s">
        <v>418</v>
      </c>
      <c r="J73" t="s">
        <v>3</v>
      </c>
      <c r="K73" t="s">
        <v>419</v>
      </c>
      <c r="L73">
        <v>1191</v>
      </c>
      <c r="N73">
        <v>1013</v>
      </c>
      <c r="O73" t="s">
        <v>420</v>
      </c>
      <c r="P73" t="s">
        <v>420</v>
      </c>
      <c r="Q73">
        <v>1</v>
      </c>
      <c r="W73">
        <v>0</v>
      </c>
      <c r="X73">
        <v>476480486</v>
      </c>
      <c r="Y73">
        <v>4.32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1</v>
      </c>
      <c r="AJ73">
        <v>1</v>
      </c>
      <c r="AK73">
        <v>1</v>
      </c>
      <c r="AL73">
        <v>1</v>
      </c>
      <c r="AN73">
        <v>0</v>
      </c>
      <c r="AO73">
        <v>1</v>
      </c>
      <c r="AP73">
        <v>1</v>
      </c>
      <c r="AQ73">
        <v>0</v>
      </c>
      <c r="AR73">
        <v>0</v>
      </c>
      <c r="AS73" t="s">
        <v>3</v>
      </c>
      <c r="AT73">
        <v>5.4</v>
      </c>
      <c r="AU73" t="s">
        <v>359</v>
      </c>
      <c r="AV73">
        <v>1</v>
      </c>
      <c r="AW73">
        <v>2</v>
      </c>
      <c r="AX73">
        <v>42447315</v>
      </c>
      <c r="AY73">
        <v>1</v>
      </c>
      <c r="AZ73">
        <v>6144</v>
      </c>
      <c r="BA73">
        <v>74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CX73">
        <f>Y73*Source!I376</f>
        <v>17.28</v>
      </c>
      <c r="CY73">
        <f t="shared" si="3"/>
        <v>0</v>
      </c>
      <c r="CZ73">
        <f t="shared" si="4"/>
        <v>0</v>
      </c>
      <c r="DA73">
        <f t="shared" si="5"/>
        <v>1</v>
      </c>
      <c r="DB73">
        <v>0</v>
      </c>
    </row>
    <row r="74" spans="1:106" x14ac:dyDescent="0.2">
      <c r="A74">
        <f>ROW(Source!A377)</f>
        <v>377</v>
      </c>
      <c r="B74">
        <v>42446460</v>
      </c>
      <c r="C74">
        <v>42447316</v>
      </c>
      <c r="D74">
        <v>30515951</v>
      </c>
      <c r="E74">
        <v>30515945</v>
      </c>
      <c r="F74">
        <v>1</v>
      </c>
      <c r="G74">
        <v>30515945</v>
      </c>
      <c r="H74">
        <v>1</v>
      </c>
      <c r="I74" t="s">
        <v>418</v>
      </c>
      <c r="J74" t="s">
        <v>3</v>
      </c>
      <c r="K74" t="s">
        <v>419</v>
      </c>
      <c r="L74">
        <v>1191</v>
      </c>
      <c r="N74">
        <v>1013</v>
      </c>
      <c r="O74" t="s">
        <v>420</v>
      </c>
      <c r="P74" t="s">
        <v>420</v>
      </c>
      <c r="Q74">
        <v>1</v>
      </c>
      <c r="W74">
        <v>0</v>
      </c>
      <c r="X74">
        <v>476480486</v>
      </c>
      <c r="Y74">
        <v>0.8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1</v>
      </c>
      <c r="AJ74">
        <v>1</v>
      </c>
      <c r="AK74">
        <v>1</v>
      </c>
      <c r="AL74">
        <v>1</v>
      </c>
      <c r="AN74">
        <v>0</v>
      </c>
      <c r="AO74">
        <v>1</v>
      </c>
      <c r="AP74">
        <v>1</v>
      </c>
      <c r="AQ74">
        <v>0</v>
      </c>
      <c r="AR74">
        <v>0</v>
      </c>
      <c r="AS74" t="s">
        <v>3</v>
      </c>
      <c r="AT74">
        <v>1</v>
      </c>
      <c r="AU74" t="s">
        <v>359</v>
      </c>
      <c r="AV74">
        <v>1</v>
      </c>
      <c r="AW74">
        <v>2</v>
      </c>
      <c r="AX74">
        <v>42447318</v>
      </c>
      <c r="AY74">
        <v>1</v>
      </c>
      <c r="AZ74">
        <v>0</v>
      </c>
      <c r="BA74">
        <v>75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CX74">
        <f>Y74*Source!I377</f>
        <v>3.2</v>
      </c>
      <c r="CY74">
        <f t="shared" si="3"/>
        <v>0</v>
      </c>
      <c r="CZ74">
        <f t="shared" si="4"/>
        <v>0</v>
      </c>
      <c r="DA74">
        <f t="shared" si="5"/>
        <v>1</v>
      </c>
      <c r="DB74">
        <v>0</v>
      </c>
    </row>
    <row r="75" spans="1:106" x14ac:dyDescent="0.2">
      <c r="A75">
        <f>ROW(Source!A378)</f>
        <v>378</v>
      </c>
      <c r="B75">
        <v>42446460</v>
      </c>
      <c r="C75">
        <v>42447319</v>
      </c>
      <c r="D75">
        <v>30515951</v>
      </c>
      <c r="E75">
        <v>30515945</v>
      </c>
      <c r="F75">
        <v>1</v>
      </c>
      <c r="G75">
        <v>30515945</v>
      </c>
      <c r="H75">
        <v>1</v>
      </c>
      <c r="I75" t="s">
        <v>418</v>
      </c>
      <c r="J75" t="s">
        <v>3</v>
      </c>
      <c r="K75" t="s">
        <v>419</v>
      </c>
      <c r="L75">
        <v>1191</v>
      </c>
      <c r="N75">
        <v>1013</v>
      </c>
      <c r="O75" t="s">
        <v>420</v>
      </c>
      <c r="P75" t="s">
        <v>420</v>
      </c>
      <c r="Q75">
        <v>1</v>
      </c>
      <c r="W75">
        <v>0</v>
      </c>
      <c r="X75">
        <v>476480486</v>
      </c>
      <c r="Y75">
        <v>0.12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1</v>
      </c>
      <c r="AJ75">
        <v>1</v>
      </c>
      <c r="AK75">
        <v>1</v>
      </c>
      <c r="AL75">
        <v>1</v>
      </c>
      <c r="AN75">
        <v>0</v>
      </c>
      <c r="AO75">
        <v>1</v>
      </c>
      <c r="AP75">
        <v>1</v>
      </c>
      <c r="AQ75">
        <v>0</v>
      </c>
      <c r="AR75">
        <v>0</v>
      </c>
      <c r="AS75" t="s">
        <v>3</v>
      </c>
      <c r="AT75">
        <v>0.15</v>
      </c>
      <c r="AU75" t="s">
        <v>359</v>
      </c>
      <c r="AV75">
        <v>1</v>
      </c>
      <c r="AW75">
        <v>2</v>
      </c>
      <c r="AX75">
        <v>42447321</v>
      </c>
      <c r="AY75">
        <v>1</v>
      </c>
      <c r="AZ75">
        <v>0</v>
      </c>
      <c r="BA75">
        <v>76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CX75">
        <f>Y75*Source!I378</f>
        <v>0.48</v>
      </c>
      <c r="CY75">
        <f t="shared" si="3"/>
        <v>0</v>
      </c>
      <c r="CZ75">
        <f t="shared" si="4"/>
        <v>0</v>
      </c>
      <c r="DA75">
        <f t="shared" si="5"/>
        <v>1</v>
      </c>
      <c r="DB75">
        <v>0</v>
      </c>
    </row>
    <row r="76" spans="1:106" x14ac:dyDescent="0.2">
      <c r="A76">
        <f>ROW(Source!A379)</f>
        <v>379</v>
      </c>
      <c r="B76">
        <v>42446460</v>
      </c>
      <c r="C76">
        <v>42447322</v>
      </c>
      <c r="D76">
        <v>30515951</v>
      </c>
      <c r="E76">
        <v>30515945</v>
      </c>
      <c r="F76">
        <v>1</v>
      </c>
      <c r="G76">
        <v>30515945</v>
      </c>
      <c r="H76">
        <v>1</v>
      </c>
      <c r="I76" t="s">
        <v>418</v>
      </c>
      <c r="J76" t="s">
        <v>3</v>
      </c>
      <c r="K76" t="s">
        <v>419</v>
      </c>
      <c r="L76">
        <v>1191</v>
      </c>
      <c r="N76">
        <v>1013</v>
      </c>
      <c r="O76" t="s">
        <v>420</v>
      </c>
      <c r="P76" t="s">
        <v>420</v>
      </c>
      <c r="Q76">
        <v>1</v>
      </c>
      <c r="W76">
        <v>0</v>
      </c>
      <c r="X76">
        <v>476480486</v>
      </c>
      <c r="Y76">
        <v>0.8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1</v>
      </c>
      <c r="AJ76">
        <v>1</v>
      </c>
      <c r="AK76">
        <v>1</v>
      </c>
      <c r="AL76">
        <v>1</v>
      </c>
      <c r="AN76">
        <v>0</v>
      </c>
      <c r="AO76">
        <v>1</v>
      </c>
      <c r="AP76">
        <v>1</v>
      </c>
      <c r="AQ76">
        <v>0</v>
      </c>
      <c r="AR76">
        <v>0</v>
      </c>
      <c r="AS76" t="s">
        <v>3</v>
      </c>
      <c r="AT76">
        <v>1</v>
      </c>
      <c r="AU76" t="s">
        <v>359</v>
      </c>
      <c r="AV76">
        <v>1</v>
      </c>
      <c r="AW76">
        <v>2</v>
      </c>
      <c r="AX76">
        <v>42447324</v>
      </c>
      <c r="AY76">
        <v>1</v>
      </c>
      <c r="AZ76">
        <v>0</v>
      </c>
      <c r="BA76">
        <v>77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CX76">
        <f>Y76*Source!I379</f>
        <v>3.2</v>
      </c>
      <c r="CY76">
        <f t="shared" si="3"/>
        <v>0</v>
      </c>
      <c r="CZ76">
        <f t="shared" si="4"/>
        <v>0</v>
      </c>
      <c r="DA76">
        <f t="shared" si="5"/>
        <v>1</v>
      </c>
      <c r="DB76">
        <v>0</v>
      </c>
    </row>
    <row r="77" spans="1:106" x14ac:dyDescent="0.2">
      <c r="A77">
        <f>ROW(Source!A380)</f>
        <v>380</v>
      </c>
      <c r="B77">
        <v>42446460</v>
      </c>
      <c r="C77">
        <v>42447325</v>
      </c>
      <c r="D77">
        <v>30515951</v>
      </c>
      <c r="E77">
        <v>30515945</v>
      </c>
      <c r="F77">
        <v>1</v>
      </c>
      <c r="G77">
        <v>30515945</v>
      </c>
      <c r="H77">
        <v>1</v>
      </c>
      <c r="I77" t="s">
        <v>418</v>
      </c>
      <c r="J77" t="s">
        <v>3</v>
      </c>
      <c r="K77" t="s">
        <v>419</v>
      </c>
      <c r="L77">
        <v>1191</v>
      </c>
      <c r="N77">
        <v>1013</v>
      </c>
      <c r="O77" t="s">
        <v>420</v>
      </c>
      <c r="P77" t="s">
        <v>420</v>
      </c>
      <c r="Q77">
        <v>1</v>
      </c>
      <c r="W77">
        <v>0</v>
      </c>
      <c r="X77">
        <v>476480486</v>
      </c>
      <c r="Y77">
        <v>52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1</v>
      </c>
      <c r="AJ77">
        <v>1</v>
      </c>
      <c r="AK77">
        <v>1</v>
      </c>
      <c r="AL77">
        <v>1</v>
      </c>
      <c r="AN77">
        <v>0</v>
      </c>
      <c r="AO77">
        <v>1</v>
      </c>
      <c r="AP77">
        <v>1</v>
      </c>
      <c r="AQ77">
        <v>0</v>
      </c>
      <c r="AR77">
        <v>0</v>
      </c>
      <c r="AS77" t="s">
        <v>3</v>
      </c>
      <c r="AT77">
        <v>65</v>
      </c>
      <c r="AU77" t="s">
        <v>359</v>
      </c>
      <c r="AV77">
        <v>1</v>
      </c>
      <c r="AW77">
        <v>2</v>
      </c>
      <c r="AX77">
        <v>42447327</v>
      </c>
      <c r="AY77">
        <v>1</v>
      </c>
      <c r="AZ77">
        <v>0</v>
      </c>
      <c r="BA77">
        <v>78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CX77">
        <f>Y77*Source!I380</f>
        <v>1508</v>
      </c>
      <c r="CY77">
        <f t="shared" si="3"/>
        <v>0</v>
      </c>
      <c r="CZ77">
        <f t="shared" si="4"/>
        <v>0</v>
      </c>
      <c r="DA77">
        <f t="shared" si="5"/>
        <v>1</v>
      </c>
      <c r="DB77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8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44" x14ac:dyDescent="0.2">
      <c r="A1">
        <f>ROW(Source!A32)</f>
        <v>32</v>
      </c>
      <c r="B1">
        <v>42447081</v>
      </c>
      <c r="C1">
        <v>42447078</v>
      </c>
      <c r="D1">
        <v>30515951</v>
      </c>
      <c r="E1">
        <v>30515945</v>
      </c>
      <c r="F1">
        <v>1</v>
      </c>
      <c r="G1">
        <v>30515945</v>
      </c>
      <c r="H1">
        <v>1</v>
      </c>
      <c r="I1" t="s">
        <v>418</v>
      </c>
      <c r="J1" t="s">
        <v>3</v>
      </c>
      <c r="K1" t="s">
        <v>419</v>
      </c>
      <c r="L1">
        <v>1191</v>
      </c>
      <c r="N1">
        <v>1013</v>
      </c>
      <c r="O1" t="s">
        <v>420</v>
      </c>
      <c r="P1" t="s">
        <v>420</v>
      </c>
      <c r="Q1">
        <v>1</v>
      </c>
      <c r="X1">
        <v>1.19</v>
      </c>
      <c r="Y1">
        <v>0</v>
      </c>
      <c r="Z1">
        <v>0</v>
      </c>
      <c r="AA1">
        <v>0</v>
      </c>
      <c r="AB1">
        <v>0</v>
      </c>
      <c r="AC1">
        <v>0</v>
      </c>
      <c r="AD1">
        <v>1</v>
      </c>
      <c r="AE1">
        <v>1</v>
      </c>
      <c r="AF1" t="s">
        <v>3</v>
      </c>
      <c r="AG1">
        <v>1.19</v>
      </c>
      <c r="AH1">
        <v>2</v>
      </c>
      <c r="AI1">
        <v>42447079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">
      <c r="A2">
        <f>ROW(Source!A32)</f>
        <v>32</v>
      </c>
      <c r="B2">
        <v>42447082</v>
      </c>
      <c r="C2">
        <v>42447078</v>
      </c>
      <c r="D2">
        <v>30595241</v>
      </c>
      <c r="E2">
        <v>1</v>
      </c>
      <c r="F2">
        <v>1</v>
      </c>
      <c r="G2">
        <v>30515945</v>
      </c>
      <c r="H2">
        <v>2</v>
      </c>
      <c r="I2" t="s">
        <v>421</v>
      </c>
      <c r="J2" t="s">
        <v>422</v>
      </c>
      <c r="K2" t="s">
        <v>423</v>
      </c>
      <c r="L2">
        <v>1367</v>
      </c>
      <c r="N2">
        <v>1011</v>
      </c>
      <c r="O2" t="s">
        <v>409</v>
      </c>
      <c r="P2" t="s">
        <v>409</v>
      </c>
      <c r="Q2">
        <v>1</v>
      </c>
      <c r="X2">
        <v>6.3194999999999997</v>
      </c>
      <c r="Y2">
        <v>0</v>
      </c>
      <c r="Z2">
        <v>65.260000000000005</v>
      </c>
      <c r="AA2">
        <v>20.04</v>
      </c>
      <c r="AB2">
        <v>0</v>
      </c>
      <c r="AC2">
        <v>0</v>
      </c>
      <c r="AD2">
        <v>1</v>
      </c>
      <c r="AE2">
        <v>0</v>
      </c>
      <c r="AF2" t="s">
        <v>3</v>
      </c>
      <c r="AG2">
        <v>6.3194999999999997</v>
      </c>
      <c r="AH2">
        <v>2</v>
      </c>
      <c r="AI2">
        <v>42447080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">
      <c r="A3">
        <f>ROW(Source!A33)</f>
        <v>33</v>
      </c>
      <c r="B3">
        <v>42582571</v>
      </c>
      <c r="C3">
        <v>42582570</v>
      </c>
      <c r="D3">
        <v>30515951</v>
      </c>
      <c r="E3">
        <v>30515945</v>
      </c>
      <c r="F3">
        <v>1</v>
      </c>
      <c r="G3">
        <v>30515945</v>
      </c>
      <c r="H3">
        <v>1</v>
      </c>
      <c r="I3" t="s">
        <v>418</v>
      </c>
      <c r="J3" t="s">
        <v>3</v>
      </c>
      <c r="K3" t="s">
        <v>419</v>
      </c>
      <c r="L3">
        <v>1191</v>
      </c>
      <c r="N3">
        <v>1013</v>
      </c>
      <c r="O3" t="s">
        <v>420</v>
      </c>
      <c r="P3" t="s">
        <v>420</v>
      </c>
      <c r="Q3">
        <v>1</v>
      </c>
      <c r="X3">
        <v>2.95</v>
      </c>
      <c r="Y3">
        <v>0</v>
      </c>
      <c r="Z3">
        <v>0</v>
      </c>
      <c r="AA3">
        <v>0</v>
      </c>
      <c r="AB3">
        <v>0</v>
      </c>
      <c r="AC3">
        <v>0</v>
      </c>
      <c r="AD3">
        <v>1</v>
      </c>
      <c r="AE3">
        <v>1</v>
      </c>
      <c r="AF3" t="s">
        <v>3</v>
      </c>
      <c r="AG3">
        <v>2.95</v>
      </c>
      <c r="AH3">
        <v>2</v>
      </c>
      <c r="AI3">
        <v>42582571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">
      <c r="A4">
        <f>ROW(Source!A33)</f>
        <v>33</v>
      </c>
      <c r="B4">
        <v>42582572</v>
      </c>
      <c r="C4">
        <v>42582570</v>
      </c>
      <c r="D4">
        <v>30595241</v>
      </c>
      <c r="E4">
        <v>1</v>
      </c>
      <c r="F4">
        <v>1</v>
      </c>
      <c r="G4">
        <v>30515945</v>
      </c>
      <c r="H4">
        <v>2</v>
      </c>
      <c r="I4" t="s">
        <v>421</v>
      </c>
      <c r="J4" t="s">
        <v>422</v>
      </c>
      <c r="K4" t="s">
        <v>423</v>
      </c>
      <c r="L4">
        <v>1367</v>
      </c>
      <c r="N4">
        <v>1011</v>
      </c>
      <c r="O4" t="s">
        <v>409</v>
      </c>
      <c r="P4" t="s">
        <v>409</v>
      </c>
      <c r="Q4">
        <v>1</v>
      </c>
      <c r="X4">
        <v>7.4139999999999997</v>
      </c>
      <c r="Y4">
        <v>0</v>
      </c>
      <c r="Z4">
        <v>65.260000000000005</v>
      </c>
      <c r="AA4">
        <v>20.04</v>
      </c>
      <c r="AB4">
        <v>0</v>
      </c>
      <c r="AC4">
        <v>0</v>
      </c>
      <c r="AD4">
        <v>1</v>
      </c>
      <c r="AE4">
        <v>0</v>
      </c>
      <c r="AF4" t="s">
        <v>3</v>
      </c>
      <c r="AG4">
        <v>7.4139999999999997</v>
      </c>
      <c r="AH4">
        <v>2</v>
      </c>
      <c r="AI4">
        <v>42582572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">
      <c r="A5">
        <f>ROW(Source!A33)</f>
        <v>33</v>
      </c>
      <c r="B5">
        <v>42582573</v>
      </c>
      <c r="C5">
        <v>42582570</v>
      </c>
      <c r="D5">
        <v>30595253</v>
      </c>
      <c r="E5">
        <v>1</v>
      </c>
      <c r="F5">
        <v>1</v>
      </c>
      <c r="G5">
        <v>30515945</v>
      </c>
      <c r="H5">
        <v>2</v>
      </c>
      <c r="I5" t="s">
        <v>424</v>
      </c>
      <c r="J5" t="s">
        <v>425</v>
      </c>
      <c r="K5" t="s">
        <v>426</v>
      </c>
      <c r="L5">
        <v>1367</v>
      </c>
      <c r="N5">
        <v>1011</v>
      </c>
      <c r="O5" t="s">
        <v>409</v>
      </c>
      <c r="P5" t="s">
        <v>409</v>
      </c>
      <c r="Q5">
        <v>1</v>
      </c>
      <c r="X5">
        <v>1.6975</v>
      </c>
      <c r="Y5">
        <v>0</v>
      </c>
      <c r="Z5">
        <v>95.06</v>
      </c>
      <c r="AA5">
        <v>22.22</v>
      </c>
      <c r="AB5">
        <v>0</v>
      </c>
      <c r="AC5">
        <v>0</v>
      </c>
      <c r="AD5">
        <v>1</v>
      </c>
      <c r="AE5">
        <v>0</v>
      </c>
      <c r="AF5" t="s">
        <v>3</v>
      </c>
      <c r="AG5">
        <v>1.6975</v>
      </c>
      <c r="AH5">
        <v>2</v>
      </c>
      <c r="AI5">
        <v>42582573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2">
      <c r="A6">
        <f>ROW(Source!A35)</f>
        <v>35</v>
      </c>
      <c r="B6">
        <v>42582421</v>
      </c>
      <c r="C6">
        <v>42582342</v>
      </c>
      <c r="D6">
        <v>30515951</v>
      </c>
      <c r="E6">
        <v>30515945</v>
      </c>
      <c r="F6">
        <v>1</v>
      </c>
      <c r="G6">
        <v>30515945</v>
      </c>
      <c r="H6">
        <v>1</v>
      </c>
      <c r="I6" t="s">
        <v>418</v>
      </c>
      <c r="J6" t="s">
        <v>3</v>
      </c>
      <c r="K6" t="s">
        <v>419</v>
      </c>
      <c r="L6">
        <v>1191</v>
      </c>
      <c r="N6">
        <v>1013</v>
      </c>
      <c r="O6" t="s">
        <v>420</v>
      </c>
      <c r="P6" t="s">
        <v>420</v>
      </c>
      <c r="Q6">
        <v>1</v>
      </c>
      <c r="X6">
        <v>6.08</v>
      </c>
      <c r="Y6">
        <v>0</v>
      </c>
      <c r="Z6">
        <v>0</v>
      </c>
      <c r="AA6">
        <v>0</v>
      </c>
      <c r="AB6">
        <v>0</v>
      </c>
      <c r="AC6">
        <v>0</v>
      </c>
      <c r="AD6">
        <v>1</v>
      </c>
      <c r="AE6">
        <v>1</v>
      </c>
      <c r="AF6" t="s">
        <v>3</v>
      </c>
      <c r="AG6">
        <v>6.08</v>
      </c>
      <c r="AH6">
        <v>2</v>
      </c>
      <c r="AI6">
        <v>42582421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2">
      <c r="A7">
        <f>ROW(Source!A37)</f>
        <v>37</v>
      </c>
      <c r="B7">
        <v>42447097</v>
      </c>
      <c r="C7">
        <v>42447095</v>
      </c>
      <c r="D7">
        <v>30595253</v>
      </c>
      <c r="E7">
        <v>1</v>
      </c>
      <c r="F7">
        <v>1</v>
      </c>
      <c r="G7">
        <v>30515945</v>
      </c>
      <c r="H7">
        <v>2</v>
      </c>
      <c r="I7" t="s">
        <v>424</v>
      </c>
      <c r="J7" t="s">
        <v>425</v>
      </c>
      <c r="K7" t="s">
        <v>426</v>
      </c>
      <c r="L7">
        <v>1367</v>
      </c>
      <c r="N7">
        <v>1011</v>
      </c>
      <c r="O7" t="s">
        <v>409</v>
      </c>
      <c r="P7" t="s">
        <v>409</v>
      </c>
      <c r="Q7">
        <v>1</v>
      </c>
      <c r="X7">
        <v>0.89300000000000002</v>
      </c>
      <c r="Y7">
        <v>0</v>
      </c>
      <c r="Z7">
        <v>95.06</v>
      </c>
      <c r="AA7">
        <v>22.22</v>
      </c>
      <c r="AB7">
        <v>0</v>
      </c>
      <c r="AC7">
        <v>0</v>
      </c>
      <c r="AD7">
        <v>1</v>
      </c>
      <c r="AE7">
        <v>0</v>
      </c>
      <c r="AF7" t="s">
        <v>3</v>
      </c>
      <c r="AG7">
        <v>0.89300000000000002</v>
      </c>
      <c r="AH7">
        <v>3</v>
      </c>
      <c r="AI7">
        <v>-1</v>
      </c>
      <c r="AJ7" t="s">
        <v>3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">
      <c r="A8">
        <f>ROW(Source!A39)</f>
        <v>39</v>
      </c>
      <c r="B8">
        <v>42447101</v>
      </c>
      <c r="C8">
        <v>42447099</v>
      </c>
      <c r="D8">
        <v>30595253</v>
      </c>
      <c r="E8">
        <v>1</v>
      </c>
      <c r="F8">
        <v>1</v>
      </c>
      <c r="G8">
        <v>30515945</v>
      </c>
      <c r="H8">
        <v>2</v>
      </c>
      <c r="I8" t="s">
        <v>424</v>
      </c>
      <c r="J8" t="s">
        <v>425</v>
      </c>
      <c r="K8" t="s">
        <v>426</v>
      </c>
      <c r="L8">
        <v>1367</v>
      </c>
      <c r="N8">
        <v>1011</v>
      </c>
      <c r="O8" t="s">
        <v>409</v>
      </c>
      <c r="P8" t="s">
        <v>409</v>
      </c>
      <c r="Q8">
        <v>1</v>
      </c>
      <c r="X8">
        <v>0.89300000000000002</v>
      </c>
      <c r="Y8">
        <v>0</v>
      </c>
      <c r="Z8">
        <v>95.06</v>
      </c>
      <c r="AA8">
        <v>22.22</v>
      </c>
      <c r="AB8">
        <v>0</v>
      </c>
      <c r="AC8">
        <v>0</v>
      </c>
      <c r="AD8">
        <v>1</v>
      </c>
      <c r="AE8">
        <v>0</v>
      </c>
      <c r="AF8" t="s">
        <v>3</v>
      </c>
      <c r="AG8">
        <v>0.89300000000000002</v>
      </c>
      <c r="AH8">
        <v>2</v>
      </c>
      <c r="AI8">
        <v>42447100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">
      <c r="A9">
        <f>ROW(Source!A40)</f>
        <v>40</v>
      </c>
      <c r="B9">
        <v>42447106</v>
      </c>
      <c r="C9">
        <v>42447102</v>
      </c>
      <c r="D9">
        <v>30515951</v>
      </c>
      <c r="E9">
        <v>30515945</v>
      </c>
      <c r="F9">
        <v>1</v>
      </c>
      <c r="G9">
        <v>30515945</v>
      </c>
      <c r="H9">
        <v>1</v>
      </c>
      <c r="I9" t="s">
        <v>418</v>
      </c>
      <c r="J9" t="s">
        <v>3</v>
      </c>
      <c r="K9" t="s">
        <v>419</v>
      </c>
      <c r="L9">
        <v>1191</v>
      </c>
      <c r="N9">
        <v>1013</v>
      </c>
      <c r="O9" t="s">
        <v>420</v>
      </c>
      <c r="P9" t="s">
        <v>420</v>
      </c>
      <c r="Q9">
        <v>1</v>
      </c>
      <c r="X9">
        <v>10.8</v>
      </c>
      <c r="Y9">
        <v>0</v>
      </c>
      <c r="Z9">
        <v>0</v>
      </c>
      <c r="AA9">
        <v>0</v>
      </c>
      <c r="AB9">
        <v>0</v>
      </c>
      <c r="AC9">
        <v>0</v>
      </c>
      <c r="AD9">
        <v>1</v>
      </c>
      <c r="AE9">
        <v>1</v>
      </c>
      <c r="AF9" t="s">
        <v>3</v>
      </c>
      <c r="AG9">
        <v>10.8</v>
      </c>
      <c r="AH9">
        <v>2</v>
      </c>
      <c r="AI9">
        <v>42447103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 x14ac:dyDescent="0.2">
      <c r="A10">
        <f>ROW(Source!A40)</f>
        <v>40</v>
      </c>
      <c r="B10">
        <v>42447107</v>
      </c>
      <c r="C10">
        <v>42447102</v>
      </c>
      <c r="D10">
        <v>30595693</v>
      </c>
      <c r="E10">
        <v>1</v>
      </c>
      <c r="F10">
        <v>1</v>
      </c>
      <c r="G10">
        <v>30515945</v>
      </c>
      <c r="H10">
        <v>2</v>
      </c>
      <c r="I10" t="s">
        <v>427</v>
      </c>
      <c r="J10" t="s">
        <v>428</v>
      </c>
      <c r="K10" t="s">
        <v>429</v>
      </c>
      <c r="L10">
        <v>1367</v>
      </c>
      <c r="N10">
        <v>1011</v>
      </c>
      <c r="O10" t="s">
        <v>409</v>
      </c>
      <c r="P10" t="s">
        <v>409</v>
      </c>
      <c r="Q10">
        <v>1</v>
      </c>
      <c r="X10">
        <v>10.5</v>
      </c>
      <c r="Y10">
        <v>0</v>
      </c>
      <c r="Z10">
        <v>60.77</v>
      </c>
      <c r="AA10">
        <v>18.48</v>
      </c>
      <c r="AB10">
        <v>0</v>
      </c>
      <c r="AC10">
        <v>0</v>
      </c>
      <c r="AD10">
        <v>1</v>
      </c>
      <c r="AE10">
        <v>0</v>
      </c>
      <c r="AF10" t="s">
        <v>3</v>
      </c>
      <c r="AG10">
        <v>10.5</v>
      </c>
      <c r="AH10">
        <v>2</v>
      </c>
      <c r="AI10">
        <v>42447104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 x14ac:dyDescent="0.2">
      <c r="A11">
        <f>ROW(Source!A40)</f>
        <v>40</v>
      </c>
      <c r="B11">
        <v>42447108</v>
      </c>
      <c r="C11">
        <v>42447102</v>
      </c>
      <c r="D11">
        <v>30596103</v>
      </c>
      <c r="E11">
        <v>1</v>
      </c>
      <c r="F11">
        <v>1</v>
      </c>
      <c r="G11">
        <v>30515945</v>
      </c>
      <c r="H11">
        <v>2</v>
      </c>
      <c r="I11" t="s">
        <v>430</v>
      </c>
      <c r="J11" t="s">
        <v>431</v>
      </c>
      <c r="K11" t="s">
        <v>432</v>
      </c>
      <c r="L11">
        <v>1367</v>
      </c>
      <c r="N11">
        <v>1011</v>
      </c>
      <c r="O11" t="s">
        <v>409</v>
      </c>
      <c r="P11" t="s">
        <v>409</v>
      </c>
      <c r="Q11">
        <v>1</v>
      </c>
      <c r="X11">
        <v>10.5</v>
      </c>
      <c r="Y11">
        <v>0</v>
      </c>
      <c r="Z11">
        <v>0.56000000000000005</v>
      </c>
      <c r="AA11">
        <v>0.09</v>
      </c>
      <c r="AB11">
        <v>0</v>
      </c>
      <c r="AC11">
        <v>0</v>
      </c>
      <c r="AD11">
        <v>1</v>
      </c>
      <c r="AE11">
        <v>0</v>
      </c>
      <c r="AF11" t="s">
        <v>3</v>
      </c>
      <c r="AG11">
        <v>10.5</v>
      </c>
      <c r="AH11">
        <v>2</v>
      </c>
      <c r="AI11">
        <v>42447105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 x14ac:dyDescent="0.2">
      <c r="A12">
        <f>ROW(Source!A41)</f>
        <v>41</v>
      </c>
      <c r="B12">
        <v>42582491</v>
      </c>
      <c r="C12">
        <v>42582490</v>
      </c>
      <c r="D12">
        <v>30515951</v>
      </c>
      <c r="E12">
        <v>30515945</v>
      </c>
      <c r="F12">
        <v>1</v>
      </c>
      <c r="G12">
        <v>30515945</v>
      </c>
      <c r="H12">
        <v>1</v>
      </c>
      <c r="I12" t="s">
        <v>418</v>
      </c>
      <c r="J12" t="s">
        <v>3</v>
      </c>
      <c r="K12" t="s">
        <v>419</v>
      </c>
      <c r="L12">
        <v>1191</v>
      </c>
      <c r="N12">
        <v>1013</v>
      </c>
      <c r="O12" t="s">
        <v>420</v>
      </c>
      <c r="P12" t="s">
        <v>420</v>
      </c>
      <c r="Q12">
        <v>1</v>
      </c>
      <c r="X12">
        <v>12.2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1</v>
      </c>
      <c r="AF12" t="s">
        <v>3</v>
      </c>
      <c r="AG12">
        <v>12.2</v>
      </c>
      <c r="AH12">
        <v>2</v>
      </c>
      <c r="AI12">
        <v>42582491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 x14ac:dyDescent="0.2">
      <c r="A13">
        <f>ROW(Source!A41)</f>
        <v>41</v>
      </c>
      <c r="B13">
        <v>42582492</v>
      </c>
      <c r="C13">
        <v>42582490</v>
      </c>
      <c r="D13">
        <v>30595500</v>
      </c>
      <c r="E13">
        <v>1</v>
      </c>
      <c r="F13">
        <v>1</v>
      </c>
      <c r="G13">
        <v>30515945</v>
      </c>
      <c r="H13">
        <v>2</v>
      </c>
      <c r="I13" t="s">
        <v>433</v>
      </c>
      <c r="J13" t="s">
        <v>434</v>
      </c>
      <c r="K13" t="s">
        <v>435</v>
      </c>
      <c r="L13">
        <v>1367</v>
      </c>
      <c r="N13">
        <v>1011</v>
      </c>
      <c r="O13" t="s">
        <v>409</v>
      </c>
      <c r="P13" t="s">
        <v>409</v>
      </c>
      <c r="Q13">
        <v>1</v>
      </c>
      <c r="X13">
        <v>12.2</v>
      </c>
      <c r="Y13">
        <v>0</v>
      </c>
      <c r="Z13">
        <v>140.58000000000001</v>
      </c>
      <c r="AA13">
        <v>28.61</v>
      </c>
      <c r="AB13">
        <v>0</v>
      </c>
      <c r="AC13">
        <v>0</v>
      </c>
      <c r="AD13">
        <v>1</v>
      </c>
      <c r="AE13">
        <v>0</v>
      </c>
      <c r="AF13" t="s">
        <v>3</v>
      </c>
      <c r="AG13">
        <v>12.2</v>
      </c>
      <c r="AH13">
        <v>2</v>
      </c>
      <c r="AI13">
        <v>42582492</v>
      </c>
      <c r="AJ13">
        <v>13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 x14ac:dyDescent="0.2">
      <c r="A14">
        <f>ROW(Source!A41)</f>
        <v>41</v>
      </c>
      <c r="B14">
        <v>42582493</v>
      </c>
      <c r="C14">
        <v>42582490</v>
      </c>
      <c r="D14">
        <v>30571181</v>
      </c>
      <c r="E14">
        <v>1</v>
      </c>
      <c r="F14">
        <v>1</v>
      </c>
      <c r="G14">
        <v>30515945</v>
      </c>
      <c r="H14">
        <v>3</v>
      </c>
      <c r="I14" t="s">
        <v>436</v>
      </c>
      <c r="J14" t="s">
        <v>437</v>
      </c>
      <c r="K14" t="s">
        <v>438</v>
      </c>
      <c r="L14">
        <v>1339</v>
      </c>
      <c r="N14">
        <v>1007</v>
      </c>
      <c r="O14" t="s">
        <v>45</v>
      </c>
      <c r="P14" t="s">
        <v>45</v>
      </c>
      <c r="Q14">
        <v>1</v>
      </c>
      <c r="X14">
        <v>100</v>
      </c>
      <c r="Y14">
        <v>7.07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0</v>
      </c>
      <c r="AF14" t="s">
        <v>3</v>
      </c>
      <c r="AG14">
        <v>100</v>
      </c>
      <c r="AH14">
        <v>2</v>
      </c>
      <c r="AI14">
        <v>42582493</v>
      </c>
      <c r="AJ14">
        <v>14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 x14ac:dyDescent="0.2">
      <c r="A15">
        <f>ROW(Source!A42)</f>
        <v>42</v>
      </c>
      <c r="B15">
        <v>42447110</v>
      </c>
      <c r="C15">
        <v>42447109</v>
      </c>
      <c r="D15">
        <v>30515951</v>
      </c>
      <c r="E15">
        <v>30515945</v>
      </c>
      <c r="F15">
        <v>1</v>
      </c>
      <c r="G15">
        <v>30515945</v>
      </c>
      <c r="H15">
        <v>1</v>
      </c>
      <c r="I15" t="s">
        <v>418</v>
      </c>
      <c r="J15" t="s">
        <v>3</v>
      </c>
      <c r="K15" t="s">
        <v>419</v>
      </c>
      <c r="L15">
        <v>1191</v>
      </c>
      <c r="N15">
        <v>1013</v>
      </c>
      <c r="O15" t="s">
        <v>420</v>
      </c>
      <c r="P15" t="s">
        <v>420</v>
      </c>
      <c r="Q15">
        <v>1</v>
      </c>
      <c r="X15">
        <v>107.04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</v>
      </c>
      <c r="AE15">
        <v>1</v>
      </c>
      <c r="AF15" t="s">
        <v>3</v>
      </c>
      <c r="AG15">
        <v>107.04</v>
      </c>
      <c r="AH15">
        <v>3</v>
      </c>
      <c r="AI15">
        <v>-1</v>
      </c>
      <c r="AJ15" t="s">
        <v>3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 x14ac:dyDescent="0.2">
      <c r="A16">
        <f>ROW(Source!A77)</f>
        <v>77</v>
      </c>
      <c r="B16">
        <v>42447116</v>
      </c>
      <c r="C16">
        <v>42447113</v>
      </c>
      <c r="D16">
        <v>30515951</v>
      </c>
      <c r="E16">
        <v>30515945</v>
      </c>
      <c r="F16">
        <v>1</v>
      </c>
      <c r="G16">
        <v>30515945</v>
      </c>
      <c r="H16">
        <v>1</v>
      </c>
      <c r="I16" t="s">
        <v>418</v>
      </c>
      <c r="J16" t="s">
        <v>3</v>
      </c>
      <c r="K16" t="s">
        <v>419</v>
      </c>
      <c r="L16">
        <v>1191</v>
      </c>
      <c r="N16">
        <v>1013</v>
      </c>
      <c r="O16" t="s">
        <v>420</v>
      </c>
      <c r="P16" t="s">
        <v>420</v>
      </c>
      <c r="Q16">
        <v>1</v>
      </c>
      <c r="X16">
        <v>1.19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>
        <v>1</v>
      </c>
      <c r="AF16" t="s">
        <v>3</v>
      </c>
      <c r="AG16">
        <v>1.19</v>
      </c>
      <c r="AH16">
        <v>2</v>
      </c>
      <c r="AI16">
        <v>42447114</v>
      </c>
      <c r="AJ16">
        <v>15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 x14ac:dyDescent="0.2">
      <c r="A17">
        <f>ROW(Source!A77)</f>
        <v>77</v>
      </c>
      <c r="B17">
        <v>42447117</v>
      </c>
      <c r="C17">
        <v>42447113</v>
      </c>
      <c r="D17">
        <v>30595241</v>
      </c>
      <c r="E17">
        <v>1</v>
      </c>
      <c r="F17">
        <v>1</v>
      </c>
      <c r="G17">
        <v>30515945</v>
      </c>
      <c r="H17">
        <v>2</v>
      </c>
      <c r="I17" t="s">
        <v>421</v>
      </c>
      <c r="J17" t="s">
        <v>422</v>
      </c>
      <c r="K17" t="s">
        <v>423</v>
      </c>
      <c r="L17">
        <v>1367</v>
      </c>
      <c r="N17">
        <v>1011</v>
      </c>
      <c r="O17" t="s">
        <v>409</v>
      </c>
      <c r="P17" t="s">
        <v>409</v>
      </c>
      <c r="Q17">
        <v>1</v>
      </c>
      <c r="X17">
        <v>6.3194999999999997</v>
      </c>
      <c r="Y17">
        <v>0</v>
      </c>
      <c r="Z17">
        <v>65.260000000000005</v>
      </c>
      <c r="AA17">
        <v>20.04</v>
      </c>
      <c r="AB17">
        <v>0</v>
      </c>
      <c r="AC17">
        <v>0</v>
      </c>
      <c r="AD17">
        <v>1</v>
      </c>
      <c r="AE17">
        <v>0</v>
      </c>
      <c r="AF17" t="s">
        <v>3</v>
      </c>
      <c r="AG17">
        <v>6.3194999999999997</v>
      </c>
      <c r="AH17">
        <v>2</v>
      </c>
      <c r="AI17">
        <v>42447115</v>
      </c>
      <c r="AJ17">
        <v>16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 x14ac:dyDescent="0.2">
      <c r="A18">
        <f>ROW(Source!A78)</f>
        <v>78</v>
      </c>
      <c r="B18">
        <v>42582575</v>
      </c>
      <c r="C18">
        <v>42582574</v>
      </c>
      <c r="D18">
        <v>30515951</v>
      </c>
      <c r="E18">
        <v>30515945</v>
      </c>
      <c r="F18">
        <v>1</v>
      </c>
      <c r="G18">
        <v>30515945</v>
      </c>
      <c r="H18">
        <v>1</v>
      </c>
      <c r="I18" t="s">
        <v>418</v>
      </c>
      <c r="J18" t="s">
        <v>3</v>
      </c>
      <c r="K18" t="s">
        <v>419</v>
      </c>
      <c r="L18">
        <v>1191</v>
      </c>
      <c r="N18">
        <v>1013</v>
      </c>
      <c r="O18" t="s">
        <v>420</v>
      </c>
      <c r="P18" t="s">
        <v>420</v>
      </c>
      <c r="Q18">
        <v>1</v>
      </c>
      <c r="X18">
        <v>2.95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>
        <v>1</v>
      </c>
      <c r="AF18" t="s">
        <v>3</v>
      </c>
      <c r="AG18">
        <v>2.95</v>
      </c>
      <c r="AH18">
        <v>2</v>
      </c>
      <c r="AI18">
        <v>42582575</v>
      </c>
      <c r="AJ18">
        <v>17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 x14ac:dyDescent="0.2">
      <c r="A19">
        <f>ROW(Source!A78)</f>
        <v>78</v>
      </c>
      <c r="B19">
        <v>42582576</v>
      </c>
      <c r="C19">
        <v>42582574</v>
      </c>
      <c r="D19">
        <v>30595241</v>
      </c>
      <c r="E19">
        <v>1</v>
      </c>
      <c r="F19">
        <v>1</v>
      </c>
      <c r="G19">
        <v>30515945</v>
      </c>
      <c r="H19">
        <v>2</v>
      </c>
      <c r="I19" t="s">
        <v>421</v>
      </c>
      <c r="J19" t="s">
        <v>422</v>
      </c>
      <c r="K19" t="s">
        <v>423</v>
      </c>
      <c r="L19">
        <v>1367</v>
      </c>
      <c r="N19">
        <v>1011</v>
      </c>
      <c r="O19" t="s">
        <v>409</v>
      </c>
      <c r="P19" t="s">
        <v>409</v>
      </c>
      <c r="Q19">
        <v>1</v>
      </c>
      <c r="X19">
        <v>7.4139999999999997</v>
      </c>
      <c r="Y19">
        <v>0</v>
      </c>
      <c r="Z19">
        <v>65.260000000000005</v>
      </c>
      <c r="AA19">
        <v>20.04</v>
      </c>
      <c r="AB19">
        <v>0</v>
      </c>
      <c r="AC19">
        <v>0</v>
      </c>
      <c r="AD19">
        <v>1</v>
      </c>
      <c r="AE19">
        <v>0</v>
      </c>
      <c r="AF19" t="s">
        <v>3</v>
      </c>
      <c r="AG19">
        <v>7.4139999999999997</v>
      </c>
      <c r="AH19">
        <v>2</v>
      </c>
      <c r="AI19">
        <v>42582576</v>
      </c>
      <c r="AJ19">
        <v>18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 x14ac:dyDescent="0.2">
      <c r="A20">
        <f>ROW(Source!A78)</f>
        <v>78</v>
      </c>
      <c r="B20">
        <v>42582577</v>
      </c>
      <c r="C20">
        <v>42582574</v>
      </c>
      <c r="D20">
        <v>30595253</v>
      </c>
      <c r="E20">
        <v>1</v>
      </c>
      <c r="F20">
        <v>1</v>
      </c>
      <c r="G20">
        <v>30515945</v>
      </c>
      <c r="H20">
        <v>2</v>
      </c>
      <c r="I20" t="s">
        <v>424</v>
      </c>
      <c r="J20" t="s">
        <v>425</v>
      </c>
      <c r="K20" t="s">
        <v>426</v>
      </c>
      <c r="L20">
        <v>1367</v>
      </c>
      <c r="N20">
        <v>1011</v>
      </c>
      <c r="O20" t="s">
        <v>409</v>
      </c>
      <c r="P20" t="s">
        <v>409</v>
      </c>
      <c r="Q20">
        <v>1</v>
      </c>
      <c r="X20">
        <v>1.6975</v>
      </c>
      <c r="Y20">
        <v>0</v>
      </c>
      <c r="Z20">
        <v>95.06</v>
      </c>
      <c r="AA20">
        <v>22.22</v>
      </c>
      <c r="AB20">
        <v>0</v>
      </c>
      <c r="AC20">
        <v>0</v>
      </c>
      <c r="AD20">
        <v>1</v>
      </c>
      <c r="AE20">
        <v>0</v>
      </c>
      <c r="AF20" t="s">
        <v>3</v>
      </c>
      <c r="AG20">
        <v>1.6975</v>
      </c>
      <c r="AH20">
        <v>2</v>
      </c>
      <c r="AI20">
        <v>42582577</v>
      </c>
      <c r="AJ20">
        <v>19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 x14ac:dyDescent="0.2">
      <c r="A21">
        <f>ROW(Source!A80)</f>
        <v>80</v>
      </c>
      <c r="B21">
        <v>42582533</v>
      </c>
      <c r="C21">
        <v>42582531</v>
      </c>
      <c r="D21">
        <v>30515951</v>
      </c>
      <c r="E21">
        <v>30515945</v>
      </c>
      <c r="F21">
        <v>1</v>
      </c>
      <c r="G21">
        <v>30515945</v>
      </c>
      <c r="H21">
        <v>1</v>
      </c>
      <c r="I21" t="s">
        <v>418</v>
      </c>
      <c r="J21" t="s">
        <v>3</v>
      </c>
      <c r="K21" t="s">
        <v>419</v>
      </c>
      <c r="L21">
        <v>1191</v>
      </c>
      <c r="N21">
        <v>1013</v>
      </c>
      <c r="O21" t="s">
        <v>420</v>
      </c>
      <c r="P21" t="s">
        <v>420</v>
      </c>
      <c r="Q21">
        <v>1</v>
      </c>
      <c r="X21">
        <v>6.08</v>
      </c>
      <c r="Y21">
        <v>0</v>
      </c>
      <c r="Z21">
        <v>0</v>
      </c>
      <c r="AA21">
        <v>0</v>
      </c>
      <c r="AB21">
        <v>0</v>
      </c>
      <c r="AC21">
        <v>0</v>
      </c>
      <c r="AD21">
        <v>1</v>
      </c>
      <c r="AE21">
        <v>1</v>
      </c>
      <c r="AF21" t="s">
        <v>3</v>
      </c>
      <c r="AG21">
        <v>6.08</v>
      </c>
      <c r="AH21">
        <v>2</v>
      </c>
      <c r="AI21">
        <v>42582532</v>
      </c>
      <c r="AJ21">
        <v>20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 x14ac:dyDescent="0.2">
      <c r="A22">
        <f>ROW(Source!A82)</f>
        <v>82</v>
      </c>
      <c r="B22">
        <v>42447132</v>
      </c>
      <c r="C22">
        <v>42447130</v>
      </c>
      <c r="D22">
        <v>30595253</v>
      </c>
      <c r="E22">
        <v>1</v>
      </c>
      <c r="F22">
        <v>1</v>
      </c>
      <c r="G22">
        <v>30515945</v>
      </c>
      <c r="H22">
        <v>2</v>
      </c>
      <c r="I22" t="s">
        <v>424</v>
      </c>
      <c r="J22" t="s">
        <v>425</v>
      </c>
      <c r="K22" t="s">
        <v>426</v>
      </c>
      <c r="L22">
        <v>1367</v>
      </c>
      <c r="N22">
        <v>1011</v>
      </c>
      <c r="O22" t="s">
        <v>409</v>
      </c>
      <c r="P22" t="s">
        <v>409</v>
      </c>
      <c r="Q22">
        <v>1</v>
      </c>
      <c r="X22">
        <v>0.89300000000000002</v>
      </c>
      <c r="Y22">
        <v>0</v>
      </c>
      <c r="Z22">
        <v>95.06</v>
      </c>
      <c r="AA22">
        <v>22.22</v>
      </c>
      <c r="AB22">
        <v>0</v>
      </c>
      <c r="AC22">
        <v>0</v>
      </c>
      <c r="AD22">
        <v>1</v>
      </c>
      <c r="AE22">
        <v>0</v>
      </c>
      <c r="AF22" t="s">
        <v>3</v>
      </c>
      <c r="AG22">
        <v>0.89300000000000002</v>
      </c>
      <c r="AH22">
        <v>3</v>
      </c>
      <c r="AI22">
        <v>-1</v>
      </c>
      <c r="AJ22" t="s">
        <v>3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 x14ac:dyDescent="0.2">
      <c r="A23">
        <f>ROW(Source!A84)</f>
        <v>84</v>
      </c>
      <c r="B23">
        <v>42447136</v>
      </c>
      <c r="C23">
        <v>42447134</v>
      </c>
      <c r="D23">
        <v>30595253</v>
      </c>
      <c r="E23">
        <v>1</v>
      </c>
      <c r="F23">
        <v>1</v>
      </c>
      <c r="G23">
        <v>30515945</v>
      </c>
      <c r="H23">
        <v>2</v>
      </c>
      <c r="I23" t="s">
        <v>424</v>
      </c>
      <c r="J23" t="s">
        <v>425</v>
      </c>
      <c r="K23" t="s">
        <v>426</v>
      </c>
      <c r="L23">
        <v>1367</v>
      </c>
      <c r="N23">
        <v>1011</v>
      </c>
      <c r="O23" t="s">
        <v>409</v>
      </c>
      <c r="P23" t="s">
        <v>409</v>
      </c>
      <c r="Q23">
        <v>1</v>
      </c>
      <c r="X23">
        <v>0.89300000000000002</v>
      </c>
      <c r="Y23">
        <v>0</v>
      </c>
      <c r="Z23">
        <v>95.06</v>
      </c>
      <c r="AA23">
        <v>22.22</v>
      </c>
      <c r="AB23">
        <v>0</v>
      </c>
      <c r="AC23">
        <v>0</v>
      </c>
      <c r="AD23">
        <v>1</v>
      </c>
      <c r="AE23">
        <v>0</v>
      </c>
      <c r="AF23" t="s">
        <v>3</v>
      </c>
      <c r="AG23">
        <v>0.89300000000000002</v>
      </c>
      <c r="AH23">
        <v>2</v>
      </c>
      <c r="AI23">
        <v>42447135</v>
      </c>
      <c r="AJ23">
        <v>22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 x14ac:dyDescent="0.2">
      <c r="A24">
        <f>ROW(Source!A85)</f>
        <v>85</v>
      </c>
      <c r="B24">
        <v>42582487</v>
      </c>
      <c r="C24">
        <v>42582486</v>
      </c>
      <c r="D24">
        <v>30515951</v>
      </c>
      <c r="E24">
        <v>30515945</v>
      </c>
      <c r="F24">
        <v>1</v>
      </c>
      <c r="G24">
        <v>30515945</v>
      </c>
      <c r="H24">
        <v>1</v>
      </c>
      <c r="I24" t="s">
        <v>418</v>
      </c>
      <c r="J24" t="s">
        <v>3</v>
      </c>
      <c r="K24" t="s">
        <v>419</v>
      </c>
      <c r="L24">
        <v>1191</v>
      </c>
      <c r="N24">
        <v>1013</v>
      </c>
      <c r="O24" t="s">
        <v>420</v>
      </c>
      <c r="P24" t="s">
        <v>420</v>
      </c>
      <c r="Q24">
        <v>1</v>
      </c>
      <c r="X24">
        <v>12.2</v>
      </c>
      <c r="Y24">
        <v>0</v>
      </c>
      <c r="Z24">
        <v>0</v>
      </c>
      <c r="AA24">
        <v>0</v>
      </c>
      <c r="AB24">
        <v>0</v>
      </c>
      <c r="AC24">
        <v>0</v>
      </c>
      <c r="AD24">
        <v>1</v>
      </c>
      <c r="AE24">
        <v>1</v>
      </c>
      <c r="AF24" t="s">
        <v>3</v>
      </c>
      <c r="AG24">
        <v>12.2</v>
      </c>
      <c r="AH24">
        <v>2</v>
      </c>
      <c r="AI24">
        <v>42582487</v>
      </c>
      <c r="AJ24">
        <v>23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 x14ac:dyDescent="0.2">
      <c r="A25">
        <f>ROW(Source!A85)</f>
        <v>85</v>
      </c>
      <c r="B25">
        <v>42582488</v>
      </c>
      <c r="C25">
        <v>42582486</v>
      </c>
      <c r="D25">
        <v>30595500</v>
      </c>
      <c r="E25">
        <v>1</v>
      </c>
      <c r="F25">
        <v>1</v>
      </c>
      <c r="G25">
        <v>30515945</v>
      </c>
      <c r="H25">
        <v>2</v>
      </c>
      <c r="I25" t="s">
        <v>433</v>
      </c>
      <c r="J25" t="s">
        <v>434</v>
      </c>
      <c r="K25" t="s">
        <v>435</v>
      </c>
      <c r="L25">
        <v>1367</v>
      </c>
      <c r="N25">
        <v>1011</v>
      </c>
      <c r="O25" t="s">
        <v>409</v>
      </c>
      <c r="P25" t="s">
        <v>409</v>
      </c>
      <c r="Q25">
        <v>1</v>
      </c>
      <c r="X25">
        <v>12.2</v>
      </c>
      <c r="Y25">
        <v>0</v>
      </c>
      <c r="Z25">
        <v>140.58000000000001</v>
      </c>
      <c r="AA25">
        <v>28.61</v>
      </c>
      <c r="AB25">
        <v>0</v>
      </c>
      <c r="AC25">
        <v>0</v>
      </c>
      <c r="AD25">
        <v>1</v>
      </c>
      <c r="AE25">
        <v>0</v>
      </c>
      <c r="AF25" t="s">
        <v>3</v>
      </c>
      <c r="AG25">
        <v>12.2</v>
      </c>
      <c r="AH25">
        <v>2</v>
      </c>
      <c r="AI25">
        <v>42582488</v>
      </c>
      <c r="AJ25">
        <v>24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 x14ac:dyDescent="0.2">
      <c r="A26">
        <f>ROW(Source!A85)</f>
        <v>85</v>
      </c>
      <c r="B26">
        <v>42582489</v>
      </c>
      <c r="C26">
        <v>42582486</v>
      </c>
      <c r="D26">
        <v>30571181</v>
      </c>
      <c r="E26">
        <v>1</v>
      </c>
      <c r="F26">
        <v>1</v>
      </c>
      <c r="G26">
        <v>30515945</v>
      </c>
      <c r="H26">
        <v>3</v>
      </c>
      <c r="I26" t="s">
        <v>436</v>
      </c>
      <c r="J26" t="s">
        <v>437</v>
      </c>
      <c r="K26" t="s">
        <v>438</v>
      </c>
      <c r="L26">
        <v>1339</v>
      </c>
      <c r="N26">
        <v>1007</v>
      </c>
      <c r="O26" t="s">
        <v>45</v>
      </c>
      <c r="P26" t="s">
        <v>45</v>
      </c>
      <c r="Q26">
        <v>1</v>
      </c>
      <c r="X26">
        <v>100</v>
      </c>
      <c r="Y26">
        <v>7.07</v>
      </c>
      <c r="Z26">
        <v>0</v>
      </c>
      <c r="AA26">
        <v>0</v>
      </c>
      <c r="AB26">
        <v>0</v>
      </c>
      <c r="AC26">
        <v>0</v>
      </c>
      <c r="AD26">
        <v>1</v>
      </c>
      <c r="AE26">
        <v>0</v>
      </c>
      <c r="AF26" t="s">
        <v>3</v>
      </c>
      <c r="AG26">
        <v>100</v>
      </c>
      <c r="AH26">
        <v>2</v>
      </c>
      <c r="AI26">
        <v>42582489</v>
      </c>
      <c r="AJ26">
        <v>25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 x14ac:dyDescent="0.2">
      <c r="A27">
        <f>ROW(Source!A86)</f>
        <v>86</v>
      </c>
      <c r="B27">
        <v>42447141</v>
      </c>
      <c r="C27">
        <v>42447137</v>
      </c>
      <c r="D27">
        <v>30515951</v>
      </c>
      <c r="E27">
        <v>30515945</v>
      </c>
      <c r="F27">
        <v>1</v>
      </c>
      <c r="G27">
        <v>30515945</v>
      </c>
      <c r="H27">
        <v>1</v>
      </c>
      <c r="I27" t="s">
        <v>418</v>
      </c>
      <c r="J27" t="s">
        <v>3</v>
      </c>
      <c r="K27" t="s">
        <v>419</v>
      </c>
      <c r="L27">
        <v>1191</v>
      </c>
      <c r="N27">
        <v>1013</v>
      </c>
      <c r="O27" t="s">
        <v>420</v>
      </c>
      <c r="P27" t="s">
        <v>420</v>
      </c>
      <c r="Q27">
        <v>1</v>
      </c>
      <c r="X27">
        <v>10.8</v>
      </c>
      <c r="Y27">
        <v>0</v>
      </c>
      <c r="Z27">
        <v>0</v>
      </c>
      <c r="AA27">
        <v>0</v>
      </c>
      <c r="AB27">
        <v>0</v>
      </c>
      <c r="AC27">
        <v>0</v>
      </c>
      <c r="AD27">
        <v>1</v>
      </c>
      <c r="AE27">
        <v>1</v>
      </c>
      <c r="AF27" t="s">
        <v>3</v>
      </c>
      <c r="AG27">
        <v>10.8</v>
      </c>
      <c r="AH27">
        <v>2</v>
      </c>
      <c r="AI27">
        <v>42447138</v>
      </c>
      <c r="AJ27">
        <v>26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 x14ac:dyDescent="0.2">
      <c r="A28">
        <f>ROW(Source!A86)</f>
        <v>86</v>
      </c>
      <c r="B28">
        <v>42447142</v>
      </c>
      <c r="C28">
        <v>42447137</v>
      </c>
      <c r="D28">
        <v>30595693</v>
      </c>
      <c r="E28">
        <v>1</v>
      </c>
      <c r="F28">
        <v>1</v>
      </c>
      <c r="G28">
        <v>30515945</v>
      </c>
      <c r="H28">
        <v>2</v>
      </c>
      <c r="I28" t="s">
        <v>427</v>
      </c>
      <c r="J28" t="s">
        <v>428</v>
      </c>
      <c r="K28" t="s">
        <v>429</v>
      </c>
      <c r="L28">
        <v>1367</v>
      </c>
      <c r="N28">
        <v>1011</v>
      </c>
      <c r="O28" t="s">
        <v>409</v>
      </c>
      <c r="P28" t="s">
        <v>409</v>
      </c>
      <c r="Q28">
        <v>1</v>
      </c>
      <c r="X28">
        <v>10.5</v>
      </c>
      <c r="Y28">
        <v>0</v>
      </c>
      <c r="Z28">
        <v>60.77</v>
      </c>
      <c r="AA28">
        <v>18.48</v>
      </c>
      <c r="AB28">
        <v>0</v>
      </c>
      <c r="AC28">
        <v>0</v>
      </c>
      <c r="AD28">
        <v>1</v>
      </c>
      <c r="AE28">
        <v>0</v>
      </c>
      <c r="AF28" t="s">
        <v>3</v>
      </c>
      <c r="AG28">
        <v>10.5</v>
      </c>
      <c r="AH28">
        <v>2</v>
      </c>
      <c r="AI28">
        <v>42447139</v>
      </c>
      <c r="AJ28">
        <v>27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 x14ac:dyDescent="0.2">
      <c r="A29">
        <f>ROW(Source!A86)</f>
        <v>86</v>
      </c>
      <c r="B29">
        <v>42447143</v>
      </c>
      <c r="C29">
        <v>42447137</v>
      </c>
      <c r="D29">
        <v>30596103</v>
      </c>
      <c r="E29">
        <v>1</v>
      </c>
      <c r="F29">
        <v>1</v>
      </c>
      <c r="G29">
        <v>30515945</v>
      </c>
      <c r="H29">
        <v>2</v>
      </c>
      <c r="I29" t="s">
        <v>430</v>
      </c>
      <c r="J29" t="s">
        <v>431</v>
      </c>
      <c r="K29" t="s">
        <v>432</v>
      </c>
      <c r="L29">
        <v>1367</v>
      </c>
      <c r="N29">
        <v>1011</v>
      </c>
      <c r="O29" t="s">
        <v>409</v>
      </c>
      <c r="P29" t="s">
        <v>409</v>
      </c>
      <c r="Q29">
        <v>1</v>
      </c>
      <c r="X29">
        <v>10.5</v>
      </c>
      <c r="Y29">
        <v>0</v>
      </c>
      <c r="Z29">
        <v>0.56000000000000005</v>
      </c>
      <c r="AA29">
        <v>0.09</v>
      </c>
      <c r="AB29">
        <v>0</v>
      </c>
      <c r="AC29">
        <v>0</v>
      </c>
      <c r="AD29">
        <v>1</v>
      </c>
      <c r="AE29">
        <v>0</v>
      </c>
      <c r="AF29" t="s">
        <v>3</v>
      </c>
      <c r="AG29">
        <v>10.5</v>
      </c>
      <c r="AH29">
        <v>2</v>
      </c>
      <c r="AI29">
        <v>42447140</v>
      </c>
      <c r="AJ29">
        <v>28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 x14ac:dyDescent="0.2">
      <c r="A30">
        <f>ROW(Source!A87)</f>
        <v>87</v>
      </c>
      <c r="B30">
        <v>42447145</v>
      </c>
      <c r="C30">
        <v>42447144</v>
      </c>
      <c r="D30">
        <v>30515951</v>
      </c>
      <c r="E30">
        <v>30515945</v>
      </c>
      <c r="F30">
        <v>1</v>
      </c>
      <c r="G30">
        <v>30515945</v>
      </c>
      <c r="H30">
        <v>1</v>
      </c>
      <c r="I30" t="s">
        <v>418</v>
      </c>
      <c r="J30" t="s">
        <v>3</v>
      </c>
      <c r="K30" t="s">
        <v>419</v>
      </c>
      <c r="L30">
        <v>1191</v>
      </c>
      <c r="N30">
        <v>1013</v>
      </c>
      <c r="O30" t="s">
        <v>420</v>
      </c>
      <c r="P30" t="s">
        <v>420</v>
      </c>
      <c r="Q30">
        <v>1</v>
      </c>
      <c r="X30">
        <v>107.04</v>
      </c>
      <c r="Y30">
        <v>0</v>
      </c>
      <c r="Z30">
        <v>0</v>
      </c>
      <c r="AA30">
        <v>0</v>
      </c>
      <c r="AB30">
        <v>0</v>
      </c>
      <c r="AC30">
        <v>0</v>
      </c>
      <c r="AD30">
        <v>1</v>
      </c>
      <c r="AE30">
        <v>1</v>
      </c>
      <c r="AF30" t="s">
        <v>3</v>
      </c>
      <c r="AG30">
        <v>107.04</v>
      </c>
      <c r="AH30">
        <v>3</v>
      </c>
      <c r="AI30">
        <v>-1</v>
      </c>
      <c r="AJ30" t="s">
        <v>3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 x14ac:dyDescent="0.2">
      <c r="A31">
        <f>ROW(Source!A122)</f>
        <v>122</v>
      </c>
      <c r="B31">
        <v>42447151</v>
      </c>
      <c r="C31">
        <v>42447148</v>
      </c>
      <c r="D31">
        <v>30595254</v>
      </c>
      <c r="E31">
        <v>1</v>
      </c>
      <c r="F31">
        <v>1</v>
      </c>
      <c r="G31">
        <v>30515945</v>
      </c>
      <c r="H31">
        <v>2</v>
      </c>
      <c r="I31" t="s">
        <v>439</v>
      </c>
      <c r="J31" t="s">
        <v>440</v>
      </c>
      <c r="K31" t="s">
        <v>441</v>
      </c>
      <c r="L31">
        <v>1367</v>
      </c>
      <c r="N31">
        <v>1011</v>
      </c>
      <c r="O31" t="s">
        <v>409</v>
      </c>
      <c r="P31" t="s">
        <v>409</v>
      </c>
      <c r="Q31">
        <v>1</v>
      </c>
      <c r="X31">
        <v>0.68300000000000005</v>
      </c>
      <c r="Y31">
        <v>0</v>
      </c>
      <c r="Z31">
        <v>110.31</v>
      </c>
      <c r="AA31">
        <v>26.52</v>
      </c>
      <c r="AB31">
        <v>0</v>
      </c>
      <c r="AC31">
        <v>0</v>
      </c>
      <c r="AD31">
        <v>1</v>
      </c>
      <c r="AE31">
        <v>0</v>
      </c>
      <c r="AF31" t="s">
        <v>3</v>
      </c>
      <c r="AG31">
        <v>0.68300000000000005</v>
      </c>
      <c r="AH31">
        <v>2</v>
      </c>
      <c r="AI31">
        <v>42447149</v>
      </c>
      <c r="AJ31">
        <v>29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 x14ac:dyDescent="0.2">
      <c r="A32">
        <f>ROW(Source!A122)</f>
        <v>122</v>
      </c>
      <c r="B32">
        <v>42447152</v>
      </c>
      <c r="C32">
        <v>42447148</v>
      </c>
      <c r="D32">
        <v>30595528</v>
      </c>
      <c r="E32">
        <v>1</v>
      </c>
      <c r="F32">
        <v>1</v>
      </c>
      <c r="G32">
        <v>30515945</v>
      </c>
      <c r="H32">
        <v>2</v>
      </c>
      <c r="I32" t="s">
        <v>442</v>
      </c>
      <c r="J32" t="s">
        <v>443</v>
      </c>
      <c r="K32" t="s">
        <v>444</v>
      </c>
      <c r="L32">
        <v>1367</v>
      </c>
      <c r="N32">
        <v>1011</v>
      </c>
      <c r="O32" t="s">
        <v>409</v>
      </c>
      <c r="P32" t="s">
        <v>409</v>
      </c>
      <c r="Q32">
        <v>1</v>
      </c>
      <c r="X32">
        <v>0.39700000000000002</v>
      </c>
      <c r="Y32">
        <v>0</v>
      </c>
      <c r="Z32">
        <v>125.13</v>
      </c>
      <c r="AA32">
        <v>24.74</v>
      </c>
      <c r="AB32">
        <v>0</v>
      </c>
      <c r="AC32">
        <v>0</v>
      </c>
      <c r="AD32">
        <v>1</v>
      </c>
      <c r="AE32">
        <v>0</v>
      </c>
      <c r="AF32" t="s">
        <v>3</v>
      </c>
      <c r="AG32">
        <v>0.39700000000000002</v>
      </c>
      <c r="AH32">
        <v>2</v>
      </c>
      <c r="AI32">
        <v>42447150</v>
      </c>
      <c r="AJ32">
        <v>30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 x14ac:dyDescent="0.2">
      <c r="A33">
        <f>ROW(Source!A123)</f>
        <v>123</v>
      </c>
      <c r="B33">
        <v>42447155</v>
      </c>
      <c r="C33">
        <v>42447153</v>
      </c>
      <c r="D33">
        <v>30515951</v>
      </c>
      <c r="E33">
        <v>30515945</v>
      </c>
      <c r="F33">
        <v>1</v>
      </c>
      <c r="G33">
        <v>30515945</v>
      </c>
      <c r="H33">
        <v>1</v>
      </c>
      <c r="I33" t="s">
        <v>418</v>
      </c>
      <c r="J33" t="s">
        <v>3</v>
      </c>
      <c r="K33" t="s">
        <v>419</v>
      </c>
      <c r="L33">
        <v>1191</v>
      </c>
      <c r="N33">
        <v>1013</v>
      </c>
      <c r="O33" t="s">
        <v>420</v>
      </c>
      <c r="P33" t="s">
        <v>420</v>
      </c>
      <c r="Q33">
        <v>1</v>
      </c>
      <c r="X33">
        <v>132.69999999999999</v>
      </c>
      <c r="Y33">
        <v>0</v>
      </c>
      <c r="Z33">
        <v>0</v>
      </c>
      <c r="AA33">
        <v>0</v>
      </c>
      <c r="AB33">
        <v>0</v>
      </c>
      <c r="AC33">
        <v>0</v>
      </c>
      <c r="AD33">
        <v>1</v>
      </c>
      <c r="AE33">
        <v>1</v>
      </c>
      <c r="AF33" t="s">
        <v>3</v>
      </c>
      <c r="AG33">
        <v>132.69999999999999</v>
      </c>
      <c r="AH33">
        <v>2</v>
      </c>
      <c r="AI33">
        <v>42447154</v>
      </c>
      <c r="AJ33">
        <v>31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 x14ac:dyDescent="0.2">
      <c r="A34">
        <f>ROW(Source!A159)</f>
        <v>159</v>
      </c>
      <c r="B34">
        <v>42582539</v>
      </c>
      <c r="C34">
        <v>42582538</v>
      </c>
      <c r="D34">
        <v>30515951</v>
      </c>
      <c r="E34">
        <v>30515945</v>
      </c>
      <c r="F34">
        <v>1</v>
      </c>
      <c r="G34">
        <v>30515945</v>
      </c>
      <c r="H34">
        <v>1</v>
      </c>
      <c r="I34" t="s">
        <v>418</v>
      </c>
      <c r="J34" t="s">
        <v>3</v>
      </c>
      <c r="K34" t="s">
        <v>419</v>
      </c>
      <c r="L34">
        <v>1191</v>
      </c>
      <c r="N34">
        <v>1013</v>
      </c>
      <c r="O34" t="s">
        <v>420</v>
      </c>
      <c r="P34" t="s">
        <v>420</v>
      </c>
      <c r="Q34">
        <v>1</v>
      </c>
      <c r="X34">
        <v>107.04</v>
      </c>
      <c r="Y34">
        <v>0</v>
      </c>
      <c r="Z34">
        <v>0</v>
      </c>
      <c r="AA34">
        <v>0</v>
      </c>
      <c r="AB34">
        <v>0</v>
      </c>
      <c r="AC34">
        <v>0</v>
      </c>
      <c r="AD34">
        <v>1</v>
      </c>
      <c r="AE34">
        <v>1</v>
      </c>
      <c r="AF34" t="s">
        <v>3</v>
      </c>
      <c r="AG34">
        <v>107.04</v>
      </c>
      <c r="AH34">
        <v>3</v>
      </c>
      <c r="AI34">
        <v>-1</v>
      </c>
      <c r="AJ34" t="s">
        <v>3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 x14ac:dyDescent="0.2">
      <c r="A35">
        <f>ROW(Source!A160)</f>
        <v>160</v>
      </c>
      <c r="B35">
        <v>42447169</v>
      </c>
      <c r="C35">
        <v>42447165</v>
      </c>
      <c r="D35">
        <v>30515951</v>
      </c>
      <c r="E35">
        <v>30515945</v>
      </c>
      <c r="F35">
        <v>1</v>
      </c>
      <c r="G35">
        <v>30515945</v>
      </c>
      <c r="H35">
        <v>1</v>
      </c>
      <c r="I35" t="s">
        <v>418</v>
      </c>
      <c r="J35" t="s">
        <v>3</v>
      </c>
      <c r="K35" t="s">
        <v>419</v>
      </c>
      <c r="L35">
        <v>1191</v>
      </c>
      <c r="N35">
        <v>1013</v>
      </c>
      <c r="O35" t="s">
        <v>420</v>
      </c>
      <c r="P35" t="s">
        <v>420</v>
      </c>
      <c r="Q35">
        <v>1</v>
      </c>
      <c r="X35">
        <v>10.8</v>
      </c>
      <c r="Y35">
        <v>0</v>
      </c>
      <c r="Z35">
        <v>0</v>
      </c>
      <c r="AA35">
        <v>0</v>
      </c>
      <c r="AB35">
        <v>0</v>
      </c>
      <c r="AC35">
        <v>0</v>
      </c>
      <c r="AD35">
        <v>1</v>
      </c>
      <c r="AE35">
        <v>1</v>
      </c>
      <c r="AF35" t="s">
        <v>3</v>
      </c>
      <c r="AG35">
        <v>10.8</v>
      </c>
      <c r="AH35">
        <v>2</v>
      </c>
      <c r="AI35">
        <v>42447166</v>
      </c>
      <c r="AJ35">
        <v>32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 x14ac:dyDescent="0.2">
      <c r="A36">
        <f>ROW(Source!A160)</f>
        <v>160</v>
      </c>
      <c r="B36">
        <v>42447170</v>
      </c>
      <c r="C36">
        <v>42447165</v>
      </c>
      <c r="D36">
        <v>30595693</v>
      </c>
      <c r="E36">
        <v>1</v>
      </c>
      <c r="F36">
        <v>1</v>
      </c>
      <c r="G36">
        <v>30515945</v>
      </c>
      <c r="H36">
        <v>2</v>
      </c>
      <c r="I36" t="s">
        <v>427</v>
      </c>
      <c r="J36" t="s">
        <v>428</v>
      </c>
      <c r="K36" t="s">
        <v>429</v>
      </c>
      <c r="L36">
        <v>1367</v>
      </c>
      <c r="N36">
        <v>1011</v>
      </c>
      <c r="O36" t="s">
        <v>409</v>
      </c>
      <c r="P36" t="s">
        <v>409</v>
      </c>
      <c r="Q36">
        <v>1</v>
      </c>
      <c r="X36">
        <v>10.5</v>
      </c>
      <c r="Y36">
        <v>0</v>
      </c>
      <c r="Z36">
        <v>60.77</v>
      </c>
      <c r="AA36">
        <v>18.48</v>
      </c>
      <c r="AB36">
        <v>0</v>
      </c>
      <c r="AC36">
        <v>0</v>
      </c>
      <c r="AD36">
        <v>1</v>
      </c>
      <c r="AE36">
        <v>0</v>
      </c>
      <c r="AF36" t="s">
        <v>3</v>
      </c>
      <c r="AG36">
        <v>10.5</v>
      </c>
      <c r="AH36">
        <v>2</v>
      </c>
      <c r="AI36">
        <v>42447167</v>
      </c>
      <c r="AJ36">
        <v>33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 x14ac:dyDescent="0.2">
      <c r="A37">
        <f>ROW(Source!A160)</f>
        <v>160</v>
      </c>
      <c r="B37">
        <v>42447171</v>
      </c>
      <c r="C37">
        <v>42447165</v>
      </c>
      <c r="D37">
        <v>30596103</v>
      </c>
      <c r="E37">
        <v>1</v>
      </c>
      <c r="F37">
        <v>1</v>
      </c>
      <c r="G37">
        <v>30515945</v>
      </c>
      <c r="H37">
        <v>2</v>
      </c>
      <c r="I37" t="s">
        <v>430</v>
      </c>
      <c r="J37" t="s">
        <v>431</v>
      </c>
      <c r="K37" t="s">
        <v>432</v>
      </c>
      <c r="L37">
        <v>1367</v>
      </c>
      <c r="N37">
        <v>1011</v>
      </c>
      <c r="O37" t="s">
        <v>409</v>
      </c>
      <c r="P37" t="s">
        <v>409</v>
      </c>
      <c r="Q37">
        <v>1</v>
      </c>
      <c r="X37">
        <v>10.5</v>
      </c>
      <c r="Y37">
        <v>0</v>
      </c>
      <c r="Z37">
        <v>0.56000000000000005</v>
      </c>
      <c r="AA37">
        <v>0.09</v>
      </c>
      <c r="AB37">
        <v>0</v>
      </c>
      <c r="AC37">
        <v>0</v>
      </c>
      <c r="AD37">
        <v>1</v>
      </c>
      <c r="AE37">
        <v>0</v>
      </c>
      <c r="AF37" t="s">
        <v>3</v>
      </c>
      <c r="AG37">
        <v>10.5</v>
      </c>
      <c r="AH37">
        <v>2</v>
      </c>
      <c r="AI37">
        <v>42447168</v>
      </c>
      <c r="AJ37">
        <v>34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 x14ac:dyDescent="0.2">
      <c r="A38">
        <f>ROW(Source!A161)</f>
        <v>161</v>
      </c>
      <c r="B38">
        <v>42447181</v>
      </c>
      <c r="C38">
        <v>42447179</v>
      </c>
      <c r="D38">
        <v>30515951</v>
      </c>
      <c r="E38">
        <v>30515945</v>
      </c>
      <c r="F38">
        <v>1</v>
      </c>
      <c r="G38">
        <v>30515945</v>
      </c>
      <c r="H38">
        <v>1</v>
      </c>
      <c r="I38" t="s">
        <v>418</v>
      </c>
      <c r="J38" t="s">
        <v>3</v>
      </c>
      <c r="K38" t="s">
        <v>419</v>
      </c>
      <c r="L38">
        <v>1191</v>
      </c>
      <c r="N38">
        <v>1013</v>
      </c>
      <c r="O38" t="s">
        <v>420</v>
      </c>
      <c r="P38" t="s">
        <v>420</v>
      </c>
      <c r="Q38">
        <v>1</v>
      </c>
      <c r="X38">
        <v>132.69999999999999</v>
      </c>
      <c r="Y38">
        <v>0</v>
      </c>
      <c r="Z38">
        <v>0</v>
      </c>
      <c r="AA38">
        <v>0</v>
      </c>
      <c r="AB38">
        <v>0</v>
      </c>
      <c r="AC38">
        <v>0</v>
      </c>
      <c r="AD38">
        <v>1</v>
      </c>
      <c r="AE38">
        <v>1</v>
      </c>
      <c r="AF38" t="s">
        <v>3</v>
      </c>
      <c r="AG38">
        <v>132.69999999999999</v>
      </c>
      <c r="AH38">
        <v>2</v>
      </c>
      <c r="AI38">
        <v>42447180</v>
      </c>
      <c r="AJ38">
        <v>35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 x14ac:dyDescent="0.2">
      <c r="A39">
        <f>ROW(Source!A196)</f>
        <v>196</v>
      </c>
      <c r="B39">
        <v>42447184</v>
      </c>
      <c r="C39">
        <v>42447182</v>
      </c>
      <c r="D39">
        <v>30515951</v>
      </c>
      <c r="E39">
        <v>30515945</v>
      </c>
      <c r="F39">
        <v>1</v>
      </c>
      <c r="G39">
        <v>30515945</v>
      </c>
      <c r="H39">
        <v>1</v>
      </c>
      <c r="I39" t="s">
        <v>418</v>
      </c>
      <c r="J39" t="s">
        <v>3</v>
      </c>
      <c r="K39" t="s">
        <v>419</v>
      </c>
      <c r="L39">
        <v>1191</v>
      </c>
      <c r="N39">
        <v>1013</v>
      </c>
      <c r="O39" t="s">
        <v>420</v>
      </c>
      <c r="P39" t="s">
        <v>420</v>
      </c>
      <c r="Q39">
        <v>1</v>
      </c>
      <c r="X39">
        <v>18.8</v>
      </c>
      <c r="Y39">
        <v>0</v>
      </c>
      <c r="Z39">
        <v>0</v>
      </c>
      <c r="AA39">
        <v>0</v>
      </c>
      <c r="AB39">
        <v>0</v>
      </c>
      <c r="AC39">
        <v>0</v>
      </c>
      <c r="AD39">
        <v>1</v>
      </c>
      <c r="AE39">
        <v>1</v>
      </c>
      <c r="AF39" t="s">
        <v>3</v>
      </c>
      <c r="AG39">
        <v>18.8</v>
      </c>
      <c r="AH39">
        <v>2</v>
      </c>
      <c r="AI39">
        <v>42447183</v>
      </c>
      <c r="AJ39">
        <v>36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 x14ac:dyDescent="0.2">
      <c r="A40">
        <f>ROW(Source!A197)</f>
        <v>197</v>
      </c>
      <c r="B40">
        <v>42447187</v>
      </c>
      <c r="C40">
        <v>42447185</v>
      </c>
      <c r="D40">
        <v>30515951</v>
      </c>
      <c r="E40">
        <v>30515945</v>
      </c>
      <c r="F40">
        <v>1</v>
      </c>
      <c r="G40">
        <v>30515945</v>
      </c>
      <c r="H40">
        <v>1</v>
      </c>
      <c r="I40" t="s">
        <v>418</v>
      </c>
      <c r="J40" t="s">
        <v>3</v>
      </c>
      <c r="K40" t="s">
        <v>419</v>
      </c>
      <c r="L40">
        <v>1191</v>
      </c>
      <c r="N40">
        <v>1013</v>
      </c>
      <c r="O40" t="s">
        <v>420</v>
      </c>
      <c r="P40" t="s">
        <v>420</v>
      </c>
      <c r="Q40">
        <v>1</v>
      </c>
      <c r="X40">
        <v>24.8</v>
      </c>
      <c r="Y40">
        <v>0</v>
      </c>
      <c r="Z40">
        <v>0</v>
      </c>
      <c r="AA40">
        <v>0</v>
      </c>
      <c r="AB40">
        <v>0</v>
      </c>
      <c r="AC40">
        <v>0</v>
      </c>
      <c r="AD40">
        <v>1</v>
      </c>
      <c r="AE40">
        <v>1</v>
      </c>
      <c r="AF40" t="s">
        <v>3</v>
      </c>
      <c r="AG40">
        <v>24.8</v>
      </c>
      <c r="AH40">
        <v>2</v>
      </c>
      <c r="AI40">
        <v>42447186</v>
      </c>
      <c r="AJ40">
        <v>37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 x14ac:dyDescent="0.2">
      <c r="A41">
        <f>ROW(Source!A198)</f>
        <v>198</v>
      </c>
      <c r="B41">
        <v>42582580</v>
      </c>
      <c r="C41">
        <v>42582541</v>
      </c>
      <c r="D41">
        <v>30515951</v>
      </c>
      <c r="E41">
        <v>30515945</v>
      </c>
      <c r="F41">
        <v>1</v>
      </c>
      <c r="G41">
        <v>30515945</v>
      </c>
      <c r="H41">
        <v>1</v>
      </c>
      <c r="I41" t="s">
        <v>418</v>
      </c>
      <c r="J41" t="s">
        <v>3</v>
      </c>
      <c r="K41" t="s">
        <v>419</v>
      </c>
      <c r="L41">
        <v>1191</v>
      </c>
      <c r="N41">
        <v>1013</v>
      </c>
      <c r="O41" t="s">
        <v>420</v>
      </c>
      <c r="P41" t="s">
        <v>420</v>
      </c>
      <c r="Q41">
        <v>1</v>
      </c>
      <c r="X41">
        <v>32</v>
      </c>
      <c r="Y41">
        <v>0</v>
      </c>
      <c r="Z41">
        <v>0</v>
      </c>
      <c r="AA41">
        <v>0</v>
      </c>
      <c r="AB41">
        <v>0</v>
      </c>
      <c r="AC41">
        <v>0</v>
      </c>
      <c r="AD41">
        <v>1</v>
      </c>
      <c r="AE41">
        <v>1</v>
      </c>
      <c r="AF41" t="s">
        <v>3</v>
      </c>
      <c r="AG41">
        <v>32</v>
      </c>
      <c r="AH41">
        <v>2</v>
      </c>
      <c r="AI41">
        <v>42582542</v>
      </c>
      <c r="AJ41">
        <v>38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 x14ac:dyDescent="0.2">
      <c r="A42">
        <f>ROW(Source!A200)</f>
        <v>200</v>
      </c>
      <c r="B42">
        <v>42447194</v>
      </c>
      <c r="C42">
        <v>42447192</v>
      </c>
      <c r="D42">
        <v>30515951</v>
      </c>
      <c r="E42">
        <v>30515945</v>
      </c>
      <c r="F42">
        <v>1</v>
      </c>
      <c r="G42">
        <v>30515945</v>
      </c>
      <c r="H42">
        <v>1</v>
      </c>
      <c r="I42" t="s">
        <v>418</v>
      </c>
      <c r="J42" t="s">
        <v>3</v>
      </c>
      <c r="K42" t="s">
        <v>419</v>
      </c>
      <c r="L42">
        <v>1191</v>
      </c>
      <c r="N42">
        <v>1013</v>
      </c>
      <c r="O42" t="s">
        <v>420</v>
      </c>
      <c r="P42" t="s">
        <v>420</v>
      </c>
      <c r="Q42">
        <v>1</v>
      </c>
      <c r="X42">
        <v>18.8</v>
      </c>
      <c r="Y42">
        <v>0</v>
      </c>
      <c r="Z42">
        <v>0</v>
      </c>
      <c r="AA42">
        <v>0</v>
      </c>
      <c r="AB42">
        <v>0</v>
      </c>
      <c r="AC42">
        <v>0</v>
      </c>
      <c r="AD42">
        <v>1</v>
      </c>
      <c r="AE42">
        <v>1</v>
      </c>
      <c r="AF42" t="s">
        <v>3</v>
      </c>
      <c r="AG42">
        <v>18.8</v>
      </c>
      <c r="AH42">
        <v>2</v>
      </c>
      <c r="AI42">
        <v>42447193</v>
      </c>
      <c r="AJ42">
        <v>39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 x14ac:dyDescent="0.2">
      <c r="A43">
        <f>ROW(Source!A201)</f>
        <v>201</v>
      </c>
      <c r="B43">
        <v>42447197</v>
      </c>
      <c r="C43">
        <v>42447195</v>
      </c>
      <c r="D43">
        <v>30515951</v>
      </c>
      <c r="E43">
        <v>30515945</v>
      </c>
      <c r="F43">
        <v>1</v>
      </c>
      <c r="G43">
        <v>30515945</v>
      </c>
      <c r="H43">
        <v>1</v>
      </c>
      <c r="I43" t="s">
        <v>418</v>
      </c>
      <c r="J43" t="s">
        <v>3</v>
      </c>
      <c r="K43" t="s">
        <v>419</v>
      </c>
      <c r="L43">
        <v>1191</v>
      </c>
      <c r="N43">
        <v>1013</v>
      </c>
      <c r="O43" t="s">
        <v>420</v>
      </c>
      <c r="P43" t="s">
        <v>420</v>
      </c>
      <c r="Q43">
        <v>1</v>
      </c>
      <c r="X43">
        <v>24.8</v>
      </c>
      <c r="Y43">
        <v>0</v>
      </c>
      <c r="Z43">
        <v>0</v>
      </c>
      <c r="AA43">
        <v>0</v>
      </c>
      <c r="AB43">
        <v>0</v>
      </c>
      <c r="AC43">
        <v>0</v>
      </c>
      <c r="AD43">
        <v>1</v>
      </c>
      <c r="AE43">
        <v>1</v>
      </c>
      <c r="AF43" t="s">
        <v>3</v>
      </c>
      <c r="AG43">
        <v>24.8</v>
      </c>
      <c r="AH43">
        <v>2</v>
      </c>
      <c r="AI43">
        <v>42447196</v>
      </c>
      <c r="AJ43">
        <v>40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 x14ac:dyDescent="0.2">
      <c r="A44">
        <f>ROW(Source!A202)</f>
        <v>202</v>
      </c>
      <c r="B44">
        <v>42582581</v>
      </c>
      <c r="C44">
        <v>42447198</v>
      </c>
      <c r="D44">
        <v>30515951</v>
      </c>
      <c r="E44">
        <v>30515945</v>
      </c>
      <c r="F44">
        <v>1</v>
      </c>
      <c r="G44">
        <v>30515945</v>
      </c>
      <c r="H44">
        <v>1</v>
      </c>
      <c r="I44" t="s">
        <v>418</v>
      </c>
      <c r="J44" t="s">
        <v>3</v>
      </c>
      <c r="K44" t="s">
        <v>419</v>
      </c>
      <c r="L44">
        <v>1191</v>
      </c>
      <c r="N44">
        <v>1013</v>
      </c>
      <c r="O44" t="s">
        <v>420</v>
      </c>
      <c r="P44" t="s">
        <v>420</v>
      </c>
      <c r="Q44">
        <v>1</v>
      </c>
      <c r="X44">
        <v>32</v>
      </c>
      <c r="Y44">
        <v>0</v>
      </c>
      <c r="Z44">
        <v>0</v>
      </c>
      <c r="AA44">
        <v>0</v>
      </c>
      <c r="AB44">
        <v>0</v>
      </c>
      <c r="AC44">
        <v>0</v>
      </c>
      <c r="AD44">
        <v>1</v>
      </c>
      <c r="AE44">
        <v>1</v>
      </c>
      <c r="AF44" t="s">
        <v>3</v>
      </c>
      <c r="AG44">
        <v>32</v>
      </c>
      <c r="AH44">
        <v>2</v>
      </c>
      <c r="AI44">
        <v>42447199</v>
      </c>
      <c r="AJ44">
        <v>41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 x14ac:dyDescent="0.2">
      <c r="A45">
        <f>ROW(Source!A204)</f>
        <v>204</v>
      </c>
      <c r="B45">
        <v>42447204</v>
      </c>
      <c r="C45">
        <v>42447202</v>
      </c>
      <c r="D45">
        <v>30515951</v>
      </c>
      <c r="E45">
        <v>30515945</v>
      </c>
      <c r="F45">
        <v>1</v>
      </c>
      <c r="G45">
        <v>30515945</v>
      </c>
      <c r="H45">
        <v>1</v>
      </c>
      <c r="I45" t="s">
        <v>418</v>
      </c>
      <c r="J45" t="s">
        <v>3</v>
      </c>
      <c r="K45" t="s">
        <v>419</v>
      </c>
      <c r="L45">
        <v>1191</v>
      </c>
      <c r="N45">
        <v>1013</v>
      </c>
      <c r="O45" t="s">
        <v>420</v>
      </c>
      <c r="P45" t="s">
        <v>420</v>
      </c>
      <c r="Q45">
        <v>1</v>
      </c>
      <c r="X45">
        <v>11.8</v>
      </c>
      <c r="Y45">
        <v>0</v>
      </c>
      <c r="Z45">
        <v>0</v>
      </c>
      <c r="AA45">
        <v>0</v>
      </c>
      <c r="AB45">
        <v>0</v>
      </c>
      <c r="AC45">
        <v>0</v>
      </c>
      <c r="AD45">
        <v>1</v>
      </c>
      <c r="AE45">
        <v>1</v>
      </c>
      <c r="AF45" t="s">
        <v>3</v>
      </c>
      <c r="AG45">
        <v>11.8</v>
      </c>
      <c r="AH45">
        <v>2</v>
      </c>
      <c r="AI45">
        <v>42447203</v>
      </c>
      <c r="AJ45">
        <v>42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 x14ac:dyDescent="0.2">
      <c r="A46">
        <f>ROW(Source!A205)</f>
        <v>205</v>
      </c>
      <c r="B46">
        <v>42447207</v>
      </c>
      <c r="C46">
        <v>42447205</v>
      </c>
      <c r="D46">
        <v>30515951</v>
      </c>
      <c r="E46">
        <v>30515945</v>
      </c>
      <c r="F46">
        <v>1</v>
      </c>
      <c r="G46">
        <v>30515945</v>
      </c>
      <c r="H46">
        <v>1</v>
      </c>
      <c r="I46" t="s">
        <v>418</v>
      </c>
      <c r="J46" t="s">
        <v>3</v>
      </c>
      <c r="K46" t="s">
        <v>419</v>
      </c>
      <c r="L46">
        <v>1191</v>
      </c>
      <c r="N46">
        <v>1013</v>
      </c>
      <c r="O46" t="s">
        <v>420</v>
      </c>
      <c r="P46" t="s">
        <v>420</v>
      </c>
      <c r="Q46">
        <v>1</v>
      </c>
      <c r="X46">
        <v>15.8</v>
      </c>
      <c r="Y46">
        <v>0</v>
      </c>
      <c r="Z46">
        <v>0</v>
      </c>
      <c r="AA46">
        <v>0</v>
      </c>
      <c r="AB46">
        <v>0</v>
      </c>
      <c r="AC46">
        <v>0</v>
      </c>
      <c r="AD46">
        <v>1</v>
      </c>
      <c r="AE46">
        <v>1</v>
      </c>
      <c r="AF46" t="s">
        <v>3</v>
      </c>
      <c r="AG46">
        <v>15.8</v>
      </c>
      <c r="AH46">
        <v>2</v>
      </c>
      <c r="AI46">
        <v>42447206</v>
      </c>
      <c r="AJ46">
        <v>43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 x14ac:dyDescent="0.2">
      <c r="A47">
        <f>ROW(Source!A206)</f>
        <v>206</v>
      </c>
      <c r="B47">
        <v>42582584</v>
      </c>
      <c r="C47">
        <v>42447208</v>
      </c>
      <c r="D47">
        <v>30515951</v>
      </c>
      <c r="E47">
        <v>30515945</v>
      </c>
      <c r="F47">
        <v>1</v>
      </c>
      <c r="G47">
        <v>30515945</v>
      </c>
      <c r="H47">
        <v>1</v>
      </c>
      <c r="I47" t="s">
        <v>418</v>
      </c>
      <c r="J47" t="s">
        <v>3</v>
      </c>
      <c r="K47" t="s">
        <v>419</v>
      </c>
      <c r="L47">
        <v>1191</v>
      </c>
      <c r="N47">
        <v>1013</v>
      </c>
      <c r="O47" t="s">
        <v>420</v>
      </c>
      <c r="P47" t="s">
        <v>420</v>
      </c>
      <c r="Q47">
        <v>1</v>
      </c>
      <c r="X47">
        <v>18.600000000000001</v>
      </c>
      <c r="Y47">
        <v>0</v>
      </c>
      <c r="Z47">
        <v>0</v>
      </c>
      <c r="AA47">
        <v>0</v>
      </c>
      <c r="AB47">
        <v>0</v>
      </c>
      <c r="AC47">
        <v>0</v>
      </c>
      <c r="AD47">
        <v>1</v>
      </c>
      <c r="AE47">
        <v>1</v>
      </c>
      <c r="AF47" t="s">
        <v>3</v>
      </c>
      <c r="AG47">
        <v>18.600000000000001</v>
      </c>
      <c r="AH47">
        <v>2</v>
      </c>
      <c r="AI47">
        <v>42447209</v>
      </c>
      <c r="AJ47">
        <v>44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 x14ac:dyDescent="0.2">
      <c r="A48">
        <f>ROW(Source!A208)</f>
        <v>208</v>
      </c>
      <c r="B48">
        <v>42447215</v>
      </c>
      <c r="C48">
        <v>42447213</v>
      </c>
      <c r="D48">
        <v>30515951</v>
      </c>
      <c r="E48">
        <v>30515945</v>
      </c>
      <c r="F48">
        <v>1</v>
      </c>
      <c r="G48">
        <v>30515945</v>
      </c>
      <c r="H48">
        <v>1</v>
      </c>
      <c r="I48" t="s">
        <v>418</v>
      </c>
      <c r="J48" t="s">
        <v>3</v>
      </c>
      <c r="K48" t="s">
        <v>419</v>
      </c>
      <c r="L48">
        <v>1191</v>
      </c>
      <c r="N48">
        <v>1013</v>
      </c>
      <c r="O48" t="s">
        <v>420</v>
      </c>
      <c r="P48" t="s">
        <v>420</v>
      </c>
      <c r="Q48">
        <v>1</v>
      </c>
      <c r="X48">
        <v>11.8</v>
      </c>
      <c r="Y48">
        <v>0</v>
      </c>
      <c r="Z48">
        <v>0</v>
      </c>
      <c r="AA48">
        <v>0</v>
      </c>
      <c r="AB48">
        <v>0</v>
      </c>
      <c r="AC48">
        <v>0</v>
      </c>
      <c r="AD48">
        <v>1</v>
      </c>
      <c r="AE48">
        <v>1</v>
      </c>
      <c r="AF48" t="s">
        <v>3</v>
      </c>
      <c r="AG48">
        <v>11.8</v>
      </c>
      <c r="AH48">
        <v>2</v>
      </c>
      <c r="AI48">
        <v>42447214</v>
      </c>
      <c r="AJ48">
        <v>45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 x14ac:dyDescent="0.2">
      <c r="A49">
        <f>ROW(Source!A209)</f>
        <v>209</v>
      </c>
      <c r="B49">
        <v>42447218</v>
      </c>
      <c r="C49">
        <v>42447216</v>
      </c>
      <c r="D49">
        <v>30515951</v>
      </c>
      <c r="E49">
        <v>30515945</v>
      </c>
      <c r="F49">
        <v>1</v>
      </c>
      <c r="G49">
        <v>30515945</v>
      </c>
      <c r="H49">
        <v>1</v>
      </c>
      <c r="I49" t="s">
        <v>418</v>
      </c>
      <c r="J49" t="s">
        <v>3</v>
      </c>
      <c r="K49" t="s">
        <v>419</v>
      </c>
      <c r="L49">
        <v>1191</v>
      </c>
      <c r="N49">
        <v>1013</v>
      </c>
      <c r="O49" t="s">
        <v>420</v>
      </c>
      <c r="P49" t="s">
        <v>420</v>
      </c>
      <c r="Q49">
        <v>1</v>
      </c>
      <c r="X49">
        <v>10.7</v>
      </c>
      <c r="Y49">
        <v>0</v>
      </c>
      <c r="Z49">
        <v>0</v>
      </c>
      <c r="AA49">
        <v>0</v>
      </c>
      <c r="AB49">
        <v>0</v>
      </c>
      <c r="AC49">
        <v>0</v>
      </c>
      <c r="AD49">
        <v>1</v>
      </c>
      <c r="AE49">
        <v>1</v>
      </c>
      <c r="AF49" t="s">
        <v>3</v>
      </c>
      <c r="AG49">
        <v>10.7</v>
      </c>
      <c r="AH49">
        <v>2</v>
      </c>
      <c r="AI49">
        <v>42447217</v>
      </c>
      <c r="AJ49">
        <v>46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 x14ac:dyDescent="0.2">
      <c r="A50">
        <f>ROW(Source!A210)</f>
        <v>210</v>
      </c>
      <c r="B50">
        <v>42582583</v>
      </c>
      <c r="C50">
        <v>42447219</v>
      </c>
      <c r="D50">
        <v>30515951</v>
      </c>
      <c r="E50">
        <v>30515945</v>
      </c>
      <c r="F50">
        <v>1</v>
      </c>
      <c r="G50">
        <v>30515945</v>
      </c>
      <c r="H50">
        <v>1</v>
      </c>
      <c r="I50" t="s">
        <v>418</v>
      </c>
      <c r="J50" t="s">
        <v>3</v>
      </c>
      <c r="K50" t="s">
        <v>419</v>
      </c>
      <c r="L50">
        <v>1191</v>
      </c>
      <c r="N50">
        <v>1013</v>
      </c>
      <c r="O50" t="s">
        <v>420</v>
      </c>
      <c r="P50" t="s">
        <v>420</v>
      </c>
      <c r="Q50">
        <v>1</v>
      </c>
      <c r="X50">
        <v>15.2</v>
      </c>
      <c r="Y50">
        <v>0</v>
      </c>
      <c r="Z50">
        <v>0</v>
      </c>
      <c r="AA50">
        <v>0</v>
      </c>
      <c r="AB50">
        <v>0</v>
      </c>
      <c r="AC50">
        <v>0</v>
      </c>
      <c r="AD50">
        <v>1</v>
      </c>
      <c r="AE50">
        <v>1</v>
      </c>
      <c r="AF50" t="s">
        <v>3</v>
      </c>
      <c r="AG50">
        <v>15.2</v>
      </c>
      <c r="AH50">
        <v>2</v>
      </c>
      <c r="AI50">
        <v>42447220</v>
      </c>
      <c r="AJ50">
        <v>47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 x14ac:dyDescent="0.2">
      <c r="A51">
        <f>ROW(Source!A247)</f>
        <v>247</v>
      </c>
      <c r="B51">
        <v>42596464</v>
      </c>
      <c r="C51">
        <v>42596463</v>
      </c>
      <c r="D51">
        <v>30515951</v>
      </c>
      <c r="E51">
        <v>30515945</v>
      </c>
      <c r="F51">
        <v>1</v>
      </c>
      <c r="G51">
        <v>30515945</v>
      </c>
      <c r="H51">
        <v>1</v>
      </c>
      <c r="I51" t="s">
        <v>418</v>
      </c>
      <c r="J51" t="s">
        <v>3</v>
      </c>
      <c r="K51" t="s">
        <v>419</v>
      </c>
      <c r="L51">
        <v>1191</v>
      </c>
      <c r="N51">
        <v>1013</v>
      </c>
      <c r="O51" t="s">
        <v>420</v>
      </c>
      <c r="P51" t="s">
        <v>420</v>
      </c>
      <c r="Q51">
        <v>1</v>
      </c>
      <c r="X51">
        <v>16.8</v>
      </c>
      <c r="Y51">
        <v>0</v>
      </c>
      <c r="Z51">
        <v>0</v>
      </c>
      <c r="AA51">
        <v>0</v>
      </c>
      <c r="AB51">
        <v>0</v>
      </c>
      <c r="AC51">
        <v>0</v>
      </c>
      <c r="AD51">
        <v>1</v>
      </c>
      <c r="AE51">
        <v>1</v>
      </c>
      <c r="AF51" t="s">
        <v>3</v>
      </c>
      <c r="AG51">
        <v>16.8</v>
      </c>
      <c r="AH51">
        <v>2</v>
      </c>
      <c r="AI51">
        <v>42596464</v>
      </c>
      <c r="AJ51">
        <v>48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 x14ac:dyDescent="0.2">
      <c r="A52">
        <f>ROW(Source!A249)</f>
        <v>249</v>
      </c>
      <c r="B52">
        <v>42582588</v>
      </c>
      <c r="C52">
        <v>42582587</v>
      </c>
      <c r="D52">
        <v>30515951</v>
      </c>
      <c r="E52">
        <v>30515945</v>
      </c>
      <c r="F52">
        <v>1</v>
      </c>
      <c r="G52">
        <v>30515945</v>
      </c>
      <c r="H52">
        <v>1</v>
      </c>
      <c r="I52" t="s">
        <v>418</v>
      </c>
      <c r="J52" t="s">
        <v>3</v>
      </c>
      <c r="K52" t="s">
        <v>419</v>
      </c>
      <c r="L52">
        <v>1191</v>
      </c>
      <c r="N52">
        <v>1013</v>
      </c>
      <c r="O52" t="s">
        <v>420</v>
      </c>
      <c r="P52" t="s">
        <v>420</v>
      </c>
      <c r="Q52">
        <v>1</v>
      </c>
      <c r="X52">
        <v>11</v>
      </c>
      <c r="Y52">
        <v>0</v>
      </c>
      <c r="Z52">
        <v>0</v>
      </c>
      <c r="AA52">
        <v>0</v>
      </c>
      <c r="AB52">
        <v>0</v>
      </c>
      <c r="AC52">
        <v>0</v>
      </c>
      <c r="AD52">
        <v>1</v>
      </c>
      <c r="AE52">
        <v>1</v>
      </c>
      <c r="AF52" t="s">
        <v>3</v>
      </c>
      <c r="AG52">
        <v>11</v>
      </c>
      <c r="AH52">
        <v>2</v>
      </c>
      <c r="AI52">
        <v>42582588</v>
      </c>
      <c r="AJ52">
        <v>49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 x14ac:dyDescent="0.2">
      <c r="A53">
        <f>ROW(Source!A285)</f>
        <v>285</v>
      </c>
      <c r="B53">
        <v>42582591</v>
      </c>
      <c r="C53">
        <v>42447234</v>
      </c>
      <c r="D53">
        <v>30515951</v>
      </c>
      <c r="E53">
        <v>30515945</v>
      </c>
      <c r="F53">
        <v>1</v>
      </c>
      <c r="G53">
        <v>30515945</v>
      </c>
      <c r="H53">
        <v>1</v>
      </c>
      <c r="I53" t="s">
        <v>418</v>
      </c>
      <c r="J53" t="s">
        <v>3</v>
      </c>
      <c r="K53" t="s">
        <v>419</v>
      </c>
      <c r="L53">
        <v>1191</v>
      </c>
      <c r="N53">
        <v>1013</v>
      </c>
      <c r="O53" t="s">
        <v>420</v>
      </c>
      <c r="P53" t="s">
        <v>420</v>
      </c>
      <c r="Q53">
        <v>1</v>
      </c>
      <c r="X53">
        <v>133</v>
      </c>
      <c r="Y53">
        <v>0</v>
      </c>
      <c r="Z53">
        <v>0</v>
      </c>
      <c r="AA53">
        <v>0</v>
      </c>
      <c r="AB53">
        <v>0</v>
      </c>
      <c r="AC53">
        <v>0</v>
      </c>
      <c r="AD53">
        <v>1</v>
      </c>
      <c r="AE53">
        <v>1</v>
      </c>
      <c r="AF53" t="s">
        <v>3</v>
      </c>
      <c r="AG53">
        <v>133</v>
      </c>
      <c r="AH53">
        <v>2</v>
      </c>
      <c r="AI53">
        <v>42582591</v>
      </c>
      <c r="AJ53">
        <v>50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 x14ac:dyDescent="0.2">
      <c r="A54">
        <f>ROW(Source!A285)</f>
        <v>285</v>
      </c>
      <c r="B54">
        <v>42582592</v>
      </c>
      <c r="C54">
        <v>42447234</v>
      </c>
      <c r="D54">
        <v>40706843</v>
      </c>
      <c r="E54">
        <v>30515945</v>
      </c>
      <c r="F54">
        <v>1</v>
      </c>
      <c r="G54">
        <v>30515945</v>
      </c>
      <c r="H54">
        <v>3</v>
      </c>
      <c r="I54" t="s">
        <v>460</v>
      </c>
      <c r="J54" t="s">
        <v>3</v>
      </c>
      <c r="K54" t="s">
        <v>461</v>
      </c>
      <c r="L54">
        <v>1301</v>
      </c>
      <c r="N54">
        <v>1003</v>
      </c>
      <c r="O54" t="s">
        <v>205</v>
      </c>
      <c r="P54" t="s">
        <v>205</v>
      </c>
      <c r="Q54">
        <v>1</v>
      </c>
      <c r="X54">
        <v>1000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 t="s">
        <v>3</v>
      </c>
      <c r="AG54">
        <v>1000</v>
      </c>
      <c r="AH54">
        <v>3</v>
      </c>
      <c r="AI54">
        <v>-1</v>
      </c>
      <c r="AJ54" t="s">
        <v>3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 x14ac:dyDescent="0.2">
      <c r="A55">
        <f>ROW(Source!A285)</f>
        <v>285</v>
      </c>
      <c r="B55">
        <v>42582593</v>
      </c>
      <c r="C55">
        <v>42447234</v>
      </c>
      <c r="D55">
        <v>30541208</v>
      </c>
      <c r="E55">
        <v>30515945</v>
      </c>
      <c r="F55">
        <v>1</v>
      </c>
      <c r="G55">
        <v>30515945</v>
      </c>
      <c r="H55">
        <v>3</v>
      </c>
      <c r="I55" t="s">
        <v>445</v>
      </c>
      <c r="J55" t="s">
        <v>3</v>
      </c>
      <c r="K55" t="s">
        <v>446</v>
      </c>
      <c r="L55">
        <v>1344</v>
      </c>
      <c r="N55">
        <v>1008</v>
      </c>
      <c r="O55" t="s">
        <v>447</v>
      </c>
      <c r="P55" t="s">
        <v>447</v>
      </c>
      <c r="Q55">
        <v>1</v>
      </c>
      <c r="X55">
        <v>44.38</v>
      </c>
      <c r="Y55">
        <v>1</v>
      </c>
      <c r="Z55">
        <v>0</v>
      </c>
      <c r="AA55">
        <v>0</v>
      </c>
      <c r="AB55">
        <v>0</v>
      </c>
      <c r="AC55">
        <v>0</v>
      </c>
      <c r="AD55">
        <v>1</v>
      </c>
      <c r="AE55">
        <v>0</v>
      </c>
      <c r="AF55" t="s">
        <v>3</v>
      </c>
      <c r="AG55">
        <v>44.38</v>
      </c>
      <c r="AH55">
        <v>2</v>
      </c>
      <c r="AI55">
        <v>42582593</v>
      </c>
      <c r="AJ55">
        <v>51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 x14ac:dyDescent="0.2">
      <c r="A56">
        <f>ROW(Source!A322)</f>
        <v>322</v>
      </c>
      <c r="B56">
        <v>42447244</v>
      </c>
      <c r="C56">
        <v>42447241</v>
      </c>
      <c r="D56">
        <v>30515951</v>
      </c>
      <c r="E56">
        <v>30515945</v>
      </c>
      <c r="F56">
        <v>1</v>
      </c>
      <c r="G56">
        <v>30515945</v>
      </c>
      <c r="H56">
        <v>1</v>
      </c>
      <c r="I56" t="s">
        <v>418</v>
      </c>
      <c r="J56" t="s">
        <v>3</v>
      </c>
      <c r="K56" t="s">
        <v>419</v>
      </c>
      <c r="L56">
        <v>1191</v>
      </c>
      <c r="N56">
        <v>1013</v>
      </c>
      <c r="O56" t="s">
        <v>420</v>
      </c>
      <c r="P56" t="s">
        <v>420</v>
      </c>
      <c r="Q56">
        <v>1</v>
      </c>
      <c r="X56">
        <v>3.04</v>
      </c>
      <c r="Y56">
        <v>0</v>
      </c>
      <c r="Z56">
        <v>0</v>
      </c>
      <c r="AA56">
        <v>0</v>
      </c>
      <c r="AB56">
        <v>0</v>
      </c>
      <c r="AC56">
        <v>0</v>
      </c>
      <c r="AD56">
        <v>1</v>
      </c>
      <c r="AE56">
        <v>1</v>
      </c>
      <c r="AF56" t="s">
        <v>3</v>
      </c>
      <c r="AG56">
        <v>3.04</v>
      </c>
      <c r="AH56">
        <v>2</v>
      </c>
      <c r="AI56">
        <v>42447242</v>
      </c>
      <c r="AJ56">
        <v>52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 x14ac:dyDescent="0.2">
      <c r="A57">
        <f>ROW(Source!A322)</f>
        <v>322</v>
      </c>
      <c r="B57">
        <v>42447245</v>
      </c>
      <c r="C57">
        <v>42447241</v>
      </c>
      <c r="D57">
        <v>30533276</v>
      </c>
      <c r="E57">
        <v>30515945</v>
      </c>
      <c r="F57">
        <v>1</v>
      </c>
      <c r="G57">
        <v>30515945</v>
      </c>
      <c r="H57">
        <v>3</v>
      </c>
      <c r="I57" t="s">
        <v>462</v>
      </c>
      <c r="J57" t="s">
        <v>3</v>
      </c>
      <c r="K57" t="s">
        <v>463</v>
      </c>
      <c r="L57">
        <v>1346</v>
      </c>
      <c r="N57">
        <v>1009</v>
      </c>
      <c r="O57" t="s">
        <v>464</v>
      </c>
      <c r="P57" t="s">
        <v>464</v>
      </c>
      <c r="Q57">
        <v>1</v>
      </c>
      <c r="X57">
        <v>1.9570000000000001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 t="s">
        <v>3</v>
      </c>
      <c r="AG57">
        <v>1.9570000000000001</v>
      </c>
      <c r="AH57">
        <v>3</v>
      </c>
      <c r="AI57">
        <v>-1</v>
      </c>
      <c r="AJ57" t="s">
        <v>3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 x14ac:dyDescent="0.2">
      <c r="A58">
        <f>ROW(Source!A324)</f>
        <v>324</v>
      </c>
      <c r="B58">
        <v>42582608</v>
      </c>
      <c r="C58">
        <v>42582607</v>
      </c>
      <c r="D58">
        <v>30515951</v>
      </c>
      <c r="E58">
        <v>30515945</v>
      </c>
      <c r="F58">
        <v>1</v>
      </c>
      <c r="G58">
        <v>30515945</v>
      </c>
      <c r="H58">
        <v>1</v>
      </c>
      <c r="I58" t="s">
        <v>418</v>
      </c>
      <c r="J58" t="s">
        <v>3</v>
      </c>
      <c r="K58" t="s">
        <v>419</v>
      </c>
      <c r="L58">
        <v>1191</v>
      </c>
      <c r="N58">
        <v>1013</v>
      </c>
      <c r="O58" t="s">
        <v>420</v>
      </c>
      <c r="P58" t="s">
        <v>420</v>
      </c>
      <c r="Q58">
        <v>1</v>
      </c>
      <c r="X58">
        <v>4.12</v>
      </c>
      <c r="Y58">
        <v>0</v>
      </c>
      <c r="Z58">
        <v>0</v>
      </c>
      <c r="AA58">
        <v>0</v>
      </c>
      <c r="AB58">
        <v>0</v>
      </c>
      <c r="AC58">
        <v>0</v>
      </c>
      <c r="AD58">
        <v>1</v>
      </c>
      <c r="AE58">
        <v>1</v>
      </c>
      <c r="AF58" t="s">
        <v>3</v>
      </c>
      <c r="AG58">
        <v>4.12</v>
      </c>
      <c r="AH58">
        <v>2</v>
      </c>
      <c r="AI58">
        <v>42582608</v>
      </c>
      <c r="AJ58">
        <v>54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 x14ac:dyDescent="0.2">
      <c r="A59">
        <f>ROW(Source!A326)</f>
        <v>326</v>
      </c>
      <c r="B59">
        <v>42596442</v>
      </c>
      <c r="C59">
        <v>42447257</v>
      </c>
      <c r="D59">
        <v>30515951</v>
      </c>
      <c r="E59">
        <v>30515945</v>
      </c>
      <c r="F59">
        <v>1</v>
      </c>
      <c r="G59">
        <v>30515945</v>
      </c>
      <c r="H59">
        <v>1</v>
      </c>
      <c r="I59" t="s">
        <v>418</v>
      </c>
      <c r="J59" t="s">
        <v>3</v>
      </c>
      <c r="K59" t="s">
        <v>419</v>
      </c>
      <c r="L59">
        <v>1191</v>
      </c>
      <c r="N59">
        <v>1013</v>
      </c>
      <c r="O59" t="s">
        <v>420</v>
      </c>
      <c r="P59" t="s">
        <v>420</v>
      </c>
      <c r="Q59">
        <v>1</v>
      </c>
      <c r="X59">
        <v>2.06</v>
      </c>
      <c r="Y59">
        <v>0</v>
      </c>
      <c r="Z59">
        <v>0</v>
      </c>
      <c r="AA59">
        <v>0</v>
      </c>
      <c r="AB59">
        <v>0</v>
      </c>
      <c r="AC59">
        <v>0</v>
      </c>
      <c r="AD59">
        <v>1</v>
      </c>
      <c r="AE59">
        <v>1</v>
      </c>
      <c r="AF59" t="s">
        <v>3</v>
      </c>
      <c r="AG59">
        <v>2.06</v>
      </c>
      <c r="AH59">
        <v>2</v>
      </c>
      <c r="AI59">
        <v>42447258</v>
      </c>
      <c r="AJ59">
        <v>55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 x14ac:dyDescent="0.2">
      <c r="A60">
        <f>ROW(Source!A328)</f>
        <v>328</v>
      </c>
      <c r="B60">
        <v>42447270</v>
      </c>
      <c r="C60">
        <v>42447263</v>
      </c>
      <c r="D60">
        <v>30515951</v>
      </c>
      <c r="E60">
        <v>30515945</v>
      </c>
      <c r="F60">
        <v>1</v>
      </c>
      <c r="G60">
        <v>30515945</v>
      </c>
      <c r="H60">
        <v>1</v>
      </c>
      <c r="I60" t="s">
        <v>418</v>
      </c>
      <c r="J60" t="s">
        <v>3</v>
      </c>
      <c r="K60" t="s">
        <v>419</v>
      </c>
      <c r="L60">
        <v>1191</v>
      </c>
      <c r="N60">
        <v>1013</v>
      </c>
      <c r="O60" t="s">
        <v>420</v>
      </c>
      <c r="P60" t="s">
        <v>420</v>
      </c>
      <c r="Q60">
        <v>1</v>
      </c>
      <c r="X60">
        <v>135</v>
      </c>
      <c r="Y60">
        <v>0</v>
      </c>
      <c r="Z60">
        <v>0</v>
      </c>
      <c r="AA60">
        <v>0</v>
      </c>
      <c r="AB60">
        <v>0</v>
      </c>
      <c r="AC60">
        <v>0</v>
      </c>
      <c r="AD60">
        <v>1</v>
      </c>
      <c r="AE60">
        <v>1</v>
      </c>
      <c r="AF60" t="s">
        <v>3</v>
      </c>
      <c r="AG60">
        <v>135</v>
      </c>
      <c r="AH60">
        <v>2</v>
      </c>
      <c r="AI60">
        <v>42447264</v>
      </c>
      <c r="AJ60">
        <v>57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 x14ac:dyDescent="0.2">
      <c r="A61">
        <f>ROW(Source!A328)</f>
        <v>328</v>
      </c>
      <c r="B61">
        <v>42447271</v>
      </c>
      <c r="C61">
        <v>42447263</v>
      </c>
      <c r="D61">
        <v>30596076</v>
      </c>
      <c r="E61">
        <v>1</v>
      </c>
      <c r="F61">
        <v>1</v>
      </c>
      <c r="G61">
        <v>30515945</v>
      </c>
      <c r="H61">
        <v>2</v>
      </c>
      <c r="I61" t="s">
        <v>450</v>
      </c>
      <c r="J61" t="s">
        <v>451</v>
      </c>
      <c r="K61" t="s">
        <v>452</v>
      </c>
      <c r="L61">
        <v>1367</v>
      </c>
      <c r="N61">
        <v>1011</v>
      </c>
      <c r="O61" t="s">
        <v>409</v>
      </c>
      <c r="P61" t="s">
        <v>409</v>
      </c>
      <c r="Q61">
        <v>1</v>
      </c>
      <c r="X61">
        <v>0.12</v>
      </c>
      <c r="Y61">
        <v>0</v>
      </c>
      <c r="Z61">
        <v>84.66</v>
      </c>
      <c r="AA61">
        <v>19.66</v>
      </c>
      <c r="AB61">
        <v>0</v>
      </c>
      <c r="AC61">
        <v>0</v>
      </c>
      <c r="AD61">
        <v>1</v>
      </c>
      <c r="AE61">
        <v>0</v>
      </c>
      <c r="AF61" t="s">
        <v>3</v>
      </c>
      <c r="AG61">
        <v>0.12</v>
      </c>
      <c r="AH61">
        <v>2</v>
      </c>
      <c r="AI61">
        <v>42447265</v>
      </c>
      <c r="AJ61">
        <v>58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 x14ac:dyDescent="0.2">
      <c r="A62">
        <f>ROW(Source!A328)</f>
        <v>328</v>
      </c>
      <c r="B62">
        <v>42447272</v>
      </c>
      <c r="C62">
        <v>42447263</v>
      </c>
      <c r="D62">
        <v>30595604</v>
      </c>
      <c r="E62">
        <v>1</v>
      </c>
      <c r="F62">
        <v>1</v>
      </c>
      <c r="G62">
        <v>30515945</v>
      </c>
      <c r="H62">
        <v>2</v>
      </c>
      <c r="I62" t="s">
        <v>453</v>
      </c>
      <c r="J62" t="s">
        <v>454</v>
      </c>
      <c r="K62" t="s">
        <v>455</v>
      </c>
      <c r="L62">
        <v>1367</v>
      </c>
      <c r="N62">
        <v>1011</v>
      </c>
      <c r="O62" t="s">
        <v>409</v>
      </c>
      <c r="P62" t="s">
        <v>409</v>
      </c>
      <c r="Q62">
        <v>1</v>
      </c>
      <c r="X62">
        <v>5.93</v>
      </c>
      <c r="Y62">
        <v>0</v>
      </c>
      <c r="Z62">
        <v>1.61</v>
      </c>
      <c r="AA62">
        <v>0.04</v>
      </c>
      <c r="AB62">
        <v>0</v>
      </c>
      <c r="AC62">
        <v>0</v>
      </c>
      <c r="AD62">
        <v>1</v>
      </c>
      <c r="AE62">
        <v>0</v>
      </c>
      <c r="AF62" t="s">
        <v>3</v>
      </c>
      <c r="AG62">
        <v>5.93</v>
      </c>
      <c r="AH62">
        <v>2</v>
      </c>
      <c r="AI62">
        <v>42447266</v>
      </c>
      <c r="AJ62">
        <v>59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 x14ac:dyDescent="0.2">
      <c r="A63">
        <f>ROW(Source!A328)</f>
        <v>328</v>
      </c>
      <c r="B63">
        <v>42447273</v>
      </c>
      <c r="C63">
        <v>42447263</v>
      </c>
      <c r="D63">
        <v>30571181</v>
      </c>
      <c r="E63">
        <v>1</v>
      </c>
      <c r="F63">
        <v>1</v>
      </c>
      <c r="G63">
        <v>30515945</v>
      </c>
      <c r="H63">
        <v>3</v>
      </c>
      <c r="I63" t="s">
        <v>436</v>
      </c>
      <c r="J63" t="s">
        <v>437</v>
      </c>
      <c r="K63" t="s">
        <v>438</v>
      </c>
      <c r="L63">
        <v>1339</v>
      </c>
      <c r="N63">
        <v>1007</v>
      </c>
      <c r="O63" t="s">
        <v>45</v>
      </c>
      <c r="P63" t="s">
        <v>45</v>
      </c>
      <c r="Q63">
        <v>1</v>
      </c>
      <c r="X63">
        <v>1.75</v>
      </c>
      <c r="Y63">
        <v>7.07</v>
      </c>
      <c r="Z63">
        <v>0</v>
      </c>
      <c r="AA63">
        <v>0</v>
      </c>
      <c r="AB63">
        <v>0</v>
      </c>
      <c r="AC63">
        <v>0</v>
      </c>
      <c r="AD63">
        <v>1</v>
      </c>
      <c r="AE63">
        <v>0</v>
      </c>
      <c r="AF63" t="s">
        <v>3</v>
      </c>
      <c r="AG63">
        <v>1.75</v>
      </c>
      <c r="AH63">
        <v>2</v>
      </c>
      <c r="AI63">
        <v>42447267</v>
      </c>
      <c r="AJ63">
        <v>60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 x14ac:dyDescent="0.2">
      <c r="A64">
        <f>ROW(Source!A328)</f>
        <v>328</v>
      </c>
      <c r="B64">
        <v>42447274</v>
      </c>
      <c r="C64">
        <v>42447263</v>
      </c>
      <c r="D64">
        <v>30571664</v>
      </c>
      <c r="E64">
        <v>1</v>
      </c>
      <c r="F64">
        <v>1</v>
      </c>
      <c r="G64">
        <v>30515945</v>
      </c>
      <c r="H64">
        <v>3</v>
      </c>
      <c r="I64" t="s">
        <v>456</v>
      </c>
      <c r="J64" t="s">
        <v>457</v>
      </c>
      <c r="K64" t="s">
        <v>458</v>
      </c>
      <c r="L64">
        <v>1327</v>
      </c>
      <c r="N64">
        <v>1005</v>
      </c>
      <c r="O64" t="s">
        <v>459</v>
      </c>
      <c r="P64" t="s">
        <v>459</v>
      </c>
      <c r="Q64">
        <v>1</v>
      </c>
      <c r="X64">
        <v>250</v>
      </c>
      <c r="Y64">
        <v>7.39</v>
      </c>
      <c r="Z64">
        <v>0</v>
      </c>
      <c r="AA64">
        <v>0</v>
      </c>
      <c r="AB64">
        <v>0</v>
      </c>
      <c r="AC64">
        <v>0</v>
      </c>
      <c r="AD64">
        <v>1</v>
      </c>
      <c r="AE64">
        <v>0</v>
      </c>
      <c r="AF64" t="s">
        <v>3</v>
      </c>
      <c r="AG64">
        <v>250</v>
      </c>
      <c r="AH64">
        <v>2</v>
      </c>
      <c r="AI64">
        <v>42447268</v>
      </c>
      <c r="AJ64">
        <v>61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 x14ac:dyDescent="0.2">
      <c r="A65">
        <f>ROW(Source!A328)</f>
        <v>328</v>
      </c>
      <c r="B65">
        <v>42447275</v>
      </c>
      <c r="C65">
        <v>42447263</v>
      </c>
      <c r="D65">
        <v>30531464</v>
      </c>
      <c r="E65">
        <v>30515945</v>
      </c>
      <c r="F65">
        <v>1</v>
      </c>
      <c r="G65">
        <v>30515945</v>
      </c>
      <c r="H65">
        <v>3</v>
      </c>
      <c r="I65" t="s">
        <v>465</v>
      </c>
      <c r="J65" t="s">
        <v>3</v>
      </c>
      <c r="K65" t="s">
        <v>466</v>
      </c>
      <c r="L65">
        <v>1339</v>
      </c>
      <c r="N65">
        <v>1007</v>
      </c>
      <c r="O65" t="s">
        <v>45</v>
      </c>
      <c r="P65" t="s">
        <v>45</v>
      </c>
      <c r="Q65">
        <v>1</v>
      </c>
      <c r="X65">
        <v>102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 t="s">
        <v>3</v>
      </c>
      <c r="AG65">
        <v>102</v>
      </c>
      <c r="AH65">
        <v>3</v>
      </c>
      <c r="AI65">
        <v>-1</v>
      </c>
      <c r="AJ65" t="s">
        <v>3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 x14ac:dyDescent="0.2">
      <c r="A66">
        <f>ROW(Source!A330)</f>
        <v>330</v>
      </c>
      <c r="B66">
        <v>42582613</v>
      </c>
      <c r="C66">
        <v>42582612</v>
      </c>
      <c r="D66">
        <v>30515951</v>
      </c>
      <c r="E66">
        <v>30515945</v>
      </c>
      <c r="F66">
        <v>1</v>
      </c>
      <c r="G66">
        <v>30515945</v>
      </c>
      <c r="H66">
        <v>1</v>
      </c>
      <c r="I66" t="s">
        <v>418</v>
      </c>
      <c r="J66" t="s">
        <v>3</v>
      </c>
      <c r="K66" t="s">
        <v>419</v>
      </c>
      <c r="L66">
        <v>1191</v>
      </c>
      <c r="N66">
        <v>1013</v>
      </c>
      <c r="O66" t="s">
        <v>420</v>
      </c>
      <c r="P66" t="s">
        <v>420</v>
      </c>
      <c r="Q66">
        <v>1</v>
      </c>
      <c r="X66">
        <v>53.6</v>
      </c>
      <c r="Y66">
        <v>0</v>
      </c>
      <c r="Z66">
        <v>0</v>
      </c>
      <c r="AA66">
        <v>0</v>
      </c>
      <c r="AB66">
        <v>0</v>
      </c>
      <c r="AC66">
        <v>0</v>
      </c>
      <c r="AD66">
        <v>1</v>
      </c>
      <c r="AE66">
        <v>1</v>
      </c>
      <c r="AF66" t="s">
        <v>3</v>
      </c>
      <c r="AG66">
        <v>53.6</v>
      </c>
      <c r="AH66">
        <v>2</v>
      </c>
      <c r="AI66">
        <v>42582613</v>
      </c>
      <c r="AJ66">
        <v>63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 x14ac:dyDescent="0.2">
      <c r="A67">
        <f>ROW(Source!A332)</f>
        <v>332</v>
      </c>
      <c r="B67">
        <v>42447289</v>
      </c>
      <c r="C67">
        <v>42447287</v>
      </c>
      <c r="D67">
        <v>30515951</v>
      </c>
      <c r="E67">
        <v>30515945</v>
      </c>
      <c r="F67">
        <v>1</v>
      </c>
      <c r="G67">
        <v>30515945</v>
      </c>
      <c r="H67">
        <v>1</v>
      </c>
      <c r="I67" t="s">
        <v>418</v>
      </c>
      <c r="J67" t="s">
        <v>3</v>
      </c>
      <c r="K67" t="s">
        <v>419</v>
      </c>
      <c r="L67">
        <v>1191</v>
      </c>
      <c r="N67">
        <v>1013</v>
      </c>
      <c r="O67" t="s">
        <v>420</v>
      </c>
      <c r="P67" t="s">
        <v>420</v>
      </c>
      <c r="Q67">
        <v>1</v>
      </c>
      <c r="X67">
        <v>40.17</v>
      </c>
      <c r="Y67">
        <v>0</v>
      </c>
      <c r="Z67">
        <v>0</v>
      </c>
      <c r="AA67">
        <v>0</v>
      </c>
      <c r="AB67">
        <v>0</v>
      </c>
      <c r="AC67">
        <v>0</v>
      </c>
      <c r="AD67">
        <v>1</v>
      </c>
      <c r="AE67">
        <v>1</v>
      </c>
      <c r="AF67" t="s">
        <v>3</v>
      </c>
      <c r="AG67">
        <v>40.17</v>
      </c>
      <c r="AH67">
        <v>2</v>
      </c>
      <c r="AI67">
        <v>42447288</v>
      </c>
      <c r="AJ67">
        <v>64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 x14ac:dyDescent="0.2">
      <c r="A68">
        <f>ROW(Source!A333)</f>
        <v>333</v>
      </c>
      <c r="B68">
        <v>42447294</v>
      </c>
      <c r="C68">
        <v>42447290</v>
      </c>
      <c r="D68">
        <v>30515951</v>
      </c>
      <c r="E68">
        <v>30515945</v>
      </c>
      <c r="F68">
        <v>1</v>
      </c>
      <c r="G68">
        <v>30515945</v>
      </c>
      <c r="H68">
        <v>1</v>
      </c>
      <c r="I68" t="s">
        <v>418</v>
      </c>
      <c r="J68" t="s">
        <v>3</v>
      </c>
      <c r="K68" t="s">
        <v>419</v>
      </c>
      <c r="L68">
        <v>1191</v>
      </c>
      <c r="N68">
        <v>1013</v>
      </c>
      <c r="O68" t="s">
        <v>420</v>
      </c>
      <c r="P68" t="s">
        <v>420</v>
      </c>
      <c r="Q68">
        <v>1</v>
      </c>
      <c r="X68">
        <v>18.5</v>
      </c>
      <c r="Y68">
        <v>0</v>
      </c>
      <c r="Z68">
        <v>0</v>
      </c>
      <c r="AA68">
        <v>0</v>
      </c>
      <c r="AB68">
        <v>0</v>
      </c>
      <c r="AC68">
        <v>0</v>
      </c>
      <c r="AD68">
        <v>1</v>
      </c>
      <c r="AE68">
        <v>1</v>
      </c>
      <c r="AF68" t="s">
        <v>3</v>
      </c>
      <c r="AG68">
        <v>18.5</v>
      </c>
      <c r="AH68">
        <v>2</v>
      </c>
      <c r="AI68">
        <v>42447291</v>
      </c>
      <c r="AJ68">
        <v>65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 x14ac:dyDescent="0.2">
      <c r="A69">
        <f>ROW(Source!A335)</f>
        <v>335</v>
      </c>
      <c r="B69">
        <v>42447301</v>
      </c>
      <c r="C69">
        <v>42447297</v>
      </c>
      <c r="D69">
        <v>30515951</v>
      </c>
      <c r="E69">
        <v>30515945</v>
      </c>
      <c r="F69">
        <v>1</v>
      </c>
      <c r="G69">
        <v>30515945</v>
      </c>
      <c r="H69">
        <v>1</v>
      </c>
      <c r="I69" t="s">
        <v>418</v>
      </c>
      <c r="J69" t="s">
        <v>3</v>
      </c>
      <c r="K69" t="s">
        <v>419</v>
      </c>
      <c r="L69">
        <v>1191</v>
      </c>
      <c r="N69">
        <v>1013</v>
      </c>
      <c r="O69" t="s">
        <v>420</v>
      </c>
      <c r="P69" t="s">
        <v>420</v>
      </c>
      <c r="Q69">
        <v>1</v>
      </c>
      <c r="X69">
        <v>9.27</v>
      </c>
      <c r="Y69">
        <v>0</v>
      </c>
      <c r="Z69">
        <v>0</v>
      </c>
      <c r="AA69">
        <v>0</v>
      </c>
      <c r="AB69">
        <v>0</v>
      </c>
      <c r="AC69">
        <v>0</v>
      </c>
      <c r="AD69">
        <v>1</v>
      </c>
      <c r="AE69">
        <v>1</v>
      </c>
      <c r="AF69" t="s">
        <v>3</v>
      </c>
      <c r="AG69">
        <v>9.27</v>
      </c>
      <c r="AH69">
        <v>2</v>
      </c>
      <c r="AI69">
        <v>42447300</v>
      </c>
      <c r="AJ69">
        <v>67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 x14ac:dyDescent="0.2">
      <c r="A70">
        <f>ROW(Source!A372)</f>
        <v>372</v>
      </c>
      <c r="B70">
        <v>42596473</v>
      </c>
      <c r="C70">
        <v>42582623</v>
      </c>
      <c r="D70">
        <v>30515951</v>
      </c>
      <c r="E70">
        <v>30515945</v>
      </c>
      <c r="F70">
        <v>1</v>
      </c>
      <c r="G70">
        <v>30515945</v>
      </c>
      <c r="H70">
        <v>1</v>
      </c>
      <c r="I70" t="s">
        <v>418</v>
      </c>
      <c r="J70" t="s">
        <v>3</v>
      </c>
      <c r="K70" t="s">
        <v>419</v>
      </c>
      <c r="L70">
        <v>1191</v>
      </c>
      <c r="N70">
        <v>1013</v>
      </c>
      <c r="O70" t="s">
        <v>420</v>
      </c>
      <c r="P70" t="s">
        <v>420</v>
      </c>
      <c r="Q70">
        <v>1</v>
      </c>
      <c r="X70">
        <v>5.4</v>
      </c>
      <c r="Y70">
        <v>0</v>
      </c>
      <c r="Z70">
        <v>0</v>
      </c>
      <c r="AA70">
        <v>0</v>
      </c>
      <c r="AB70">
        <v>0</v>
      </c>
      <c r="AC70">
        <v>0</v>
      </c>
      <c r="AD70">
        <v>1</v>
      </c>
      <c r="AE70">
        <v>1</v>
      </c>
      <c r="AF70" t="s">
        <v>359</v>
      </c>
      <c r="AG70">
        <v>4.32</v>
      </c>
      <c r="AH70">
        <v>2</v>
      </c>
      <c r="AI70">
        <v>42582624</v>
      </c>
      <c r="AJ70">
        <v>69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 x14ac:dyDescent="0.2">
      <c r="A71">
        <f>ROW(Source!A373)</f>
        <v>373</v>
      </c>
      <c r="B71">
        <v>42447306</v>
      </c>
      <c r="C71">
        <v>42447304</v>
      </c>
      <c r="D71">
        <v>30515951</v>
      </c>
      <c r="E71">
        <v>30515945</v>
      </c>
      <c r="F71">
        <v>1</v>
      </c>
      <c r="G71">
        <v>30515945</v>
      </c>
      <c r="H71">
        <v>1</v>
      </c>
      <c r="I71" t="s">
        <v>418</v>
      </c>
      <c r="J71" t="s">
        <v>3</v>
      </c>
      <c r="K71" t="s">
        <v>419</v>
      </c>
      <c r="L71">
        <v>1191</v>
      </c>
      <c r="N71">
        <v>1013</v>
      </c>
      <c r="O71" t="s">
        <v>420</v>
      </c>
      <c r="P71" t="s">
        <v>420</v>
      </c>
      <c r="Q71">
        <v>1</v>
      </c>
      <c r="X71">
        <v>26</v>
      </c>
      <c r="Y71">
        <v>0</v>
      </c>
      <c r="Z71">
        <v>0</v>
      </c>
      <c r="AA71">
        <v>0</v>
      </c>
      <c r="AB71">
        <v>0</v>
      </c>
      <c r="AC71">
        <v>0</v>
      </c>
      <c r="AD71">
        <v>1</v>
      </c>
      <c r="AE71">
        <v>1</v>
      </c>
      <c r="AF71" t="s">
        <v>359</v>
      </c>
      <c r="AG71">
        <v>20.8</v>
      </c>
      <c r="AH71">
        <v>2</v>
      </c>
      <c r="AI71">
        <v>42447305</v>
      </c>
      <c r="AJ71">
        <v>70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 x14ac:dyDescent="0.2">
      <c r="A72">
        <f>ROW(Source!A374)</f>
        <v>374</v>
      </c>
      <c r="B72">
        <v>42447309</v>
      </c>
      <c r="C72">
        <v>42447307</v>
      </c>
      <c r="D72">
        <v>30515951</v>
      </c>
      <c r="E72">
        <v>30515945</v>
      </c>
      <c r="F72">
        <v>1</v>
      </c>
      <c r="G72">
        <v>30515945</v>
      </c>
      <c r="H72">
        <v>1</v>
      </c>
      <c r="I72" t="s">
        <v>418</v>
      </c>
      <c r="J72" t="s">
        <v>3</v>
      </c>
      <c r="K72" t="s">
        <v>419</v>
      </c>
      <c r="L72">
        <v>1191</v>
      </c>
      <c r="N72">
        <v>1013</v>
      </c>
      <c r="O72" t="s">
        <v>420</v>
      </c>
      <c r="P72" t="s">
        <v>420</v>
      </c>
      <c r="Q72">
        <v>1</v>
      </c>
      <c r="X72">
        <v>143</v>
      </c>
      <c r="Y72">
        <v>0</v>
      </c>
      <c r="Z72">
        <v>0</v>
      </c>
      <c r="AA72">
        <v>0</v>
      </c>
      <c r="AB72">
        <v>0</v>
      </c>
      <c r="AC72">
        <v>0</v>
      </c>
      <c r="AD72">
        <v>1</v>
      </c>
      <c r="AE72">
        <v>1</v>
      </c>
      <c r="AF72" t="s">
        <v>359</v>
      </c>
      <c r="AG72">
        <v>114.4</v>
      </c>
      <c r="AH72">
        <v>2</v>
      </c>
      <c r="AI72">
        <v>42447308</v>
      </c>
      <c r="AJ72">
        <v>71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 x14ac:dyDescent="0.2">
      <c r="A73">
        <f>ROW(Source!A375)</f>
        <v>375</v>
      </c>
      <c r="B73">
        <v>42447312</v>
      </c>
      <c r="C73">
        <v>42447310</v>
      </c>
      <c r="D73">
        <v>30515951</v>
      </c>
      <c r="E73">
        <v>30515945</v>
      </c>
      <c r="F73">
        <v>1</v>
      </c>
      <c r="G73">
        <v>30515945</v>
      </c>
      <c r="H73">
        <v>1</v>
      </c>
      <c r="I73" t="s">
        <v>418</v>
      </c>
      <c r="J73" t="s">
        <v>3</v>
      </c>
      <c r="K73" t="s">
        <v>419</v>
      </c>
      <c r="L73">
        <v>1191</v>
      </c>
      <c r="N73">
        <v>1013</v>
      </c>
      <c r="O73" t="s">
        <v>420</v>
      </c>
      <c r="P73" t="s">
        <v>420</v>
      </c>
      <c r="Q73">
        <v>1</v>
      </c>
      <c r="X73">
        <v>0.36</v>
      </c>
      <c r="Y73">
        <v>0</v>
      </c>
      <c r="Z73">
        <v>0</v>
      </c>
      <c r="AA73">
        <v>0</v>
      </c>
      <c r="AB73">
        <v>0</v>
      </c>
      <c r="AC73">
        <v>0</v>
      </c>
      <c r="AD73">
        <v>1</v>
      </c>
      <c r="AE73">
        <v>1</v>
      </c>
      <c r="AF73" t="s">
        <v>359</v>
      </c>
      <c r="AG73">
        <v>0.28799999999999998</v>
      </c>
      <c r="AH73">
        <v>2</v>
      </c>
      <c r="AI73">
        <v>42447311</v>
      </c>
      <c r="AJ73">
        <v>72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 x14ac:dyDescent="0.2">
      <c r="A74">
        <f>ROW(Source!A376)</f>
        <v>376</v>
      </c>
      <c r="B74">
        <v>42447315</v>
      </c>
      <c r="C74">
        <v>42447313</v>
      </c>
      <c r="D74">
        <v>30515951</v>
      </c>
      <c r="E74">
        <v>30515945</v>
      </c>
      <c r="F74">
        <v>1</v>
      </c>
      <c r="G74">
        <v>30515945</v>
      </c>
      <c r="H74">
        <v>1</v>
      </c>
      <c r="I74" t="s">
        <v>418</v>
      </c>
      <c r="J74" t="s">
        <v>3</v>
      </c>
      <c r="K74" t="s">
        <v>419</v>
      </c>
      <c r="L74">
        <v>1191</v>
      </c>
      <c r="N74">
        <v>1013</v>
      </c>
      <c r="O74" t="s">
        <v>420</v>
      </c>
      <c r="P74" t="s">
        <v>420</v>
      </c>
      <c r="Q74">
        <v>1</v>
      </c>
      <c r="X74">
        <v>355</v>
      </c>
      <c r="Y74">
        <v>0</v>
      </c>
      <c r="Z74">
        <v>0</v>
      </c>
      <c r="AA74">
        <v>0</v>
      </c>
      <c r="AB74">
        <v>0</v>
      </c>
      <c r="AC74">
        <v>0</v>
      </c>
      <c r="AD74">
        <v>1</v>
      </c>
      <c r="AE74">
        <v>1</v>
      </c>
      <c r="AF74" t="s">
        <v>359</v>
      </c>
      <c r="AG74">
        <v>284</v>
      </c>
      <c r="AH74">
        <v>2</v>
      </c>
      <c r="AI74">
        <v>42447314</v>
      </c>
      <c r="AJ74">
        <v>73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 x14ac:dyDescent="0.2">
      <c r="A75">
        <f>ROW(Source!A377)</f>
        <v>377</v>
      </c>
      <c r="B75">
        <v>42447318</v>
      </c>
      <c r="C75">
        <v>42447316</v>
      </c>
      <c r="D75">
        <v>30515951</v>
      </c>
      <c r="E75">
        <v>30515945</v>
      </c>
      <c r="F75">
        <v>1</v>
      </c>
      <c r="G75">
        <v>30515945</v>
      </c>
      <c r="H75">
        <v>1</v>
      </c>
      <c r="I75" t="s">
        <v>418</v>
      </c>
      <c r="J75" t="s">
        <v>3</v>
      </c>
      <c r="K75" t="s">
        <v>419</v>
      </c>
      <c r="L75">
        <v>1191</v>
      </c>
      <c r="N75">
        <v>1013</v>
      </c>
      <c r="O75" t="s">
        <v>420</v>
      </c>
      <c r="P75" t="s">
        <v>420</v>
      </c>
      <c r="Q75">
        <v>1</v>
      </c>
      <c r="X75">
        <v>1</v>
      </c>
      <c r="Y75">
        <v>0</v>
      </c>
      <c r="Z75">
        <v>0</v>
      </c>
      <c r="AA75">
        <v>0</v>
      </c>
      <c r="AB75">
        <v>0</v>
      </c>
      <c r="AC75">
        <v>0</v>
      </c>
      <c r="AD75">
        <v>1</v>
      </c>
      <c r="AE75">
        <v>1</v>
      </c>
      <c r="AF75" t="s">
        <v>359</v>
      </c>
      <c r="AG75">
        <v>0.8</v>
      </c>
      <c r="AH75">
        <v>2</v>
      </c>
      <c r="AI75">
        <v>42447317</v>
      </c>
      <c r="AJ75">
        <v>74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 x14ac:dyDescent="0.2">
      <c r="A76">
        <f>ROW(Source!A378)</f>
        <v>378</v>
      </c>
      <c r="B76">
        <v>42447321</v>
      </c>
      <c r="C76">
        <v>42447319</v>
      </c>
      <c r="D76">
        <v>30515951</v>
      </c>
      <c r="E76">
        <v>30515945</v>
      </c>
      <c r="F76">
        <v>1</v>
      </c>
      <c r="G76">
        <v>30515945</v>
      </c>
      <c r="H76">
        <v>1</v>
      </c>
      <c r="I76" t="s">
        <v>418</v>
      </c>
      <c r="J76" t="s">
        <v>3</v>
      </c>
      <c r="K76" t="s">
        <v>419</v>
      </c>
      <c r="L76">
        <v>1191</v>
      </c>
      <c r="N76">
        <v>1013</v>
      </c>
      <c r="O76" t="s">
        <v>420</v>
      </c>
      <c r="P76" t="s">
        <v>420</v>
      </c>
      <c r="Q76">
        <v>1</v>
      </c>
      <c r="X76">
        <v>0.15</v>
      </c>
      <c r="Y76">
        <v>0</v>
      </c>
      <c r="Z76">
        <v>0</v>
      </c>
      <c r="AA76">
        <v>0</v>
      </c>
      <c r="AB76">
        <v>0</v>
      </c>
      <c r="AC76">
        <v>0</v>
      </c>
      <c r="AD76">
        <v>1</v>
      </c>
      <c r="AE76">
        <v>1</v>
      </c>
      <c r="AF76" t="s">
        <v>359</v>
      </c>
      <c r="AG76">
        <v>0.12</v>
      </c>
      <c r="AH76">
        <v>2</v>
      </c>
      <c r="AI76">
        <v>42447320</v>
      </c>
      <c r="AJ76">
        <v>75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 x14ac:dyDescent="0.2">
      <c r="A77">
        <f>ROW(Source!A379)</f>
        <v>379</v>
      </c>
      <c r="B77">
        <v>42447324</v>
      </c>
      <c r="C77">
        <v>42447322</v>
      </c>
      <c r="D77">
        <v>30515951</v>
      </c>
      <c r="E77">
        <v>30515945</v>
      </c>
      <c r="F77">
        <v>1</v>
      </c>
      <c r="G77">
        <v>30515945</v>
      </c>
      <c r="H77">
        <v>1</v>
      </c>
      <c r="I77" t="s">
        <v>418</v>
      </c>
      <c r="J77" t="s">
        <v>3</v>
      </c>
      <c r="K77" t="s">
        <v>419</v>
      </c>
      <c r="L77">
        <v>1191</v>
      </c>
      <c r="N77">
        <v>1013</v>
      </c>
      <c r="O77" t="s">
        <v>420</v>
      </c>
      <c r="P77" t="s">
        <v>420</v>
      </c>
      <c r="Q77">
        <v>1</v>
      </c>
      <c r="X77">
        <v>1</v>
      </c>
      <c r="Y77">
        <v>0</v>
      </c>
      <c r="Z77">
        <v>0</v>
      </c>
      <c r="AA77">
        <v>0</v>
      </c>
      <c r="AB77">
        <v>0</v>
      </c>
      <c r="AC77">
        <v>0</v>
      </c>
      <c r="AD77">
        <v>1</v>
      </c>
      <c r="AE77">
        <v>1</v>
      </c>
      <c r="AF77" t="s">
        <v>359</v>
      </c>
      <c r="AG77">
        <v>0.8</v>
      </c>
      <c r="AH77">
        <v>2</v>
      </c>
      <c r="AI77">
        <v>42447323</v>
      </c>
      <c r="AJ77">
        <v>76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 x14ac:dyDescent="0.2">
      <c r="A78">
        <f>ROW(Source!A380)</f>
        <v>380</v>
      </c>
      <c r="B78">
        <v>42447327</v>
      </c>
      <c r="C78">
        <v>42447325</v>
      </c>
      <c r="D78">
        <v>30515951</v>
      </c>
      <c r="E78">
        <v>30515945</v>
      </c>
      <c r="F78">
        <v>1</v>
      </c>
      <c r="G78">
        <v>30515945</v>
      </c>
      <c r="H78">
        <v>1</v>
      </c>
      <c r="I78" t="s">
        <v>418</v>
      </c>
      <c r="J78" t="s">
        <v>3</v>
      </c>
      <c r="K78" t="s">
        <v>419</v>
      </c>
      <c r="L78">
        <v>1191</v>
      </c>
      <c r="N78">
        <v>1013</v>
      </c>
      <c r="O78" t="s">
        <v>420</v>
      </c>
      <c r="P78" t="s">
        <v>420</v>
      </c>
      <c r="Q78">
        <v>1</v>
      </c>
      <c r="X78">
        <v>65</v>
      </c>
      <c r="Y78">
        <v>0</v>
      </c>
      <c r="Z78">
        <v>0</v>
      </c>
      <c r="AA78">
        <v>0</v>
      </c>
      <c r="AB78">
        <v>0</v>
      </c>
      <c r="AC78">
        <v>0</v>
      </c>
      <c r="AD78">
        <v>1</v>
      </c>
      <c r="AE78">
        <v>1</v>
      </c>
      <c r="AF78" t="s">
        <v>359</v>
      </c>
      <c r="AG78">
        <v>52</v>
      </c>
      <c r="AH78">
        <v>2</v>
      </c>
      <c r="AI78">
        <v>42447326</v>
      </c>
      <c r="AJ78">
        <v>77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Смета по ТСН-2001</vt:lpstr>
      <vt:lpstr>Объектная смета</vt:lpstr>
      <vt:lpstr>Source</vt:lpstr>
      <vt:lpstr>SourceObSm</vt:lpstr>
      <vt:lpstr>SmtRes</vt:lpstr>
      <vt:lpstr>EtalonRes</vt:lpstr>
      <vt:lpstr>'Объектная смета'!Заголовки_для_печати</vt:lpstr>
      <vt:lpstr>'Смета по ТСН-2001'!Заголовки_для_печати</vt:lpstr>
      <vt:lpstr>'Смета по ТСН-2001'!Область_печати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dcterms:created xsi:type="dcterms:W3CDTF">2017-10-20T10:31:29Z</dcterms:created>
  <dcterms:modified xsi:type="dcterms:W3CDTF">2017-10-20T10:33:33Z</dcterms:modified>
</cp:coreProperties>
</file>