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ЭтаКнига" defaultThemeVersion="124226"/>
  <bookViews>
    <workbookView xWindow="150" yWindow="615" windowWidth="16605" windowHeight="9150" tabRatio="505" firstSheet="1" activeTab="1"/>
  </bookViews>
  <sheets>
    <sheet name="площади " sheetId="55" state="hidden" r:id="rId1"/>
    <sheet name="расчет МОП К7С1С2" sheetId="92" r:id="rId2"/>
    <sheet name="расчет МОП К7" sheetId="91" state="hidden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____xlnm.Print_Area" localSheetId="0">#REF!</definedName>
    <definedName name="_____xlnm.Print_Area" localSheetId="2">#REF!</definedName>
    <definedName name="_____xlnm.Print_Area" localSheetId="1">#REF!</definedName>
    <definedName name="_____xlnm.Print_Area">#REF!</definedName>
    <definedName name="_____xlnm.Print_Area_1" localSheetId="0">#REF!</definedName>
    <definedName name="_____xlnm.Print_Area_1" localSheetId="2">#REF!</definedName>
    <definedName name="_____xlnm.Print_Area_1" localSheetId="1">#REF!</definedName>
    <definedName name="_____xlnm.Print_Area_1">#REF!</definedName>
    <definedName name="_____xlnm.Print_Titles" localSheetId="0">#REF!</definedName>
    <definedName name="_____xlnm.Print_Titles" localSheetId="2">#REF!</definedName>
    <definedName name="_____xlnm.Print_Titles" localSheetId="1">#REF!</definedName>
    <definedName name="_____xlnm.Print_Titles">#REF!</definedName>
    <definedName name="____xlnm.Print_Area" localSheetId="2">#REF!</definedName>
    <definedName name="____xlnm.Print_Area" localSheetId="1">#REF!</definedName>
    <definedName name="____xlnm.Print_Area">#REF!</definedName>
    <definedName name="____xlnm.Print_Area_1" localSheetId="2">#REF!</definedName>
    <definedName name="____xlnm.Print_Area_1" localSheetId="1">#REF!</definedName>
    <definedName name="____xlnm.Print_Area_1">#REF!</definedName>
    <definedName name="____xlnm.Print_Titles" localSheetId="2">#REF!</definedName>
    <definedName name="____xlnm.Print_Titles" localSheetId="1">#REF!</definedName>
    <definedName name="____xlnm.Print_Titles">#REF!</definedName>
    <definedName name="___xlnm.Print_Area" localSheetId="2">#REF!</definedName>
    <definedName name="___xlnm.Print_Area" localSheetId="1">#REF!</definedName>
    <definedName name="___xlnm.Print_Area">#REF!</definedName>
    <definedName name="___xlnm.Print_Area_1" localSheetId="2">#REF!</definedName>
    <definedName name="___xlnm.Print_Area_1" localSheetId="1">#REF!</definedName>
    <definedName name="___xlnm.Print_Area_1">#REF!</definedName>
    <definedName name="___xlnm.Print_Titles" localSheetId="2">#REF!</definedName>
    <definedName name="___xlnm.Print_Titles" localSheetId="1">#REF!</definedName>
    <definedName name="___xlnm.Print_Titles">#REF!</definedName>
    <definedName name="__xlnm.Print_Area" localSheetId="2">#REF!</definedName>
    <definedName name="__xlnm.Print_Area" localSheetId="1">#REF!</definedName>
    <definedName name="__xlnm.Print_Area">#REF!</definedName>
    <definedName name="__xlnm.Print_Area_1" localSheetId="2">#REF!</definedName>
    <definedName name="__xlnm.Print_Area_1" localSheetId="1">#REF!</definedName>
    <definedName name="__xlnm.Print_Area_1">#REF!</definedName>
    <definedName name="__xlnm.Print_Area_2" localSheetId="2">#REF!</definedName>
    <definedName name="__xlnm.Print_Area_2" localSheetId="1">#REF!</definedName>
    <definedName name="__xlnm.Print_Area_2">#REF!</definedName>
    <definedName name="__xlnm.Print_Area_3" localSheetId="2">#REF!</definedName>
    <definedName name="__xlnm.Print_Area_3" localSheetId="1">#REF!</definedName>
    <definedName name="__xlnm.Print_Area_3">#REF!</definedName>
    <definedName name="__xlnm.Print_Area_4" localSheetId="2">#REF!</definedName>
    <definedName name="__xlnm.Print_Area_4" localSheetId="1">#REF!</definedName>
    <definedName name="__xlnm.Print_Area_4">#REF!</definedName>
    <definedName name="__xlnm.Print_Area_6" localSheetId="2">#REF!</definedName>
    <definedName name="__xlnm.Print_Area_6" localSheetId="1">#REF!</definedName>
    <definedName name="__xlnm.Print_Area_6">#REF!</definedName>
    <definedName name="__xlnm.Print_Titles" localSheetId="2">#REF!</definedName>
    <definedName name="__xlnm.Print_Titles" localSheetId="1">#REF!</definedName>
    <definedName name="__xlnm.Print_Titles">#REF!</definedName>
    <definedName name="_xlnm._FilterDatabase" localSheetId="2" hidden="1">'расчет МОП К7'!$A$9:$J$142</definedName>
    <definedName name="_xlnm._FilterDatabase" localSheetId="1" hidden="1">'расчет МОП К7С1С2'!$A$5:$J$223</definedName>
    <definedName name="a" localSheetId="0">#REF!</definedName>
    <definedName name="a" localSheetId="2">#REF!</definedName>
    <definedName name="a" localSheetId="1">#REF!</definedName>
    <definedName name="a">#REF!</definedName>
    <definedName name="a_kl" localSheetId="0">#REF!</definedName>
    <definedName name="a_kl" localSheetId="2">#REF!</definedName>
    <definedName name="a_kl" localSheetId="1">#REF!</definedName>
    <definedName name="a_kl">#REF!</definedName>
    <definedName name="B" localSheetId="0">#REF!</definedName>
    <definedName name="B" localSheetId="2">#REF!</definedName>
    <definedName name="B" localSheetId="1">#REF!</definedName>
    <definedName name="B">#REF!</definedName>
    <definedName name="b_kl" localSheetId="2">#REF!</definedName>
    <definedName name="b_kl" localSheetId="1">#REF!</definedName>
    <definedName name="b_kl">#REF!</definedName>
    <definedName name="evro" localSheetId="2">#REF!</definedName>
    <definedName name="evro" localSheetId="1">#REF!</definedName>
    <definedName name="evro">#REF!</definedName>
    <definedName name="gbp" localSheetId="2">#REF!</definedName>
    <definedName name="gbp" localSheetId="1">#REF!</definedName>
    <definedName name="gbp">#REF!</definedName>
    <definedName name="k" localSheetId="2">#REF!</definedName>
    <definedName name="k" localSheetId="1">#REF!</definedName>
    <definedName name="k">#REF!</definedName>
    <definedName name="korr_mo" localSheetId="2">#REF!</definedName>
    <definedName name="korr_mo" localSheetId="1">#REF!</definedName>
    <definedName name="korr_mo">#REF!</definedName>
    <definedName name="m" localSheetId="2">#REF!</definedName>
    <definedName name="m" localSheetId="1">#REF!</definedName>
    <definedName name="m">#REF!</definedName>
    <definedName name="non" localSheetId="2">#REF!</definedName>
    <definedName name="non" localSheetId="1">#REF!</definedName>
    <definedName name="non">#REF!</definedName>
    <definedName name="ord" localSheetId="2">#REF!</definedName>
    <definedName name="ord" localSheetId="1">#REF!</definedName>
    <definedName name="ord">#REF!</definedName>
    <definedName name="PCc" localSheetId="2">#REF!</definedName>
    <definedName name="PCc" localSheetId="1">#REF!</definedName>
    <definedName name="PCc">#REF!</definedName>
    <definedName name="PKf" localSheetId="2">#REF!</definedName>
    <definedName name="PKf" localSheetId="1">#REF!</definedName>
    <definedName name="PKf">#REF!</definedName>
    <definedName name="PSl" localSheetId="2">#REF!</definedName>
    <definedName name="PSl" localSheetId="1">#REF!</definedName>
    <definedName name="PSl">#REF!</definedName>
    <definedName name="roz" localSheetId="2">#REF!</definedName>
    <definedName name="roz" localSheetId="1">#REF!</definedName>
    <definedName name="roz">#REF!</definedName>
    <definedName name="roza" localSheetId="2">#REF!</definedName>
    <definedName name="roza" localSheetId="1">#REF!</definedName>
    <definedName name="roza">#REF!</definedName>
    <definedName name="s" localSheetId="2">#REF!</definedName>
    <definedName name="s" localSheetId="1">#REF!</definedName>
    <definedName name="s">#REF!</definedName>
    <definedName name="usd" localSheetId="2">#REF!</definedName>
    <definedName name="usd" localSheetId="1">#REF!</definedName>
    <definedName name="usd">#REF!</definedName>
    <definedName name="а" localSheetId="2">#REF!</definedName>
    <definedName name="а" localSheetId="1">#REF!</definedName>
    <definedName name="а">#REF!</definedName>
    <definedName name="асном" localSheetId="2">#REF!</definedName>
    <definedName name="асном" localSheetId="1">#REF!</definedName>
    <definedName name="асном">#REF!</definedName>
    <definedName name="б" localSheetId="2">#REF!</definedName>
    <definedName name="б" localSheetId="1">#REF!</definedName>
    <definedName name="б">#REF!</definedName>
    <definedName name="б1" localSheetId="0">'[1]Каркасы и акссесуары'!$I$127</definedName>
    <definedName name="б1">'[1]Каркасы и акссесуары'!$I$127</definedName>
    <definedName name="б2" localSheetId="0">'[1]Каркасы и акссесуары'!$J$127</definedName>
    <definedName name="б2">'[1]Каркасы и акссесуары'!$J$127</definedName>
    <definedName name="б3" localSheetId="0">'[1]Каркасы и акссесуары'!$K$127</definedName>
    <definedName name="б3">'[1]Каркасы и акссесуары'!$K$127</definedName>
    <definedName name="ВалютнаяЦена" localSheetId="0">#REF!</definedName>
    <definedName name="ВалютнаяЦена" localSheetId="2">#REF!</definedName>
    <definedName name="ВалютнаяЦена" localSheetId="1">#REF!</definedName>
    <definedName name="ВалютнаяЦена">#REF!</definedName>
    <definedName name="вес" localSheetId="0">#REF!</definedName>
    <definedName name="вес" localSheetId="2">#REF!</definedName>
    <definedName name="вес" localSheetId="1">#REF!</definedName>
    <definedName name="вес">#REF!</definedName>
    <definedName name="Возврат">'[2]СМР с нач'!$D$36</definedName>
    <definedName name="Загрузка" localSheetId="0">'[3]Расчет себестоимости '!#REF!</definedName>
    <definedName name="Загрузка" localSheetId="2">'[3]Расчет себестоимости '!#REF!</definedName>
    <definedName name="Загрузка" localSheetId="1">'[3]Расчет себестоимости '!#REF!</definedName>
    <definedName name="Загрузка">'[3]Расчет себестоимости '!#REF!</definedName>
    <definedName name="заоССдримс" localSheetId="0">'[3]Сс константы'!$G$11</definedName>
    <definedName name="заоССдримс">'[3]Сс константы'!$G$11</definedName>
    <definedName name="заоССкастгер" localSheetId="0">'[3]Сс константы'!$G$9</definedName>
    <definedName name="заоССкастгер">'[3]Сс константы'!$G$9</definedName>
    <definedName name="заоССкастелрус" localSheetId="0">'[3]Сс константы'!$G$6</definedName>
    <definedName name="заоССкастелрус">'[3]Сс константы'!$G$6</definedName>
    <definedName name="заоССкомфорт" localSheetId="0">'[3]Сс константы'!$G$4</definedName>
    <definedName name="заоССкомфорт">'[3]Сс константы'!$G$4</definedName>
    <definedName name="заоССстоун" localSheetId="0">'[3]Сс константы'!$G$10</definedName>
    <definedName name="заоССстоун">'[3]Сс константы'!$G$10</definedName>
    <definedName name="заоССфиксгер" localSheetId="0">'[3]Сс константы'!$G$8</definedName>
    <definedName name="заоССфиксгер">'[3]Сс константы'!$G$8</definedName>
    <definedName name="заоССфиксрус" localSheetId="0">'[3]Сс константы'!$G$5</definedName>
    <definedName name="заоССфиксрус">'[3]Сс константы'!$G$5</definedName>
    <definedName name="ЗЛа" localSheetId="0">#REF!</definedName>
    <definedName name="ЗЛа" localSheetId="2">#REF!</definedName>
    <definedName name="ЗЛа" localSheetId="1">#REF!</definedName>
    <definedName name="ЗЛа">#REF!</definedName>
    <definedName name="Итого_палет2" localSheetId="0">'[3]Расчет себестоимости '!#REF!</definedName>
    <definedName name="Итого_палет2" localSheetId="2">'[3]Расчет себестоимости '!#REF!</definedName>
    <definedName name="Итого_палет2" localSheetId="1">'[3]Расчет себестоимости '!#REF!</definedName>
    <definedName name="Итого_палет2">'[3]Расчет себестоимости '!#REF!</definedName>
    <definedName name="Итого_палет3" localSheetId="0">'[3]Расчет себестоимости '!#REF!</definedName>
    <definedName name="Итого_палет3" localSheetId="2">'[3]Расчет себестоимости '!#REF!</definedName>
    <definedName name="Итого_палет3" localSheetId="1">'[3]Расчет себестоимости '!#REF!</definedName>
    <definedName name="Итого_палет3">'[3]Расчет себестоимости '!#REF!</definedName>
    <definedName name="Итогопалет2" localSheetId="0">'[3]Расчет себестоимости '!#REF!</definedName>
    <definedName name="Итогопалет2" localSheetId="2">'[3]Расчет себестоимости '!#REF!</definedName>
    <definedName name="Итогопалет2" localSheetId="1">'[3]Расчет себестоимости '!#REF!</definedName>
    <definedName name="Итогопалет2">'[3]Расчет себестоимости '!#REF!</definedName>
    <definedName name="КК" localSheetId="0">[4]Ecophon!$T$13</definedName>
    <definedName name="КК">[4]Ecophon!$T$13</definedName>
    <definedName name="ключи">"#REF!"</definedName>
    <definedName name="ключи_1">"#REF!"</definedName>
    <definedName name="КодБазы" localSheetId="2">#REF!</definedName>
    <definedName name="КодБазы" localSheetId="1">#REF!</definedName>
    <definedName name="КодБазы">#REF!</definedName>
    <definedName name="Кол_во_в_уп_Kc" localSheetId="2">#REF!</definedName>
    <definedName name="Кол_во_в_уп_Kc" localSheetId="1">#REF!</definedName>
    <definedName name="Кол_во_в_уп_Kc">#REF!</definedName>
    <definedName name="Кол_во_в_уп_Sl" localSheetId="2">#REF!</definedName>
    <definedName name="Кол_во_в_уп_Sl" localSheetId="1">#REF!</definedName>
    <definedName name="Кол_во_в_уп_Sl">#REF!</definedName>
    <definedName name="Кол_во_в_уп_Stl" localSheetId="2">#REF!</definedName>
    <definedName name="Кол_во_в_уп_Stl" localSheetId="1">#REF!</definedName>
    <definedName name="Кол_во_в_уп_Stl">#REF!</definedName>
    <definedName name="Кол_во_в_уп_Сс" localSheetId="2">#REF!</definedName>
    <definedName name="Кол_во_в_уп_Сс" localSheetId="1">#REF!</definedName>
    <definedName name="Кол_во_в_уп_Сс">#REF!</definedName>
    <definedName name="МелкийОпт" localSheetId="2">#REF!</definedName>
    <definedName name="МелкийОпт" localSheetId="1">#REF!</definedName>
    <definedName name="МелкийОпт">#REF!</definedName>
    <definedName name="_xlnm.Print_Area" localSheetId="0">'площади '!$A$2:$F$18</definedName>
    <definedName name="_xlnm.Print_Area" localSheetId="2">'расчет МОП К7'!$A$4:$M$141</definedName>
    <definedName name="_xlnm.Print_Area" localSheetId="1">'расчет МОП К7С1С2'!$A$1:$M$238</definedName>
    <definedName name="ПалетаKc" localSheetId="0">#REF!</definedName>
    <definedName name="ПалетаKc" localSheetId="2">#REF!</definedName>
    <definedName name="ПалетаKc" localSheetId="1">#REF!</definedName>
    <definedName name="ПалетаKc">#REF!</definedName>
    <definedName name="ПалетаSl" localSheetId="0">#REF!</definedName>
    <definedName name="ПалетаSl" localSheetId="2">#REF!</definedName>
    <definedName name="ПалетаSl" localSheetId="1">#REF!</definedName>
    <definedName name="ПалетаSl">#REF!</definedName>
    <definedName name="ПалетаStL" localSheetId="0">#REF!</definedName>
    <definedName name="ПалетаStL" localSheetId="2">#REF!</definedName>
    <definedName name="ПалетаStL" localSheetId="1">#REF!</definedName>
    <definedName name="ПалетаStL">#REF!</definedName>
    <definedName name="ПалетаСс" localSheetId="2">#REF!</definedName>
    <definedName name="ПалетаСс" localSheetId="1">#REF!</definedName>
    <definedName name="ПалетаСс">#REF!</definedName>
    <definedName name="Паллета" localSheetId="2">#REF!</definedName>
    <definedName name="Паллета" localSheetId="1">#REF!</definedName>
    <definedName name="Паллета">#REF!</definedName>
    <definedName name="пятнадцать" localSheetId="0">'[5]Входные цены'!$G$11</definedName>
    <definedName name="пятнадцать">'[5]Входные цены'!$G$11</definedName>
    <definedName name="р" localSheetId="0">#REF!</definedName>
    <definedName name="р" localSheetId="2">#REF!</definedName>
    <definedName name="р" localSheetId="1">#REF!</definedName>
    <definedName name="р">#REF!</definedName>
    <definedName name="розница" localSheetId="0">'[5]Входные цены'!$H$11</definedName>
    <definedName name="розница">'[5]Входные цены'!$H$11</definedName>
    <definedName name="ррррррр" localSheetId="0">#REF!</definedName>
    <definedName name="ррррррр" localSheetId="2">#REF!</definedName>
    <definedName name="ррррррр" localSheetId="1">#REF!</definedName>
    <definedName name="ррррррр">#REF!</definedName>
    <definedName name="т1" localSheetId="0">#REF!</definedName>
    <definedName name="т1" localSheetId="2">#REF!</definedName>
    <definedName name="т1" localSheetId="1">#REF!</definedName>
    <definedName name="т1">#REF!</definedName>
    <definedName name="т2" localSheetId="0">'[1]Каркасы и акссесуары'!$J$136</definedName>
    <definedName name="т2">'[1]Каркасы и акссесуары'!$J$136</definedName>
    <definedName name="т3" localSheetId="0">'[1]Каркасы и акссесуары'!$K$136</definedName>
    <definedName name="т3">'[1]Каркасы и акссесуары'!$K$136</definedName>
    <definedName name="Таможня" localSheetId="0">'[3]Расчет себестоимости '!#REF!</definedName>
    <definedName name="Таможня" localSheetId="2">'[3]Расчет себестоимости '!#REF!</definedName>
    <definedName name="Таможня" localSheetId="1">'[3]Расчет себестоимости '!#REF!</definedName>
    <definedName name="Таможня">'[3]Расчет себестоимости '!#REF!</definedName>
    <definedName name="тег" localSheetId="0">#REF!</definedName>
    <definedName name="тег" localSheetId="2">#REF!</definedName>
    <definedName name="тег" localSheetId="1">#REF!</definedName>
    <definedName name="тег">#REF!</definedName>
    <definedName name="Услуги">'[2]СМР с нач'!$D$37</definedName>
    <definedName name="ЦенаClever" localSheetId="0">#REF!</definedName>
    <definedName name="ЦенаClever" localSheetId="2">#REF!</definedName>
    <definedName name="ЦенаClever" localSheetId="1">#REF!</definedName>
    <definedName name="ЦенаClever">#REF!</definedName>
    <definedName name="ЦенаFC" localSheetId="0">#REF!</definedName>
    <definedName name="ЦенаFC" localSheetId="2">#REF!</definedName>
    <definedName name="ЦенаFC" localSheetId="1">#REF!</definedName>
    <definedName name="ЦенаFC">#REF!</definedName>
    <definedName name="ЦенаGC" localSheetId="0">#REF!</definedName>
    <definedName name="ЦенаGC" localSheetId="2">#REF!</definedName>
    <definedName name="ЦенаGC" localSheetId="1">#REF!</definedName>
    <definedName name="ЦенаGC">#REF!</definedName>
    <definedName name="ЦенаIL" localSheetId="2">#REF!</definedName>
    <definedName name="ЦенаIL" localSheetId="1">#REF!</definedName>
    <definedName name="ЦенаIL">#REF!</definedName>
    <definedName name="ЦенаKc" localSheetId="2">#REF!</definedName>
    <definedName name="ЦенаKc" localSheetId="1">#REF!</definedName>
    <definedName name="ЦенаKc">#REF!</definedName>
    <definedName name="ЦенаKf" localSheetId="2">#REF!</definedName>
    <definedName name="ЦенаKf" localSheetId="1">#REF!</definedName>
    <definedName name="ЦенаKf">#REF!</definedName>
    <definedName name="ЦенаKL" localSheetId="2">#REF!</definedName>
    <definedName name="ЦенаKL" localSheetId="1">#REF!</definedName>
    <definedName name="ЦенаKL">#REF!</definedName>
    <definedName name="ЦенаKronofix" localSheetId="2">#REF!</definedName>
    <definedName name="ЦенаKronofix" localSheetId="1">#REF!</definedName>
    <definedName name="ЦенаKronofix">#REF!</definedName>
    <definedName name="ЦенаKV4" localSheetId="2">#REF!</definedName>
    <definedName name="ЦенаKV4" localSheetId="1">#REF!</definedName>
    <definedName name="ЦенаKV4">#REF!</definedName>
    <definedName name="ЦенаKа" localSheetId="2">#REF!</definedName>
    <definedName name="ЦенаKа" localSheetId="1">#REF!</definedName>
    <definedName name="ЦенаKа">#REF!</definedName>
    <definedName name="ЦенаSaxonLoc" localSheetId="2">#REF!</definedName>
    <definedName name="ЦенаSaxonLoc" localSheetId="1">#REF!</definedName>
    <definedName name="ЦенаSaxonLoc">#REF!</definedName>
    <definedName name="ЦенаSl" localSheetId="2">#REF!</definedName>
    <definedName name="ЦенаSl" localSheetId="1">#REF!</definedName>
    <definedName name="ЦенаSl">#REF!</definedName>
    <definedName name="ЦенаStl" localSheetId="2">#REF!</definedName>
    <definedName name="ЦенаStl" localSheetId="1">#REF!</definedName>
    <definedName name="ЦенаStl">#REF!</definedName>
    <definedName name="ЦенаСс" localSheetId="2">#REF!</definedName>
    <definedName name="ЦенаСс" localSheetId="1">#REF!</definedName>
    <definedName name="ЦенаСс">#REF!</definedName>
    <definedName name="ш" localSheetId="2">#REF!</definedName>
    <definedName name="ш" localSheetId="1">#REF!</definedName>
    <definedName name="ш">#REF!</definedName>
    <definedName name="ш1" localSheetId="0">'[1]Каркасы и акссесуары'!$I$135</definedName>
    <definedName name="ш1">'[1]Каркасы и акссесуары'!$I$135</definedName>
    <definedName name="ш2" localSheetId="0">'[1]Каркасы и акссесуары'!$J$135</definedName>
    <definedName name="ш2">'[1]Каркасы и акссесуары'!$J$135</definedName>
    <definedName name="ш3" localSheetId="0">'[1]Каркасы и акссесуары'!$K$135</definedName>
    <definedName name="ш3">'[1]Каркасы и акссесуары'!$K$135</definedName>
    <definedName name="щ" localSheetId="0">#REF!</definedName>
    <definedName name="щ" localSheetId="2">#REF!</definedName>
    <definedName name="щ" localSheetId="1">#REF!</definedName>
    <definedName name="щ">#REF!</definedName>
  </definedNames>
  <calcPr calcId="145621"/>
</workbook>
</file>

<file path=xl/calcChain.xml><?xml version="1.0" encoding="utf-8"?>
<calcChain xmlns="http://schemas.openxmlformats.org/spreadsheetml/2006/main">
  <c r="O237" i="92" l="1"/>
  <c r="F155" i="92" l="1"/>
  <c r="G10" i="92"/>
  <c r="F83" i="92"/>
  <c r="F60" i="92"/>
  <c r="F13" i="92"/>
  <c r="N5" i="55"/>
  <c r="F10" i="92"/>
  <c r="E10" i="92"/>
  <c r="G199" i="92" l="1"/>
  <c r="F199" i="92"/>
  <c r="E199" i="92"/>
  <c r="I73" i="92"/>
  <c r="E71" i="92"/>
  <c r="G71" i="92"/>
  <c r="G78" i="92" s="1"/>
  <c r="F71" i="92"/>
  <c r="F78" i="92" s="1"/>
  <c r="E78" i="92" l="1"/>
  <c r="H78" i="92" s="1"/>
  <c r="J78" i="92" s="1"/>
  <c r="H71" i="92"/>
  <c r="L79" i="92" s="1"/>
  <c r="H199" i="92"/>
  <c r="J199" i="92" s="1"/>
  <c r="G72" i="92"/>
  <c r="G73" i="92"/>
  <c r="G74" i="92"/>
  <c r="G75" i="92"/>
  <c r="G76" i="92"/>
  <c r="G77" i="92"/>
  <c r="F72" i="92"/>
  <c r="F73" i="92"/>
  <c r="F74" i="92"/>
  <c r="F75" i="92"/>
  <c r="F76" i="92"/>
  <c r="F77" i="92"/>
  <c r="E72" i="92"/>
  <c r="E73" i="92"/>
  <c r="E74" i="92"/>
  <c r="E75" i="92"/>
  <c r="E76" i="92"/>
  <c r="E77" i="92"/>
  <c r="H77" i="92" s="1"/>
  <c r="H73" i="92" l="1"/>
  <c r="J73" i="92" s="1"/>
  <c r="H76" i="92"/>
  <c r="J76" i="92" s="1"/>
  <c r="H72" i="92"/>
  <c r="J72" i="92" s="1"/>
  <c r="H74" i="92"/>
  <c r="J74" i="92" s="1"/>
  <c r="H75" i="92"/>
  <c r="J75" i="92" s="1"/>
  <c r="J77" i="92"/>
  <c r="J79" i="92" l="1"/>
  <c r="M79" i="92" s="1"/>
  <c r="E207" i="92" l="1"/>
  <c r="G209" i="92"/>
  <c r="F209" i="92"/>
  <c r="E209" i="92"/>
  <c r="F52" i="92"/>
  <c r="H209" i="92" l="1"/>
  <c r="J209" i="92" s="1"/>
  <c r="I174" i="92" l="1"/>
  <c r="I87" i="92"/>
  <c r="I130" i="92"/>
  <c r="I120" i="92"/>
  <c r="I214" i="92" l="1"/>
  <c r="I35" i="92"/>
  <c r="I163" i="92"/>
  <c r="I154" i="92"/>
  <c r="I128" i="92"/>
  <c r="I113" i="92"/>
  <c r="I86" i="92"/>
  <c r="G132" i="92"/>
  <c r="F132" i="92"/>
  <c r="G127" i="92"/>
  <c r="G128" i="92" s="1"/>
  <c r="F127" i="92"/>
  <c r="G129" i="92"/>
  <c r="F129" i="92"/>
  <c r="E129" i="92"/>
  <c r="E132" i="92"/>
  <c r="E127" i="92"/>
  <c r="D133" i="92"/>
  <c r="D130" i="92"/>
  <c r="E119" i="92"/>
  <c r="G198" i="92"/>
  <c r="F198" i="92"/>
  <c r="E198" i="92"/>
  <c r="G194" i="92"/>
  <c r="E194" i="92"/>
  <c r="F195" i="92"/>
  <c r="E195" i="92"/>
  <c r="F194" i="92"/>
  <c r="H132" i="92" l="1"/>
  <c r="L134" i="92" s="1"/>
  <c r="F133" i="92"/>
  <c r="E130" i="92"/>
  <c r="H127" i="92"/>
  <c r="L131" i="92" s="1"/>
  <c r="E133" i="92"/>
  <c r="G133" i="92"/>
  <c r="E128" i="92"/>
  <c r="G130" i="92"/>
  <c r="F130" i="92"/>
  <c r="F128" i="92"/>
  <c r="H129" i="92"/>
  <c r="J129" i="92" s="1"/>
  <c r="H194" i="92"/>
  <c r="J194" i="92" s="1"/>
  <c r="H198" i="92"/>
  <c r="J198" i="92" s="1"/>
  <c r="H128" i="92" l="1"/>
  <c r="J128" i="92" s="1"/>
  <c r="H133" i="92"/>
  <c r="J133" i="92" s="1"/>
  <c r="J134" i="92" s="1"/>
  <c r="H130" i="92"/>
  <c r="J130" i="92" s="1"/>
  <c r="J131" i="92" l="1"/>
  <c r="M131" i="92" s="1"/>
  <c r="M134" i="92"/>
  <c r="F185" i="92" l="1"/>
  <c r="E185" i="92"/>
  <c r="G185" i="92"/>
  <c r="F184" i="92"/>
  <c r="G176" i="92"/>
  <c r="F176" i="92"/>
  <c r="E176" i="92"/>
  <c r="I176" i="92"/>
  <c r="D176" i="92"/>
  <c r="G162" i="92"/>
  <c r="G158" i="92"/>
  <c r="G178" i="92"/>
  <c r="E155" i="92"/>
  <c r="F181" i="92" l="1"/>
  <c r="H185" i="92"/>
  <c r="J185" i="92" s="1"/>
  <c r="H176" i="92"/>
  <c r="J176" i="92" s="1"/>
  <c r="H137" i="92"/>
  <c r="H138" i="92"/>
  <c r="H136" i="92"/>
  <c r="H139" i="92"/>
  <c r="H140" i="92"/>
  <c r="J140" i="92" s="1"/>
  <c r="H141" i="92"/>
  <c r="J141" i="92" s="1"/>
  <c r="H142" i="92"/>
  <c r="J142" i="92" s="1"/>
  <c r="E142" i="92"/>
  <c r="F142" i="92"/>
  <c r="G142" i="92"/>
  <c r="G141" i="92"/>
  <c r="G140" i="92"/>
  <c r="G139" i="92"/>
  <c r="F141" i="92"/>
  <c r="E141" i="92"/>
  <c r="E139" i="92"/>
  <c r="F139" i="92"/>
  <c r="I139" i="92"/>
  <c r="E140" i="92"/>
  <c r="F140" i="92"/>
  <c r="I138" i="92"/>
  <c r="I98" i="92"/>
  <c r="G94" i="92"/>
  <c r="G95" i="92" s="1"/>
  <c r="F94" i="92"/>
  <c r="F95" i="92" s="1"/>
  <c r="D96" i="92"/>
  <c r="D102" i="92"/>
  <c r="E47" i="92"/>
  <c r="F41" i="92"/>
  <c r="F42" i="92" s="1"/>
  <c r="G41" i="92"/>
  <c r="G45" i="92" s="1"/>
  <c r="J139" i="92" l="1"/>
  <c r="F96" i="92"/>
  <c r="F97" i="92" s="1"/>
  <c r="F98" i="92" s="1"/>
  <c r="G96" i="92"/>
  <c r="G97" i="92" s="1"/>
  <c r="G98" i="92" s="1"/>
  <c r="F44" i="92"/>
  <c r="F43" i="92"/>
  <c r="F45" i="92"/>
  <c r="G42" i="92"/>
  <c r="G43" i="92"/>
  <c r="G44" i="92"/>
  <c r="G38" i="92" l="1"/>
  <c r="F38" i="92"/>
  <c r="D39" i="92"/>
  <c r="G39" i="92" l="1"/>
  <c r="F39" i="92"/>
  <c r="E36" i="92"/>
  <c r="G24" i="92"/>
  <c r="G26" i="92" s="1"/>
  <c r="F24" i="92"/>
  <c r="F26" i="92" s="1"/>
  <c r="G20" i="92"/>
  <c r="G22" i="92" s="1"/>
  <c r="F20" i="92"/>
  <c r="F22" i="92" s="1"/>
  <c r="I22" i="92"/>
  <c r="I21" i="92"/>
  <c r="I11" i="92"/>
  <c r="D11" i="92"/>
  <c r="F21" i="92" l="1"/>
  <c r="G21" i="92"/>
  <c r="G11" i="92"/>
  <c r="F11" i="92"/>
  <c r="H10" i="92"/>
  <c r="L12" i="92" s="1"/>
  <c r="E11" i="92"/>
  <c r="H11" i="92" l="1"/>
  <c r="J11" i="92" s="1"/>
  <c r="J12" i="92" l="1"/>
  <c r="M12" i="92" l="1"/>
  <c r="G112" i="92"/>
  <c r="F112" i="92"/>
  <c r="E112" i="92"/>
  <c r="I114" i="92"/>
  <c r="E178" i="92"/>
  <c r="F178" i="92"/>
  <c r="G173" i="92"/>
  <c r="F173" i="92"/>
  <c r="G174" i="92" l="1"/>
  <c r="G175" i="92"/>
  <c r="F175" i="92"/>
  <c r="F174" i="92"/>
  <c r="G114" i="92"/>
  <c r="G113" i="92"/>
  <c r="F114" i="92"/>
  <c r="F113" i="92"/>
  <c r="E114" i="92"/>
  <c r="E113" i="92"/>
  <c r="H112" i="92"/>
  <c r="L115" i="92" s="1"/>
  <c r="G6" i="92"/>
  <c r="H114" i="92" l="1"/>
  <c r="J114" i="92" s="1"/>
  <c r="H113" i="92"/>
  <c r="J113" i="92" s="1"/>
  <c r="E173" i="92"/>
  <c r="E174" i="92" s="1"/>
  <c r="E48" i="92"/>
  <c r="G47" i="92"/>
  <c r="G49" i="92" s="1"/>
  <c r="F47" i="92"/>
  <c r="J115" i="92" l="1"/>
  <c r="M115" i="92" s="1"/>
  <c r="F49" i="92"/>
  <c r="H47" i="92"/>
  <c r="L50" i="92" s="1"/>
  <c r="E175" i="92"/>
  <c r="H175" i="92" s="1"/>
  <c r="J175" i="92" s="1"/>
  <c r="H173" i="92"/>
  <c r="L177" i="92" s="1"/>
  <c r="E49" i="92"/>
  <c r="G48" i="92"/>
  <c r="F48" i="92"/>
  <c r="H48" i="92" l="1"/>
  <c r="J48" i="92" s="1"/>
  <c r="H49" i="92"/>
  <c r="J49" i="92" s="1"/>
  <c r="H174" i="92"/>
  <c r="J174" i="92" s="1"/>
  <c r="J177" i="92" l="1"/>
  <c r="M177" i="92" s="1"/>
  <c r="J50" i="92"/>
  <c r="M50" i="92" s="1"/>
  <c r="E123" i="92"/>
  <c r="E85" i="92"/>
  <c r="G85" i="92"/>
  <c r="G87" i="92" s="1"/>
  <c r="F85" i="92"/>
  <c r="F86" i="92" s="1"/>
  <c r="K85" i="92"/>
  <c r="I33" i="92"/>
  <c r="C19" i="55"/>
  <c r="C21" i="55"/>
  <c r="E94" i="92" s="1"/>
  <c r="C17" i="55"/>
  <c r="C16" i="55"/>
  <c r="E29" i="92" s="1"/>
  <c r="H94" i="92" l="1"/>
  <c r="L99" i="92" s="1"/>
  <c r="E97" i="92"/>
  <c r="H97" i="92" s="1"/>
  <c r="J97" i="92" s="1"/>
  <c r="E96" i="92"/>
  <c r="H96" i="92" s="1"/>
  <c r="J96" i="92" s="1"/>
  <c r="E95" i="92"/>
  <c r="H95" i="92" s="1"/>
  <c r="J95" i="92" s="1"/>
  <c r="E98" i="92"/>
  <c r="H98" i="92" s="1"/>
  <c r="J98" i="92" s="1"/>
  <c r="E24" i="92"/>
  <c r="E20" i="92"/>
  <c r="E41" i="92"/>
  <c r="E38" i="92"/>
  <c r="E87" i="92"/>
  <c r="H85" i="92"/>
  <c r="L88" i="92" s="1"/>
  <c r="E30" i="92"/>
  <c r="E35" i="92" s="1"/>
  <c r="F87" i="92"/>
  <c r="E86" i="92"/>
  <c r="G86" i="92"/>
  <c r="F208" i="92"/>
  <c r="E208" i="92"/>
  <c r="I204" i="92"/>
  <c r="I193" i="92"/>
  <c r="I197" i="92"/>
  <c r="F187" i="92"/>
  <c r="F186" i="92"/>
  <c r="E39" i="92" l="1"/>
  <c r="H39" i="92" s="1"/>
  <c r="J39" i="92" s="1"/>
  <c r="J40" i="92" s="1"/>
  <c r="H38" i="92"/>
  <c r="L40" i="92" s="1"/>
  <c r="H41" i="92"/>
  <c r="L46" i="92" s="1"/>
  <c r="E45" i="92"/>
  <c r="H45" i="92" s="1"/>
  <c r="J45" i="92" s="1"/>
  <c r="E42" i="92"/>
  <c r="H42" i="92" s="1"/>
  <c r="J42" i="92" s="1"/>
  <c r="E43" i="92"/>
  <c r="H43" i="92" s="1"/>
  <c r="J43" i="92" s="1"/>
  <c r="E44" i="92"/>
  <c r="H44" i="92" s="1"/>
  <c r="J44" i="92" s="1"/>
  <c r="J99" i="92"/>
  <c r="M99" i="92" s="1"/>
  <c r="E22" i="92"/>
  <c r="H22" i="92" s="1"/>
  <c r="J22" i="92" s="1"/>
  <c r="H20" i="92"/>
  <c r="L23" i="92" s="1"/>
  <c r="E21" i="92"/>
  <c r="H21" i="92" s="1"/>
  <c r="J21" i="92" s="1"/>
  <c r="H24" i="92"/>
  <c r="L28" i="92" s="1"/>
  <c r="E27" i="92"/>
  <c r="E26" i="92"/>
  <c r="H26" i="92" s="1"/>
  <c r="J26" i="92" s="1"/>
  <c r="E25" i="92"/>
  <c r="F25" i="92" s="1"/>
  <c r="G25" i="92" s="1"/>
  <c r="H25" i="92" s="1"/>
  <c r="J25" i="92" s="1"/>
  <c r="H86" i="92"/>
  <c r="J86" i="92" s="1"/>
  <c r="H87" i="92"/>
  <c r="J87" i="92" s="1"/>
  <c r="I153" i="92"/>
  <c r="I152" i="92"/>
  <c r="I149" i="92"/>
  <c r="I148" i="92"/>
  <c r="I147" i="92"/>
  <c r="I146" i="92"/>
  <c r="I164" i="92"/>
  <c r="I155" i="92"/>
  <c r="I156" i="92"/>
  <c r="I17" i="92"/>
  <c r="F116" i="92"/>
  <c r="F104" i="92"/>
  <c r="E105" i="92"/>
  <c r="E106" i="92"/>
  <c r="E104" i="92"/>
  <c r="C12" i="55"/>
  <c r="E100" i="92" s="1"/>
  <c r="D92" i="92"/>
  <c r="D91" i="92"/>
  <c r="D90" i="92"/>
  <c r="I83" i="92"/>
  <c r="I82" i="92"/>
  <c r="I69" i="92"/>
  <c r="I68" i="92"/>
  <c r="I67" i="92"/>
  <c r="I66" i="92"/>
  <c r="I60" i="92"/>
  <c r="I59" i="92"/>
  <c r="I58" i="92"/>
  <c r="I57" i="92"/>
  <c r="I56" i="92"/>
  <c r="I55" i="92"/>
  <c r="M40" i="92" l="1"/>
  <c r="J46" i="92"/>
  <c r="M46" i="92" s="1"/>
  <c r="F27" i="92"/>
  <c r="G27" i="92" s="1"/>
  <c r="J23" i="92"/>
  <c r="M23" i="92" s="1"/>
  <c r="J88" i="92"/>
  <c r="M88" i="92" s="1"/>
  <c r="F17" i="92"/>
  <c r="I16" i="92"/>
  <c r="I15" i="92"/>
  <c r="H27" i="92" l="1"/>
  <c r="J27" i="92" s="1"/>
  <c r="J28" i="92" s="1"/>
  <c r="M28" i="92" s="1"/>
  <c r="D12" i="55"/>
  <c r="F100" i="92" l="1"/>
  <c r="F106" i="92" s="1"/>
  <c r="K62" i="92"/>
  <c r="K52" i="92"/>
  <c r="F105" i="92" l="1"/>
  <c r="F62" i="92"/>
  <c r="G52" i="92"/>
  <c r="E52" i="92"/>
  <c r="H52" i="92" l="1"/>
  <c r="L61" i="92" s="1"/>
  <c r="F66" i="92"/>
  <c r="F69" i="92"/>
  <c r="F65" i="92"/>
  <c r="F67" i="92"/>
  <c r="F63" i="92"/>
  <c r="F68" i="92"/>
  <c r="F64" i="92"/>
  <c r="E58" i="92"/>
  <c r="E55" i="92"/>
  <c r="E59" i="92"/>
  <c r="E53" i="92"/>
  <c r="E60" i="92"/>
  <c r="E57" i="92"/>
  <c r="E54" i="92"/>
  <c r="E56" i="92"/>
  <c r="F59" i="92"/>
  <c r="F56" i="92"/>
  <c r="F54" i="92"/>
  <c r="F58" i="92"/>
  <c r="F55" i="92"/>
  <c r="F57" i="92"/>
  <c r="F53" i="92"/>
  <c r="G54" i="92"/>
  <c r="G58" i="92"/>
  <c r="G56" i="92"/>
  <c r="G60" i="92"/>
  <c r="G57" i="92"/>
  <c r="G53" i="92"/>
  <c r="G55" i="92"/>
  <c r="G59" i="92"/>
  <c r="C13" i="55"/>
  <c r="E80" i="92" s="1"/>
  <c r="E92" i="92"/>
  <c r="C11" i="55" l="1"/>
  <c r="H56" i="92"/>
  <c r="H60" i="92"/>
  <c r="H59" i="92"/>
  <c r="H54" i="92"/>
  <c r="J54" i="92" s="1"/>
  <c r="H53" i="92"/>
  <c r="H58" i="92"/>
  <c r="H57" i="92"/>
  <c r="H55" i="92"/>
  <c r="J53" i="92"/>
  <c r="J56" i="92" l="1"/>
  <c r="J57" i="92"/>
  <c r="J55" i="92"/>
  <c r="C2" i="55"/>
  <c r="F103" i="92"/>
  <c r="E13" i="92" l="1"/>
  <c r="E6" i="92"/>
  <c r="J60" i="92"/>
  <c r="E219" i="92"/>
  <c r="E218" i="92"/>
  <c r="E217" i="92"/>
  <c r="F102" i="92"/>
  <c r="D82" i="92"/>
  <c r="K29" i="92"/>
  <c r="G29" i="92"/>
  <c r="F29" i="92"/>
  <c r="H29" i="92" l="1"/>
  <c r="L37" i="92" s="1"/>
  <c r="J58" i="92" l="1"/>
  <c r="E220" i="92"/>
  <c r="H220" i="92" s="1"/>
  <c r="J220" i="92" s="1"/>
  <c r="H218" i="92"/>
  <c r="J218" i="92" s="1"/>
  <c r="H217" i="92"/>
  <c r="J217" i="92" s="1"/>
  <c r="E216" i="92"/>
  <c r="H216" i="92" s="1"/>
  <c r="J216" i="92" s="1"/>
  <c r="E215" i="92"/>
  <c r="H215" i="92" s="1"/>
  <c r="J215" i="92" s="1"/>
  <c r="E214" i="92"/>
  <c r="H214" i="92" s="1"/>
  <c r="J214" i="92" s="1"/>
  <c r="E213" i="92"/>
  <c r="H213" i="92" s="1"/>
  <c r="J213" i="92" s="1"/>
  <c r="E212" i="92"/>
  <c r="H212" i="92" s="1"/>
  <c r="J212" i="92" s="1"/>
  <c r="F211" i="92"/>
  <c r="G211" i="92"/>
  <c r="E211" i="92"/>
  <c r="H219" i="92"/>
  <c r="J219" i="92" s="1"/>
  <c r="K211" i="92"/>
  <c r="D15" i="92"/>
  <c r="F15" i="92" s="1"/>
  <c r="G187" i="92"/>
  <c r="G186" i="92"/>
  <c r="G184" i="92"/>
  <c r="E187" i="92"/>
  <c r="E186" i="92"/>
  <c r="E184" i="92"/>
  <c r="J221" i="92" l="1"/>
  <c r="J59" i="92"/>
  <c r="J61" i="92" s="1"/>
  <c r="H211" i="92"/>
  <c r="L221" i="92" s="1"/>
  <c r="M61" i="92" l="1"/>
  <c r="M221" i="92"/>
  <c r="F207" i="92" l="1"/>
  <c r="F206" i="92"/>
  <c r="E206" i="92"/>
  <c r="F205" i="92"/>
  <c r="E205" i="92"/>
  <c r="F204" i="92"/>
  <c r="E204" i="92"/>
  <c r="K203" i="92"/>
  <c r="G203" i="92"/>
  <c r="G206" i="92" s="1"/>
  <c r="F203" i="92"/>
  <c r="E203" i="92"/>
  <c r="G200" i="92"/>
  <c r="F200" i="92"/>
  <c r="E200" i="92"/>
  <c r="G197" i="92"/>
  <c r="F197" i="92"/>
  <c r="E197" i="92"/>
  <c r="G196" i="92"/>
  <c r="F196" i="92"/>
  <c r="E196" i="92"/>
  <c r="G195" i="92"/>
  <c r="G193" i="92"/>
  <c r="F193" i="92"/>
  <c r="E193" i="92"/>
  <c r="G192" i="92"/>
  <c r="F192" i="92"/>
  <c r="E192" i="92"/>
  <c r="I191" i="92"/>
  <c r="D191" i="92"/>
  <c r="I190" i="92"/>
  <c r="K189" i="92"/>
  <c r="I183" i="92"/>
  <c r="D183" i="92"/>
  <c r="I182" i="92"/>
  <c r="K181" i="92"/>
  <c r="G181" i="92"/>
  <c r="G182" i="92" s="1"/>
  <c r="E181" i="92"/>
  <c r="E182" i="92" s="1"/>
  <c r="K169" i="92"/>
  <c r="G169" i="92"/>
  <c r="G170" i="92" s="1"/>
  <c r="F169" i="92"/>
  <c r="F170" i="92" s="1"/>
  <c r="I167" i="92"/>
  <c r="K166" i="92"/>
  <c r="G166" i="92"/>
  <c r="G167" i="92" s="1"/>
  <c r="F166" i="92"/>
  <c r="F167" i="92" s="1"/>
  <c r="K162" i="92"/>
  <c r="K158" i="92"/>
  <c r="G160" i="92"/>
  <c r="D156" i="92"/>
  <c r="G155" i="92"/>
  <c r="G153" i="92"/>
  <c r="G152" i="92"/>
  <c r="I151" i="92"/>
  <c r="G151" i="92"/>
  <c r="I150" i="92"/>
  <c r="G150" i="92"/>
  <c r="D150" i="92"/>
  <c r="G149" i="92"/>
  <c r="G148" i="92"/>
  <c r="G147" i="92"/>
  <c r="D147" i="92"/>
  <c r="G146" i="92"/>
  <c r="D146" i="92"/>
  <c r="K145" i="92"/>
  <c r="G145" i="92"/>
  <c r="G156" i="92" s="1"/>
  <c r="G138" i="92"/>
  <c r="G135" i="92" s="1"/>
  <c r="F138" i="92"/>
  <c r="F135" i="92" s="1"/>
  <c r="E138" i="92"/>
  <c r="E135" i="92" s="1"/>
  <c r="I137" i="92"/>
  <c r="G137" i="92"/>
  <c r="F137" i="92"/>
  <c r="E137" i="92"/>
  <c r="D137" i="92"/>
  <c r="G136" i="92"/>
  <c r="F136" i="92"/>
  <c r="E136" i="92"/>
  <c r="I125" i="92"/>
  <c r="D125" i="92"/>
  <c r="I124" i="92"/>
  <c r="E124" i="92"/>
  <c r="D124" i="92"/>
  <c r="K123" i="92"/>
  <c r="G123" i="92"/>
  <c r="G124" i="92" s="1"/>
  <c r="F123" i="92"/>
  <c r="F124" i="92" s="1"/>
  <c r="E125" i="92"/>
  <c r="F121" i="92"/>
  <c r="E121" i="92"/>
  <c r="D120" i="92"/>
  <c r="K119" i="92"/>
  <c r="G119" i="92"/>
  <c r="F119" i="92"/>
  <c r="I117" i="92"/>
  <c r="D117" i="92"/>
  <c r="F117" i="92" s="1"/>
  <c r="K116" i="92"/>
  <c r="G116" i="92"/>
  <c r="E116" i="92"/>
  <c r="I110" i="92"/>
  <c r="D110" i="92"/>
  <c r="I109" i="92"/>
  <c r="G109" i="92"/>
  <c r="F109" i="92"/>
  <c r="E109" i="92"/>
  <c r="K108" i="92"/>
  <c r="G108" i="92"/>
  <c r="F108" i="92"/>
  <c r="E108" i="92"/>
  <c r="E110" i="92" s="1"/>
  <c r="K100" i="92"/>
  <c r="G100" i="92"/>
  <c r="K89" i="92"/>
  <c r="G89" i="92"/>
  <c r="G83" i="92"/>
  <c r="E83" i="92"/>
  <c r="K80" i="92"/>
  <c r="G80" i="92"/>
  <c r="F18" i="92"/>
  <c r="K13" i="92"/>
  <c r="G13" i="92"/>
  <c r="K62" i="91"/>
  <c r="K34" i="91"/>
  <c r="H83" i="92" l="1"/>
  <c r="G17" i="92"/>
  <c r="H13" i="92"/>
  <c r="G189" i="92"/>
  <c r="G190" i="92" s="1"/>
  <c r="G191" i="92" s="1"/>
  <c r="F189" i="92"/>
  <c r="F191" i="92" s="1"/>
  <c r="E189" i="92"/>
  <c r="E190" i="92" s="1"/>
  <c r="E120" i="92"/>
  <c r="E117" i="92"/>
  <c r="G106" i="92"/>
  <c r="H106" i="92" s="1"/>
  <c r="J106" i="92" s="1"/>
  <c r="G105" i="92"/>
  <c r="H105" i="92" s="1"/>
  <c r="J105" i="92" s="1"/>
  <c r="G104" i="92"/>
  <c r="G103" i="92"/>
  <c r="G92" i="92"/>
  <c r="G91" i="92"/>
  <c r="G117" i="92"/>
  <c r="F33" i="92"/>
  <c r="F31" i="92"/>
  <c r="F34" i="92"/>
  <c r="F32" i="92"/>
  <c r="F30" i="92"/>
  <c r="F35" i="92"/>
  <c r="G34" i="92"/>
  <c r="G32" i="92"/>
  <c r="G30" i="92"/>
  <c r="G36" i="92" s="1"/>
  <c r="G35" i="92"/>
  <c r="G33" i="92"/>
  <c r="G31" i="92"/>
  <c r="F110" i="92"/>
  <c r="F120" i="92"/>
  <c r="G183" i="92"/>
  <c r="G90" i="92"/>
  <c r="G110" i="92"/>
  <c r="G120" i="92"/>
  <c r="G121" i="92" s="1"/>
  <c r="H121" i="92" s="1"/>
  <c r="J121" i="92" s="1"/>
  <c r="H187" i="92"/>
  <c r="J187" i="92" s="1"/>
  <c r="H186" i="92"/>
  <c r="J186" i="92" s="1"/>
  <c r="H135" i="92"/>
  <c r="L143" i="92" s="1"/>
  <c r="J137" i="92"/>
  <c r="J138" i="92"/>
  <c r="H196" i="92"/>
  <c r="J196" i="92" s="1"/>
  <c r="H203" i="92"/>
  <c r="L210" i="92" s="1"/>
  <c r="J136" i="92"/>
  <c r="F125" i="92"/>
  <c r="H109" i="92"/>
  <c r="J109" i="92" s="1"/>
  <c r="H192" i="92"/>
  <c r="J192" i="92" s="1"/>
  <c r="H193" i="92"/>
  <c r="J193" i="92" s="1"/>
  <c r="H195" i="92"/>
  <c r="J195" i="92" s="1"/>
  <c r="H197" i="92"/>
  <c r="J197" i="92" s="1"/>
  <c r="H200" i="92"/>
  <c r="J200" i="92" s="1"/>
  <c r="J83" i="92"/>
  <c r="G14" i="92"/>
  <c r="G179" i="92" s="1"/>
  <c r="G18" i="92"/>
  <c r="G82" i="92"/>
  <c r="H124" i="92"/>
  <c r="J124" i="92" s="1"/>
  <c r="G15" i="92"/>
  <c r="G16" i="92"/>
  <c r="G62" i="92" s="1"/>
  <c r="G102" i="92"/>
  <c r="H116" i="92"/>
  <c r="L118" i="92" s="1"/>
  <c r="H123" i="92"/>
  <c r="L126" i="92" s="1"/>
  <c r="G125" i="92"/>
  <c r="H184" i="92"/>
  <c r="J184" i="92" s="1"/>
  <c r="H206" i="92"/>
  <c r="J206" i="92" s="1"/>
  <c r="G101" i="92"/>
  <c r="H108" i="92"/>
  <c r="L111" i="92" s="1"/>
  <c r="H119" i="92"/>
  <c r="L122" i="92" s="1"/>
  <c r="G163" i="92"/>
  <c r="G154" i="92"/>
  <c r="G164" i="92"/>
  <c r="F182" i="92"/>
  <c r="H182" i="92" s="1"/>
  <c r="J182" i="92" s="1"/>
  <c r="E183" i="92"/>
  <c r="G207" i="92"/>
  <c r="H207" i="92" s="1"/>
  <c r="J207" i="92" s="1"/>
  <c r="H181" i="92"/>
  <c r="L188" i="92" s="1"/>
  <c r="F183" i="92"/>
  <c r="G204" i="92"/>
  <c r="J143" i="92" l="1"/>
  <c r="M143" i="92" s="1"/>
  <c r="H34" i="92"/>
  <c r="J34" i="92" s="1"/>
  <c r="H32" i="92"/>
  <c r="J32" i="92" s="1"/>
  <c r="H30" i="92"/>
  <c r="H33" i="92"/>
  <c r="J33" i="92" s="1"/>
  <c r="H35" i="92"/>
  <c r="J35" i="92" s="1"/>
  <c r="H31" i="92"/>
  <c r="J31" i="92" s="1"/>
  <c r="G67" i="92"/>
  <c r="G63" i="92"/>
  <c r="G66" i="92"/>
  <c r="G69" i="92"/>
  <c r="G65" i="92"/>
  <c r="G68" i="92"/>
  <c r="G64" i="92"/>
  <c r="F190" i="92"/>
  <c r="H190" i="92" s="1"/>
  <c r="J190" i="92" s="1"/>
  <c r="E191" i="92"/>
  <c r="H191" i="92" s="1"/>
  <c r="J191" i="92" s="1"/>
  <c r="H189" i="92"/>
  <c r="L201" i="92" s="1"/>
  <c r="G159" i="92"/>
  <c r="F36" i="92"/>
  <c r="J30" i="92"/>
  <c r="G205" i="92"/>
  <c r="H205" i="92" s="1"/>
  <c r="J205" i="92" s="1"/>
  <c r="G208" i="92"/>
  <c r="H208" i="92" s="1"/>
  <c r="J208" i="92" s="1"/>
  <c r="H104" i="92"/>
  <c r="J104" i="92" s="1"/>
  <c r="H110" i="92"/>
  <c r="J110" i="92" s="1"/>
  <c r="J111" i="92" s="1"/>
  <c r="H117" i="92"/>
  <c r="J117" i="92" s="1"/>
  <c r="J118" i="92" s="1"/>
  <c r="H120" i="92"/>
  <c r="J120" i="92" s="1"/>
  <c r="J122" i="92" s="1"/>
  <c r="H125" i="92"/>
  <c r="J125" i="92" s="1"/>
  <c r="J126" i="92" s="1"/>
  <c r="H204" i="92"/>
  <c r="J204" i="92" s="1"/>
  <c r="H183" i="92"/>
  <c r="J183" i="92" s="1"/>
  <c r="J188" i="92" s="1"/>
  <c r="G81" i="92"/>
  <c r="H36" i="92" l="1"/>
  <c r="J36" i="92" s="1"/>
  <c r="J37" i="92" s="1"/>
  <c r="J201" i="92"/>
  <c r="M201" i="92" s="1"/>
  <c r="J210" i="92"/>
  <c r="M111" i="92"/>
  <c r="M188" i="92"/>
  <c r="M122" i="92"/>
  <c r="M126" i="92"/>
  <c r="M37" i="92" l="1"/>
  <c r="M118" i="92"/>
  <c r="M210" i="92"/>
  <c r="I112" i="91" l="1"/>
  <c r="I109" i="91"/>
  <c r="I108" i="91"/>
  <c r="C3" i="55"/>
  <c r="E18" i="92" s="1"/>
  <c r="H18" i="92" s="1"/>
  <c r="F120" i="91"/>
  <c r="E120" i="91"/>
  <c r="F119" i="91"/>
  <c r="E119" i="91"/>
  <c r="F118" i="91"/>
  <c r="E118" i="91"/>
  <c r="F117" i="91"/>
  <c r="E117" i="91"/>
  <c r="K116" i="91"/>
  <c r="G116" i="91"/>
  <c r="G119" i="91" s="1"/>
  <c r="F116" i="91"/>
  <c r="E116" i="91"/>
  <c r="G113" i="91"/>
  <c r="F113" i="91"/>
  <c r="E113" i="91"/>
  <c r="G112" i="91"/>
  <c r="F112" i="91"/>
  <c r="E112" i="91"/>
  <c r="G111" i="91"/>
  <c r="F111" i="91"/>
  <c r="E111" i="91"/>
  <c r="G110" i="91"/>
  <c r="F110" i="91"/>
  <c r="E110" i="91"/>
  <c r="G109" i="91"/>
  <c r="F109" i="91"/>
  <c r="E109" i="91"/>
  <c r="G108" i="91"/>
  <c r="F108" i="91"/>
  <c r="E108" i="91"/>
  <c r="I107" i="91"/>
  <c r="D107" i="91"/>
  <c r="I106" i="91"/>
  <c r="K105" i="91"/>
  <c r="G105" i="91"/>
  <c r="G106" i="91" s="1"/>
  <c r="F105" i="91"/>
  <c r="F106" i="91" s="1"/>
  <c r="E105" i="91"/>
  <c r="G103" i="91"/>
  <c r="E103" i="91"/>
  <c r="G102" i="91"/>
  <c r="E102" i="91"/>
  <c r="G101" i="91"/>
  <c r="E101" i="91"/>
  <c r="I100" i="91"/>
  <c r="D100" i="91"/>
  <c r="I99" i="91"/>
  <c r="K98" i="91"/>
  <c r="G98" i="91"/>
  <c r="G99" i="91" s="1"/>
  <c r="F98" i="91"/>
  <c r="F99" i="91" s="1"/>
  <c r="E98" i="91"/>
  <c r="K94" i="91"/>
  <c r="G94" i="91"/>
  <c r="G95" i="91" s="1"/>
  <c r="F94" i="91"/>
  <c r="F95" i="91" s="1"/>
  <c r="I92" i="91"/>
  <c r="K91" i="91"/>
  <c r="G91" i="91"/>
  <c r="G92" i="91" s="1"/>
  <c r="F91" i="91"/>
  <c r="F92" i="91" s="1"/>
  <c r="I89" i="91"/>
  <c r="D89" i="91"/>
  <c r="K87" i="91"/>
  <c r="G87" i="91"/>
  <c r="G89" i="91" s="1"/>
  <c r="D85" i="91"/>
  <c r="K83" i="91"/>
  <c r="G83" i="91"/>
  <c r="G85" i="91" s="1"/>
  <c r="D81" i="91"/>
  <c r="I80" i="91"/>
  <c r="G80" i="91"/>
  <c r="F80" i="91"/>
  <c r="E80" i="91"/>
  <c r="I78" i="91"/>
  <c r="G78" i="91"/>
  <c r="F78" i="91"/>
  <c r="E78" i="91"/>
  <c r="D78" i="91"/>
  <c r="I77" i="91"/>
  <c r="G77" i="91"/>
  <c r="F77" i="91"/>
  <c r="E77" i="91"/>
  <c r="D77" i="91"/>
  <c r="I76" i="91"/>
  <c r="G76" i="91"/>
  <c r="F76" i="91"/>
  <c r="E76" i="91"/>
  <c r="D76" i="91"/>
  <c r="I75" i="91"/>
  <c r="G75" i="91"/>
  <c r="F75" i="91"/>
  <c r="E75" i="91"/>
  <c r="D75" i="91"/>
  <c r="I74" i="91"/>
  <c r="G74" i="91"/>
  <c r="F74" i="91"/>
  <c r="E74" i="91"/>
  <c r="D74" i="91"/>
  <c r="I73" i="91"/>
  <c r="G73" i="91"/>
  <c r="F73" i="91"/>
  <c r="E73" i="91"/>
  <c r="D73" i="91"/>
  <c r="I72" i="91"/>
  <c r="G72" i="91"/>
  <c r="F72" i="91"/>
  <c r="E72" i="91"/>
  <c r="D72" i="91"/>
  <c r="I71" i="91"/>
  <c r="G71" i="91"/>
  <c r="F71" i="91"/>
  <c r="E71" i="91"/>
  <c r="D71" i="91"/>
  <c r="K70" i="91"/>
  <c r="G70" i="91"/>
  <c r="G81" i="91" s="1"/>
  <c r="F67" i="91"/>
  <c r="E67" i="91"/>
  <c r="I66" i="91"/>
  <c r="F66" i="91"/>
  <c r="E66" i="91"/>
  <c r="I65" i="91"/>
  <c r="G65" i="91"/>
  <c r="G66" i="91" s="1"/>
  <c r="F65" i="91"/>
  <c r="E65" i="91"/>
  <c r="I64" i="91"/>
  <c r="G64" i="91"/>
  <c r="F64" i="91"/>
  <c r="E64" i="91"/>
  <c r="D64" i="91"/>
  <c r="G63" i="91"/>
  <c r="F63" i="91"/>
  <c r="E63" i="91"/>
  <c r="G62" i="91"/>
  <c r="G67" i="91" s="1"/>
  <c r="F62" i="91"/>
  <c r="E62" i="91"/>
  <c r="I60" i="91"/>
  <c r="D60" i="91"/>
  <c r="I59" i="91"/>
  <c r="E59" i="91"/>
  <c r="D59" i="91"/>
  <c r="K58" i="91"/>
  <c r="G58" i="91"/>
  <c r="F58" i="91"/>
  <c r="F59" i="91" s="1"/>
  <c r="E58" i="91"/>
  <c r="E60" i="91" s="1"/>
  <c r="I56" i="91"/>
  <c r="F56" i="91"/>
  <c r="E56" i="91"/>
  <c r="I55" i="91"/>
  <c r="D55" i="91"/>
  <c r="K54" i="91"/>
  <c r="G54" i="91"/>
  <c r="G55" i="91" s="1"/>
  <c r="G56" i="91" s="1"/>
  <c r="F54" i="91"/>
  <c r="E54" i="91"/>
  <c r="E55" i="91" s="1"/>
  <c r="I52" i="91"/>
  <c r="D52" i="91"/>
  <c r="K51" i="91"/>
  <c r="G51" i="91"/>
  <c r="F51" i="91"/>
  <c r="E51" i="91"/>
  <c r="I49" i="91"/>
  <c r="D49" i="91"/>
  <c r="D48" i="91"/>
  <c r="D79" i="91" s="1"/>
  <c r="K47" i="91"/>
  <c r="G47" i="91"/>
  <c r="I45" i="91"/>
  <c r="D45" i="91"/>
  <c r="I44" i="91"/>
  <c r="I63" i="91" s="1"/>
  <c r="G44" i="91"/>
  <c r="F44" i="91"/>
  <c r="E44" i="91"/>
  <c r="K43" i="91"/>
  <c r="G43" i="91"/>
  <c r="G45" i="91" s="1"/>
  <c r="F43" i="91"/>
  <c r="E43" i="91"/>
  <c r="E45" i="91" s="1"/>
  <c r="I41" i="91"/>
  <c r="E41" i="91"/>
  <c r="I40" i="91"/>
  <c r="E40" i="91"/>
  <c r="I39" i="91"/>
  <c r="E39" i="91"/>
  <c r="D38" i="91"/>
  <c r="D37" i="91"/>
  <c r="D36" i="91"/>
  <c r="D35" i="91"/>
  <c r="G34" i="91"/>
  <c r="I32" i="91"/>
  <c r="G32" i="91"/>
  <c r="F32" i="91"/>
  <c r="E32" i="91"/>
  <c r="I31" i="91"/>
  <c r="D31" i="91"/>
  <c r="I30" i="91"/>
  <c r="I48" i="91" s="1"/>
  <c r="D30" i="91"/>
  <c r="D88" i="91" s="1"/>
  <c r="I29" i="91"/>
  <c r="D29" i="91"/>
  <c r="K27" i="91"/>
  <c r="G27" i="91"/>
  <c r="G30" i="91" s="1"/>
  <c r="F24" i="91"/>
  <c r="E24" i="91"/>
  <c r="D24" i="91"/>
  <c r="F23" i="91"/>
  <c r="E23" i="91"/>
  <c r="D23" i="91"/>
  <c r="I22" i="91"/>
  <c r="D22" i="91"/>
  <c r="G21" i="91"/>
  <c r="G24" i="91" s="1"/>
  <c r="F21" i="91"/>
  <c r="E21" i="91"/>
  <c r="F19" i="91"/>
  <c r="I17" i="91"/>
  <c r="I16" i="91"/>
  <c r="I36" i="91" s="1"/>
  <c r="D16" i="91"/>
  <c r="I15" i="91"/>
  <c r="D15" i="91"/>
  <c r="K14" i="91"/>
  <c r="G14" i="91"/>
  <c r="G19" i="91" s="1"/>
  <c r="E14" i="91"/>
  <c r="G10" i="91"/>
  <c r="E10" i="91"/>
  <c r="E11" i="55"/>
  <c r="E5" i="55"/>
  <c r="E2" i="55"/>
  <c r="C6" i="55"/>
  <c r="C9" i="55"/>
  <c r="C8" i="55"/>
  <c r="C7" i="55"/>
  <c r="H63" i="91" l="1"/>
  <c r="H64" i="91"/>
  <c r="J64" i="91" s="1"/>
  <c r="H65" i="91"/>
  <c r="J65" i="91" s="1"/>
  <c r="H74" i="91"/>
  <c r="J74" i="91" s="1"/>
  <c r="H78" i="91"/>
  <c r="J78" i="91" s="1"/>
  <c r="E38" i="91"/>
  <c r="H76" i="91"/>
  <c r="F22" i="91"/>
  <c r="E19" i="91"/>
  <c r="H19" i="91" s="1"/>
  <c r="J19" i="91" s="1"/>
  <c r="H73" i="91"/>
  <c r="J73" i="91" s="1"/>
  <c r="J76" i="91"/>
  <c r="E162" i="92"/>
  <c r="E158" i="92"/>
  <c r="G52" i="91"/>
  <c r="J18" i="92"/>
  <c r="H32" i="91"/>
  <c r="J32" i="91" s="1"/>
  <c r="G37" i="91"/>
  <c r="E107" i="91"/>
  <c r="G107" i="91"/>
  <c r="H108" i="91"/>
  <c r="J108" i="91" s="1"/>
  <c r="E94" i="91"/>
  <c r="E95" i="91" s="1"/>
  <c r="H95" i="91" s="1"/>
  <c r="J95" i="91" s="1"/>
  <c r="J96" i="91" s="1"/>
  <c r="E169" i="92"/>
  <c r="E100" i="91"/>
  <c r="G100" i="91"/>
  <c r="E70" i="91"/>
  <c r="E81" i="91" s="1"/>
  <c r="E145" i="92"/>
  <c r="E91" i="91"/>
  <c r="E92" i="91" s="1"/>
  <c r="H92" i="91" s="1"/>
  <c r="J92" i="91" s="1"/>
  <c r="J93" i="91" s="1"/>
  <c r="E166" i="92"/>
  <c r="E87" i="91"/>
  <c r="E89" i="91" s="1"/>
  <c r="E37" i="91"/>
  <c r="F45" i="91"/>
  <c r="H51" i="91"/>
  <c r="L53" i="91" s="1"/>
  <c r="H62" i="91"/>
  <c r="H110" i="91"/>
  <c r="J110" i="91" s="1"/>
  <c r="H77" i="91"/>
  <c r="J77" i="91" s="1"/>
  <c r="E83" i="91"/>
  <c r="E85" i="91" s="1"/>
  <c r="F107" i="91"/>
  <c r="E22" i="91"/>
  <c r="G49" i="91"/>
  <c r="F52" i="91"/>
  <c r="F55" i="91"/>
  <c r="G60" i="91"/>
  <c r="H102" i="91"/>
  <c r="J102" i="91" s="1"/>
  <c r="H103" i="91"/>
  <c r="J103" i="91" s="1"/>
  <c r="E106" i="91"/>
  <c r="H109" i="91"/>
  <c r="J109" i="91" s="1"/>
  <c r="H111" i="91"/>
  <c r="J111" i="91" s="1"/>
  <c r="H24" i="91"/>
  <c r="J24" i="91" s="1"/>
  <c r="H72" i="91"/>
  <c r="J72" i="91" s="1"/>
  <c r="H44" i="91"/>
  <c r="J44" i="91" s="1"/>
  <c r="H55" i="91"/>
  <c r="J55" i="91" s="1"/>
  <c r="H80" i="91"/>
  <c r="J80" i="91" s="1"/>
  <c r="H112" i="91"/>
  <c r="J112" i="91" s="1"/>
  <c r="H113" i="91"/>
  <c r="J113" i="91" s="1"/>
  <c r="H116" i="91"/>
  <c r="H71" i="91"/>
  <c r="J71" i="91" s="1"/>
  <c r="H75" i="91"/>
  <c r="J75" i="91" s="1"/>
  <c r="E15" i="91"/>
  <c r="I84" i="91"/>
  <c r="I35" i="91"/>
  <c r="I28" i="91"/>
  <c r="D84" i="91"/>
  <c r="E84" i="91" s="1"/>
  <c r="D28" i="91"/>
  <c r="E16" i="91"/>
  <c r="G16" i="91"/>
  <c r="E17" i="91"/>
  <c r="G17" i="91"/>
  <c r="I37" i="91"/>
  <c r="I38" i="91"/>
  <c r="G18" i="91"/>
  <c r="H45" i="91"/>
  <c r="J45" i="91" s="1"/>
  <c r="G15" i="91"/>
  <c r="H56" i="91"/>
  <c r="J56" i="91" s="1"/>
  <c r="J63" i="91"/>
  <c r="H21" i="91"/>
  <c r="L25" i="91" s="1"/>
  <c r="G22" i="91"/>
  <c r="H22" i="91" s="1"/>
  <c r="J22" i="91" s="1"/>
  <c r="G29" i="91"/>
  <c r="G31" i="91"/>
  <c r="I85" i="91"/>
  <c r="I81" i="91"/>
  <c r="G36" i="91"/>
  <c r="G38" i="91"/>
  <c r="G39" i="91"/>
  <c r="G40" i="91"/>
  <c r="G41" i="91"/>
  <c r="H43" i="91"/>
  <c r="L46" i="91" s="1"/>
  <c r="G48" i="91"/>
  <c r="E52" i="91"/>
  <c r="H52" i="91" s="1"/>
  <c r="J52" i="91" s="1"/>
  <c r="J53" i="91" s="1"/>
  <c r="M53" i="91" s="1"/>
  <c r="H54" i="91"/>
  <c r="L57" i="91" s="1"/>
  <c r="G59" i="91"/>
  <c r="H59" i="91" s="1"/>
  <c r="J59" i="91" s="1"/>
  <c r="F60" i="91"/>
  <c r="L68" i="91"/>
  <c r="H67" i="91"/>
  <c r="J67" i="91" s="1"/>
  <c r="H119" i="91"/>
  <c r="J119" i="91" s="1"/>
  <c r="G23" i="91"/>
  <c r="H23" i="91" s="1"/>
  <c r="J23" i="91" s="1"/>
  <c r="G28" i="91"/>
  <c r="I88" i="91"/>
  <c r="I79" i="91"/>
  <c r="G35" i="91"/>
  <c r="H58" i="91"/>
  <c r="L61" i="91" s="1"/>
  <c r="H66" i="91"/>
  <c r="J66" i="91" s="1"/>
  <c r="H106" i="91"/>
  <c r="J106" i="91" s="1"/>
  <c r="L121" i="91"/>
  <c r="G79" i="91"/>
  <c r="G84" i="91"/>
  <c r="G88" i="91"/>
  <c r="H98" i="91"/>
  <c r="L104" i="91" s="1"/>
  <c r="E99" i="91"/>
  <c r="H99" i="91" s="1"/>
  <c r="J99" i="91" s="1"/>
  <c r="F100" i="91"/>
  <c r="H100" i="91" s="1"/>
  <c r="J100" i="91" s="1"/>
  <c r="F101" i="91"/>
  <c r="H101" i="91" s="1"/>
  <c r="J101" i="91" s="1"/>
  <c r="H105" i="91"/>
  <c r="L114" i="91" s="1"/>
  <c r="G120" i="91"/>
  <c r="H120" i="91" s="1"/>
  <c r="J120" i="91" s="1"/>
  <c r="H91" i="91"/>
  <c r="L93" i="91" s="1"/>
  <c r="G117" i="91"/>
  <c r="G118" i="91" s="1"/>
  <c r="H118" i="91" s="1"/>
  <c r="J118" i="91" s="1"/>
  <c r="H107" i="91" l="1"/>
  <c r="J107" i="91" s="1"/>
  <c r="E18" i="91"/>
  <c r="H60" i="91"/>
  <c r="J60" i="91" s="1"/>
  <c r="E160" i="92"/>
  <c r="E159" i="92"/>
  <c r="E88" i="91"/>
  <c r="E79" i="91"/>
  <c r="E151" i="92"/>
  <c r="E152" i="92"/>
  <c r="E147" i="92"/>
  <c r="E153" i="92"/>
  <c r="E150" i="92"/>
  <c r="E146" i="92"/>
  <c r="E148" i="92"/>
  <c r="E154" i="92"/>
  <c r="E149" i="92"/>
  <c r="E16" i="92"/>
  <c r="E15" i="92"/>
  <c r="H15" i="92" s="1"/>
  <c r="H94" i="91"/>
  <c r="L96" i="91" s="1"/>
  <c r="M96" i="91" s="1"/>
  <c r="J46" i="91"/>
  <c r="E163" i="92"/>
  <c r="E164" i="92"/>
  <c r="E167" i="92"/>
  <c r="H167" i="92" s="1"/>
  <c r="J167" i="92" s="1"/>
  <c r="J168" i="92" s="1"/>
  <c r="H166" i="92"/>
  <c r="L168" i="92" s="1"/>
  <c r="E156" i="92"/>
  <c r="E170" i="92"/>
  <c r="H170" i="92" s="1"/>
  <c r="J170" i="92" s="1"/>
  <c r="J171" i="92" s="1"/>
  <c r="H169" i="92"/>
  <c r="L171" i="92" s="1"/>
  <c r="E17" i="92"/>
  <c r="H17" i="92" s="1"/>
  <c r="E14" i="92"/>
  <c r="J57" i="91"/>
  <c r="M57" i="91" s="1"/>
  <c r="M93" i="91"/>
  <c r="J61" i="91"/>
  <c r="M61" i="91" s="1"/>
  <c r="J25" i="91"/>
  <c r="M25" i="91" s="1"/>
  <c r="J104" i="91"/>
  <c r="M104" i="91" s="1"/>
  <c r="J114" i="91"/>
  <c r="M114" i="91" s="1"/>
  <c r="H117" i="91"/>
  <c r="J117" i="91" s="1"/>
  <c r="J121" i="91" s="1"/>
  <c r="M121" i="91" s="1"/>
  <c r="J68" i="91"/>
  <c r="M68" i="91" s="1"/>
  <c r="M46" i="91"/>
  <c r="E62" i="92" l="1"/>
  <c r="H62" i="92" s="1"/>
  <c r="L70" i="92" s="1"/>
  <c r="E179" i="92"/>
  <c r="M171" i="92"/>
  <c r="M168" i="92"/>
  <c r="D6" i="55"/>
  <c r="F6" i="55" s="1"/>
  <c r="F145" i="92"/>
  <c r="H145" i="92" s="1"/>
  <c r="E64" i="92" l="1"/>
  <c r="H64" i="92" s="1"/>
  <c r="J64" i="92" s="1"/>
  <c r="E67" i="92"/>
  <c r="H67" i="92" s="1"/>
  <c r="E65" i="92"/>
  <c r="H65" i="92" s="1"/>
  <c r="E63" i="92"/>
  <c r="H63" i="92" s="1"/>
  <c r="E66" i="92"/>
  <c r="H66" i="92" s="1"/>
  <c r="E68" i="92"/>
  <c r="H68" i="92" s="1"/>
  <c r="E69" i="92"/>
  <c r="H69" i="92" s="1"/>
  <c r="F156" i="92"/>
  <c r="H156" i="92" s="1"/>
  <c r="J156" i="92" s="1"/>
  <c r="F152" i="92"/>
  <c r="H152" i="92" s="1"/>
  <c r="J152" i="92" s="1"/>
  <c r="F148" i="92"/>
  <c r="H148" i="92" s="1"/>
  <c r="J148" i="92" s="1"/>
  <c r="F149" i="92"/>
  <c r="H149" i="92" s="1"/>
  <c r="J149" i="92" s="1"/>
  <c r="H155" i="92"/>
  <c r="J155" i="92" s="1"/>
  <c r="F151" i="92"/>
  <c r="H151" i="92" s="1"/>
  <c r="J151" i="92" s="1"/>
  <c r="F147" i="92"/>
  <c r="H147" i="92" s="1"/>
  <c r="J147" i="92" s="1"/>
  <c r="F153" i="92"/>
  <c r="H153" i="92" s="1"/>
  <c r="J153" i="92" s="1"/>
  <c r="F154" i="92"/>
  <c r="H154" i="92" s="1"/>
  <c r="J154" i="92" s="1"/>
  <c r="F150" i="92"/>
  <c r="H150" i="92" s="1"/>
  <c r="J150" i="92" s="1"/>
  <c r="F146" i="92"/>
  <c r="H146" i="92" s="1"/>
  <c r="J146" i="92" s="1"/>
  <c r="L157" i="92"/>
  <c r="J63" i="92"/>
  <c r="J65" i="92"/>
  <c r="F6" i="92"/>
  <c r="H6" i="92" s="1"/>
  <c r="F16" i="92"/>
  <c r="H16" i="92" s="1"/>
  <c r="F162" i="92"/>
  <c r="F158" i="92"/>
  <c r="F14" i="91"/>
  <c r="F10" i="91"/>
  <c r="H10" i="91" s="1"/>
  <c r="F83" i="91"/>
  <c r="F87" i="91"/>
  <c r="F70" i="91"/>
  <c r="J157" i="92" l="1"/>
  <c r="M157" i="92" s="1"/>
  <c r="J67" i="92"/>
  <c r="F164" i="92"/>
  <c r="H164" i="92" s="1"/>
  <c r="J164" i="92" s="1"/>
  <c r="F163" i="92"/>
  <c r="H163" i="92" s="1"/>
  <c r="J163" i="92" s="1"/>
  <c r="H162" i="92"/>
  <c r="L165" i="92" s="1"/>
  <c r="F160" i="92"/>
  <c r="H160" i="92" s="1"/>
  <c r="J160" i="92" s="1"/>
  <c r="F159" i="92"/>
  <c r="H159" i="92" s="1"/>
  <c r="J159" i="92" s="1"/>
  <c r="H158" i="92"/>
  <c r="L161" i="92" s="1"/>
  <c r="J17" i="92"/>
  <c r="F14" i="92"/>
  <c r="H14" i="92" s="1"/>
  <c r="J16" i="92"/>
  <c r="L19" i="92"/>
  <c r="H87" i="91"/>
  <c r="L90" i="91" s="1"/>
  <c r="F89" i="91"/>
  <c r="H89" i="91" s="1"/>
  <c r="J89" i="91" s="1"/>
  <c r="F88" i="91"/>
  <c r="H88" i="91" s="1"/>
  <c r="J88" i="91" s="1"/>
  <c r="F15" i="91"/>
  <c r="H15" i="91" s="1"/>
  <c r="J15" i="91" s="1"/>
  <c r="F16" i="91"/>
  <c r="H16" i="91" s="1"/>
  <c r="J16" i="91" s="1"/>
  <c r="H14" i="91"/>
  <c r="L20" i="91" s="1"/>
  <c r="F17" i="91"/>
  <c r="H17" i="91" s="1"/>
  <c r="J17" i="91" s="1"/>
  <c r="F18" i="91"/>
  <c r="H18" i="91" s="1"/>
  <c r="J18" i="91" s="1"/>
  <c r="F81" i="91"/>
  <c r="H81" i="91" s="1"/>
  <c r="J81" i="91" s="1"/>
  <c r="H70" i="91"/>
  <c r="L82" i="91" s="1"/>
  <c r="F79" i="91"/>
  <c r="H79" i="91" s="1"/>
  <c r="J79" i="91" s="1"/>
  <c r="H83" i="91"/>
  <c r="L86" i="91" s="1"/>
  <c r="F85" i="91"/>
  <c r="H85" i="91" s="1"/>
  <c r="J85" i="91" s="1"/>
  <c r="F84" i="91"/>
  <c r="H84" i="91" s="1"/>
  <c r="J84" i="91" s="1"/>
  <c r="J161" i="92" l="1"/>
  <c r="M161" i="92" s="1"/>
  <c r="J165" i="92"/>
  <c r="M165" i="92" s="1"/>
  <c r="J15" i="92"/>
  <c r="J14" i="92"/>
  <c r="J82" i="91"/>
  <c r="M82" i="91" s="1"/>
  <c r="J69" i="92"/>
  <c r="J68" i="92"/>
  <c r="J66" i="92"/>
  <c r="J90" i="91"/>
  <c r="M90" i="91" s="1"/>
  <c r="J86" i="91"/>
  <c r="M86" i="91" s="1"/>
  <c r="J20" i="91"/>
  <c r="J19" i="92" l="1"/>
  <c r="J70" i="92"/>
  <c r="M70" i="92" s="1"/>
  <c r="F179" i="92"/>
  <c r="H179" i="92" s="1"/>
  <c r="J179" i="92" s="1"/>
  <c r="J180" i="92" s="1"/>
  <c r="H178" i="92"/>
  <c r="L180" i="92" s="1"/>
  <c r="M20" i="91"/>
  <c r="D13" i="55"/>
  <c r="F80" i="92" s="1"/>
  <c r="H80" i="92" s="1"/>
  <c r="M19" i="92" l="1"/>
  <c r="M180" i="92"/>
  <c r="E102" i="92"/>
  <c r="E103" i="92"/>
  <c r="E101" i="92"/>
  <c r="H100" i="92"/>
  <c r="L107" i="92" s="1"/>
  <c r="F89" i="92"/>
  <c r="F101" i="92"/>
  <c r="E89" i="92"/>
  <c r="F34" i="91"/>
  <c r="F37" i="91" s="1"/>
  <c r="E47" i="91"/>
  <c r="E34" i="91"/>
  <c r="F47" i="91"/>
  <c r="E27" i="91"/>
  <c r="D11" i="55"/>
  <c r="F27" i="91" s="1"/>
  <c r="F2" i="55"/>
  <c r="F91" i="92" l="1"/>
  <c r="F92" i="92"/>
  <c r="H92" i="92" s="1"/>
  <c r="J92" i="92" s="1"/>
  <c r="E90" i="92"/>
  <c r="H89" i="92"/>
  <c r="L93" i="92" s="1"/>
  <c r="E91" i="92"/>
  <c r="F90" i="92"/>
  <c r="H102" i="92"/>
  <c r="J102" i="92" s="1"/>
  <c r="H101" i="92"/>
  <c r="J101" i="92" s="1"/>
  <c r="E82" i="92"/>
  <c r="L84" i="92"/>
  <c r="E81" i="92"/>
  <c r="F82" i="92"/>
  <c r="F81" i="92"/>
  <c r="E49" i="91"/>
  <c r="E48" i="91"/>
  <c r="H47" i="91"/>
  <c r="L50" i="91" s="1"/>
  <c r="F48" i="91"/>
  <c r="F49" i="91"/>
  <c r="H49" i="91" s="1"/>
  <c r="J49" i="91" s="1"/>
  <c r="E35" i="91"/>
  <c r="H34" i="91"/>
  <c r="L42" i="91" s="1"/>
  <c r="E36" i="91"/>
  <c r="F41" i="91"/>
  <c r="H41" i="91" s="1"/>
  <c r="J41" i="91" s="1"/>
  <c r="H37" i="91"/>
  <c r="J37" i="91" s="1"/>
  <c r="F36" i="91"/>
  <c r="F39" i="91"/>
  <c r="H39" i="91" s="1"/>
  <c r="J39" i="91" s="1"/>
  <c r="F35" i="91"/>
  <c r="F38" i="91"/>
  <c r="H38" i="91" s="1"/>
  <c r="J38" i="91" s="1"/>
  <c r="F40" i="91"/>
  <c r="H40" i="91" s="1"/>
  <c r="J40" i="91" s="1"/>
  <c r="H81" i="92" l="1"/>
  <c r="J81" i="92" s="1"/>
  <c r="H90" i="92"/>
  <c r="J90" i="92" s="1"/>
  <c r="H82" i="92"/>
  <c r="J82" i="92" s="1"/>
  <c r="L234" i="92"/>
  <c r="H103" i="92"/>
  <c r="J103" i="92" s="1"/>
  <c r="J107" i="92" s="1"/>
  <c r="H35" i="91"/>
  <c r="J35" i="91" s="1"/>
  <c r="H91" i="92"/>
  <c r="J91" i="92" s="1"/>
  <c r="J132" i="91"/>
  <c r="I128" i="91" s="1"/>
  <c r="H36" i="91"/>
  <c r="J36" i="91" s="1"/>
  <c r="E30" i="91"/>
  <c r="E31" i="91"/>
  <c r="E28" i="91"/>
  <c r="H27" i="91"/>
  <c r="L33" i="91" s="1"/>
  <c r="L137" i="91" s="1"/>
  <c r="K136" i="91" s="1"/>
  <c r="E29" i="91"/>
  <c r="H48" i="91"/>
  <c r="J48" i="91" s="1"/>
  <c r="J50" i="91" s="1"/>
  <c r="M50" i="91" s="1"/>
  <c r="F31" i="91"/>
  <c r="F28" i="91"/>
  <c r="F29" i="91"/>
  <c r="F30" i="91"/>
  <c r="J42" i="91" l="1"/>
  <c r="M42" i="91" s="1"/>
  <c r="J93" i="92"/>
  <c r="J229" i="92" s="1"/>
  <c r="J84" i="92"/>
  <c r="M107" i="92"/>
  <c r="H28" i="91"/>
  <c r="J28" i="91" s="1"/>
  <c r="H29" i="91"/>
  <c r="J29" i="91" s="1"/>
  <c r="H30" i="91"/>
  <c r="J30" i="91" s="1"/>
  <c r="H31" i="91"/>
  <c r="J31" i="91" s="1"/>
  <c r="J228" i="92" l="1"/>
  <c r="J230" i="92"/>
  <c r="M237" i="92" s="1"/>
  <c r="M93" i="92"/>
  <c r="M84" i="92"/>
  <c r="J131" i="91"/>
  <c r="I127" i="91" s="1"/>
  <c r="J33" i="91"/>
  <c r="M33" i="91" s="1"/>
  <c r="M140" i="91" s="1"/>
  <c r="M139" i="91" s="1"/>
  <c r="J133" i="91" l="1"/>
  <c r="I129" i="91" s="1"/>
  <c r="F9" i="55"/>
  <c r="F8" i="55" l="1"/>
  <c r="F13" i="55"/>
  <c r="F3" i="55"/>
  <c r="F5" i="55"/>
  <c r="F12" i="55" l="1"/>
  <c r="F11" i="55" l="1"/>
  <c r="F7" i="55" l="1"/>
</calcChain>
</file>

<file path=xl/sharedStrings.xml><?xml version="1.0" encoding="utf-8"?>
<sst xmlns="http://schemas.openxmlformats.org/spreadsheetml/2006/main" count="662" uniqueCount="254">
  <si>
    <t>м2</t>
  </si>
  <si>
    <t>л</t>
  </si>
  <si>
    <t>№ п/п</t>
  </si>
  <si>
    <t>кг</t>
  </si>
  <si>
    <t>Ед. изм.</t>
  </si>
  <si>
    <t>КВАРТИРЫ</t>
  </si>
  <si>
    <t>РАЗДЕЛ 1. ПОЛЫ</t>
  </si>
  <si>
    <t>РАЗДЕЛ 2. СТЕНЫ</t>
  </si>
  <si>
    <t>Итого S полов</t>
  </si>
  <si>
    <t xml:space="preserve">Итого S потолков </t>
  </si>
  <si>
    <t>шт.</t>
  </si>
  <si>
    <t>м.п.</t>
  </si>
  <si>
    <t xml:space="preserve">РАЗДЕЛ 3. ПОТОЛКИ </t>
  </si>
  <si>
    <t>тюб.</t>
  </si>
  <si>
    <t xml:space="preserve">РАЗДЕЛ 4. ПРОЕМЫ </t>
  </si>
  <si>
    <t>баллон.</t>
  </si>
  <si>
    <t>Наименование</t>
  </si>
  <si>
    <t>Генеральному директору</t>
  </si>
  <si>
    <t>"СтройПодрядМонолит"</t>
  </si>
  <si>
    <t>Т.И.Полежайкину</t>
  </si>
  <si>
    <t>объем, м2</t>
  </si>
  <si>
    <t xml:space="preserve">Объект: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</si>
  <si>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Адрес: </t>
  </si>
  <si>
    <t xml:space="preserve">Итого общая стоимость материалов </t>
  </si>
  <si>
    <t>Итого стоимость материалов 2 этапа/м2</t>
  </si>
  <si>
    <t>Цена за единицу измерения с учетом НДС, руб.</t>
  </si>
  <si>
    <t>Фактический коэф.расхода</t>
  </si>
  <si>
    <t>Стоимость с учетом НДС, руб.</t>
  </si>
  <si>
    <t>материалы</t>
  </si>
  <si>
    <t>работа</t>
  </si>
  <si>
    <t xml:space="preserve"> сумма </t>
  </si>
  <si>
    <t>Итого с учетом НДС, руб.</t>
  </si>
  <si>
    <t>Окраска труб ЦО в 2 слоя, отделка  примыканиий с потоком и полом</t>
  </si>
  <si>
    <t>Герметик Cerezit Akryl</t>
  </si>
  <si>
    <t>Пена монтажная проф. 750мл</t>
  </si>
  <si>
    <t>Итого общая стоимость работ</t>
  </si>
  <si>
    <t xml:space="preserve">Итого стоимость материалов 2 этапа </t>
  </si>
  <si>
    <t>Итого стоимость материалов 1 этапа/м2</t>
  </si>
  <si>
    <t>Итого общая стоимость работ и материалов</t>
  </si>
  <si>
    <t>Итого общая стоимость работ и материалов/м2</t>
  </si>
  <si>
    <t>Итого общая стоимость материалов/м2</t>
  </si>
  <si>
    <t>Итого стоимость  материалов 1 этапа</t>
  </si>
  <si>
    <t>Краска интерьерная влагостойкая Baucolor, RAL 9003</t>
  </si>
  <si>
    <t>Итого общая стоимость работ/м2</t>
  </si>
  <si>
    <t xml:space="preserve">КНАУФ-лист ГКЛВ  12,5 мм </t>
  </si>
  <si>
    <t>Шуруп самонарезающий пресс-шайба 4,2х13мм</t>
  </si>
  <si>
    <t>Шуруп для TN ГКЛВ 3,5х25мм</t>
  </si>
  <si>
    <t>ЛК</t>
  </si>
  <si>
    <t>Общий объем</t>
  </si>
  <si>
    <t>Подготовка поверхностей полов и укладка керамогранита</t>
  </si>
  <si>
    <t>Уральский керамогранит 600х600мм UF003, асфальт, матовый</t>
  </si>
  <si>
    <t>Плитка керамическая Kerama Marazzi "Техно", 102х296мм, кабанчик, арт.29052</t>
  </si>
  <si>
    <t>Плитка керамическая Kerama Marazzi "Техно", 102х296мм, кабанчик, арт.29012, 29051</t>
  </si>
  <si>
    <t>Плитка керамическая Kerama Marazzi "Техно", 102х296мм, кабанчик, арт.29000</t>
  </si>
  <si>
    <t xml:space="preserve">Облицовка поверхн. стен керамич. плиткой </t>
  </si>
  <si>
    <t xml:space="preserve">Итого S стен </t>
  </si>
  <si>
    <t>Итого S стен (плитка)</t>
  </si>
  <si>
    <t>Итого S стен  (краска)</t>
  </si>
  <si>
    <t xml:space="preserve">Окраска  в 2 слоя </t>
  </si>
  <si>
    <t>Выравнивание поверхн. стен и подготовка под финишное покрытие</t>
  </si>
  <si>
    <t>Краска декоративная "Полихим" NCS S 3005-R80B</t>
  </si>
  <si>
    <t>Монтаж металич. порогов лифтовых порталов</t>
  </si>
  <si>
    <t>Электроды сварочные</t>
  </si>
  <si>
    <t>уп.</t>
  </si>
  <si>
    <t>Затирка  Ceresit, цвет Antracite</t>
  </si>
  <si>
    <t>Затирка  Ceresit, цвет Manhattan</t>
  </si>
  <si>
    <t xml:space="preserve">Уголок малярный, 25х25х3000мм </t>
  </si>
  <si>
    <t>Затирка  Ceresit, цвет серый</t>
  </si>
  <si>
    <t>Итого S шпатлека+покраска</t>
  </si>
  <si>
    <t>Итого S ГКЛВ</t>
  </si>
  <si>
    <t xml:space="preserve">Итого S подвесной </t>
  </si>
  <si>
    <t>Итого S реечный</t>
  </si>
  <si>
    <t>Монтаж реечного потолка</t>
  </si>
  <si>
    <t>Соединитель профилей одноуровневый двухсторонний (краб)</t>
  </si>
  <si>
    <t>Подвес прямой 60х30х125мм</t>
  </si>
  <si>
    <t>Дюбель с шурупом 6х40 мм</t>
  </si>
  <si>
    <t>КНАУФ-профиль ПН 28х27х3000мм</t>
  </si>
  <si>
    <t>КНАУФ-профиль ПН 60х27х3000мм</t>
  </si>
  <si>
    <t>Монтаж потолков  по системе КНАУФ и подготовка под финишное покрытие</t>
  </si>
  <si>
    <t xml:space="preserve">Окраска потолков </t>
  </si>
  <si>
    <t>Монтаж подвесного потолка</t>
  </si>
  <si>
    <t>Монтаж  металлических противопожарных  дверных  блоков</t>
  </si>
  <si>
    <t>ДГП-21-10л, НПО "Пульс", в противопожарном исполн., цвет RAL 7040</t>
  </si>
  <si>
    <t>2ДО-21-16л, НПО "Пульс", с остеклением обеих створок, цвет RAL 7040</t>
  </si>
  <si>
    <t>2ДИ -21-13л, НПО "Пульс", с  иллюминатором в большой створке, цвет RAL 7040</t>
  </si>
  <si>
    <t>ДГ 21-7л, ПВХ глухая, с запиранием на ключ, цвет RAL 7040</t>
  </si>
  <si>
    <t>2ДИ -21-13л, НПО "Пульс", с  иллюминатором в большой створке, цвет RAL 2008, RAL 1033</t>
  </si>
  <si>
    <t>Анкерный элемент</t>
  </si>
  <si>
    <t>2ДПИ -21-10л, НПО "Пульс", в противопожарном исполн., с  иллюминатором в большой створке, цвет RAL 7040</t>
  </si>
  <si>
    <t>Краска белая  ПФ-115</t>
  </si>
  <si>
    <t>Окраска ствола мусоропровода  в 2 слоя</t>
  </si>
  <si>
    <t>РАЗДЕЛ 5. ЭЛЕКТРИКА</t>
  </si>
  <si>
    <t>Монтаж светильников</t>
  </si>
  <si>
    <t>Светильник потолочный накладной,  600х300мм</t>
  </si>
  <si>
    <t>Светильник потолочный "Амстронг" Seul Semiconductor , 600х600мм</t>
  </si>
  <si>
    <t>Светильник потолочный "Световые технологии",  64216000-MD 160</t>
  </si>
  <si>
    <t>Светильник потолочный "Световые технологии",  BLADE DL LED 230х30мм</t>
  </si>
  <si>
    <t>Монтаж вент. решеток</t>
  </si>
  <si>
    <t>Вент.решетка декоративная , 110х110мм, цвет белый</t>
  </si>
  <si>
    <t>Вент.решетка декоративная , 210х210мм, цвет белый</t>
  </si>
  <si>
    <t>Вент.решетка декоративная , 680х680мм, цвет белый</t>
  </si>
  <si>
    <t>Жидкие гвозди универсальные</t>
  </si>
  <si>
    <t>Крепежный  элемент</t>
  </si>
  <si>
    <t>Монтаж почтовых ящиков</t>
  </si>
  <si>
    <t xml:space="preserve">Почтовыые ящики АШВД-6, цвет серый </t>
  </si>
  <si>
    <t>Подввесной потолок AMF, плиты Termatex Sclicht, кромка VT, 600х600х15мм, на профилях по системе С</t>
  </si>
  <si>
    <t>Тактильная плитка с конусообразными рифами 300х300мм,"СК-ПОЛИМЕРЫ", цвет охра</t>
  </si>
  <si>
    <t>Внешний углоавй профиль PROEDGE</t>
  </si>
  <si>
    <t xml:space="preserve">Монтаж внешнего угла из нержавеющей стали </t>
  </si>
  <si>
    <t>Реечный потолок в комплекте с подсистемой</t>
  </si>
  <si>
    <t>Лист стальной с чечевичным рефлением по ГОСТ8568-77, 4мм</t>
  </si>
  <si>
    <t xml:space="preserve">кол-во этажей </t>
  </si>
  <si>
    <t>МОП (типовой этаж/секция)</t>
  </si>
  <si>
    <t xml:space="preserve">МОП                   1-й ЭТАЖ </t>
  </si>
  <si>
    <t>Краска   ПФ-115, колерованная</t>
  </si>
  <si>
    <t>Выравнивание поверхностей потолков и подготовка под финишное покрытие</t>
  </si>
  <si>
    <t xml:space="preserve">Бетоноконтакт </t>
  </si>
  <si>
    <t>Клей плиточный FORMAN 52</t>
  </si>
  <si>
    <t>Грунт универсальный</t>
  </si>
  <si>
    <t>Штукатурная смесь FORMAN 10</t>
  </si>
  <si>
    <t xml:space="preserve">Шпатлевка полимерная  FORMAN 121 </t>
  </si>
  <si>
    <t>Бетоноконтакт</t>
  </si>
  <si>
    <t>Входная дверь металлическая</t>
  </si>
  <si>
    <t>Доборы  входной двери</t>
  </si>
  <si>
    <t>Наличники входной двери</t>
  </si>
  <si>
    <t xml:space="preserve">Монтаж металлического входного дверного блока </t>
  </si>
  <si>
    <t xml:space="preserve">МОП  1-й ЭТАЖ </t>
  </si>
  <si>
    <t>СМЕТНЫЙ  РАСЧЕТ  ДЛЯ ОТДЕЛОЧНЫХ РАБОТ В МОП.  КОРПУС № 7</t>
  </si>
  <si>
    <t>Монтаж внешнего угла из нержавеющей стали.</t>
  </si>
  <si>
    <t>Выравнивание поверхн. стен и подготовка под финишное покрытие.</t>
  </si>
  <si>
    <t>Окраска ствола мусоропровода  в 2 слоя.</t>
  </si>
  <si>
    <t>Окраска труб ЦО в 2 слоя, отделка  примыканиий с потоком и полом.</t>
  </si>
  <si>
    <t>Монтаж почтовых ящиков.</t>
  </si>
  <si>
    <t>Шпатлевка ОСНОВИТ  Т-36</t>
  </si>
  <si>
    <t>Окраска  поверхностей стен декоративной краской.</t>
  </si>
  <si>
    <t>Монтаж потолков  по системе КНАУФ и подготовка под финишное покрытие.</t>
  </si>
  <si>
    <t>Выравнивание поверхностей потолков и подготовка под финишное покрытие.</t>
  </si>
  <si>
    <t>Окраска потолков.</t>
  </si>
  <si>
    <t>Монтаж подвесного потолка.</t>
  </si>
  <si>
    <t>Монтаж реечного потолка.</t>
  </si>
  <si>
    <t xml:space="preserve">Монтаж металлического входного дверного блока. </t>
  </si>
  <si>
    <t>Монтаж  металлических противопожарных  дверных  блоков.</t>
  </si>
  <si>
    <t>Монтаж светильников.</t>
  </si>
  <si>
    <t>Грунт универсальный СТРОЙБРИГ ЛАСТИМИН LP-51 A</t>
  </si>
  <si>
    <t>Клей плиточный СТРОЙБРИГ ГРАНИФИКС АС12</t>
  </si>
  <si>
    <t>Затирка ОСНОВИТ ПЛИТСЭЙФ Т-121</t>
  </si>
  <si>
    <t>МОП</t>
  </si>
  <si>
    <t>Шпатлевка   СТРОЙБРИГ ГЕНФИР PG35 MW</t>
  </si>
  <si>
    <t>Разводка и монтаж сан.технического оборудования</t>
  </si>
  <si>
    <t>кв.</t>
  </si>
  <si>
    <t>Комплектующие для разводки труб ГВС, ХВС и канализации</t>
  </si>
  <si>
    <t>компл.</t>
  </si>
  <si>
    <t>Герметик силиконовый Cerezit    CS25</t>
  </si>
  <si>
    <t xml:space="preserve">Сифон </t>
  </si>
  <si>
    <t>Наливной пол СТРОЙБРИГ БЫСТРИЛ FK48 MR</t>
  </si>
  <si>
    <t>Плитка керамическая Kerama Marazzi "Техно", 102х296мм, кабанчик, арт.29012</t>
  </si>
  <si>
    <t>Краска декоративная "Полихим" NCS S 2005-R80B</t>
  </si>
  <si>
    <t>Обшивка  в 2 слоя шахт ОВ в тамбуре выхода по системе КНАУФ .</t>
  </si>
  <si>
    <t>Грунтовка "БЕТОН-КОНТАКТ" (14 кг)</t>
  </si>
  <si>
    <t>Напольный плинтус ELSI 56мм(622 серый ясень)</t>
  </si>
  <si>
    <t>Угол внутренний У1, ELSI 56мм(622 серый ясень)</t>
  </si>
  <si>
    <t>Угол внешний У2, ELSI 56мм(622 серый ясень)</t>
  </si>
  <si>
    <t>Заглушки (правая и лавая)ЗЛ+ЗП, ELSI 56мм(622 серый ясень)</t>
  </si>
  <si>
    <t>Соединитель плинтуса С1, ELSI 56мм(622 серый ясень)</t>
  </si>
  <si>
    <t>ПН 28х27х0,4 (ПН) дл.3м (Мет)</t>
  </si>
  <si>
    <t>ПП 60х27х0,4 (ПП) дл.3м (Мет)</t>
  </si>
  <si>
    <t>ПН 50х40 (ПН-2) дл.3м (Мет)</t>
  </si>
  <si>
    <t>Шуруп 3,5х11 (1000 шт.), со сверлом</t>
  </si>
  <si>
    <t>Шуруп 3,5х25мм (STINGER)</t>
  </si>
  <si>
    <t xml:space="preserve">Грунт "Полихим" </t>
  </si>
  <si>
    <t>ГСП H2 ПЛУК 12,5х1200х2500 в пленке (156кв.м/52л./уп.) (КНАУФ)</t>
  </si>
  <si>
    <t>RUND 11W 850lm 5000K IP65 светод. свет-к Myled арт.1002</t>
  </si>
  <si>
    <t xml:space="preserve">ЛПО 2*18-CSVT/OPAL-R-EM свет-к CSVT арт.ЦБ000000956 </t>
  </si>
  <si>
    <t>ICE/36/3000K светодиодная панель 600*600*16 Myled арт.6089</t>
  </si>
  <si>
    <t>СПП-2401 овал 12W 4000K 960lm IP65 240мм свет-к ASD арт.4690612002804</t>
  </si>
  <si>
    <t>L 18 W/640 Russia G13 4000K лампа люм. Osram арт.4008321959652</t>
  </si>
  <si>
    <t>Унитаз, с косым выпуском, с бачком и сиденьем с крышкой</t>
  </si>
  <si>
    <t>Умывальник PRO с педьесталом</t>
  </si>
  <si>
    <t>Смеситель для умывальника</t>
  </si>
  <si>
    <t xml:space="preserve">Смеситель с душевой лейкой </t>
  </si>
  <si>
    <t>полы в дежурке (линолеум)</t>
  </si>
  <si>
    <t>полы в санузле и инвентарной (плитка)</t>
  </si>
  <si>
    <t>стены в дежурке (окраска)</t>
  </si>
  <si>
    <t>стены в санузле и инвентарной (плитка 2,1h)</t>
  </si>
  <si>
    <t>с</t>
  </si>
  <si>
    <t>потолки в санузле и инвентарной окраска (со стенами)</t>
  </si>
  <si>
    <t>плинтус в дежурке</t>
  </si>
  <si>
    <t>потолки в дежурке окраска</t>
  </si>
  <si>
    <t>Дюбель с шурупом 6*40 мм</t>
  </si>
  <si>
    <t>Окраска  поверхностей стен краской в помещении для дежурного.</t>
  </si>
  <si>
    <t>Подоконная доска ПВХ</t>
  </si>
  <si>
    <t>Монтаж подоконной доски ПВХ.</t>
  </si>
  <si>
    <t>Монтаж поручня ПВХ на лестничное ограждение.</t>
  </si>
  <si>
    <t>Краска  серая ПФ-115</t>
  </si>
  <si>
    <t>Заделка технологических отверстий в перекрытиях, мест прохождения стояков труб систем ГВС, ХВС и канализации, труб систем ЦО.</t>
  </si>
  <si>
    <t>Пескобетон М300 50кг крупнозернистый De Luxe</t>
  </si>
  <si>
    <t>Подложка  ППЭ 4005 (плотность ~28кг/м3, толщина 5мм)</t>
  </si>
  <si>
    <t>Лента-скотч коричневый</t>
  </si>
  <si>
    <t>Ламинат Kastamonu RED 27, 32 класс, толщина 8мм</t>
  </si>
  <si>
    <t>Подготовка поверхностей полов в  помещении для дежурного под укладку ламината.</t>
  </si>
  <si>
    <t xml:space="preserve">Укладка подложки и ламината на поверхность полов  в помещении для дежурного. </t>
  </si>
  <si>
    <t>Установка напольного плинтуса и розетт.</t>
  </si>
  <si>
    <t>Розетта, цвет белый</t>
  </si>
  <si>
    <t>Универсальная битумная мастика типа "ГидроМЭБ"</t>
  </si>
  <si>
    <t>Устройство гидроизоляции в санузле дежурного и в помещении уборочного инвентаря.</t>
  </si>
  <si>
    <t>Затирка ОСНОВИТ ПЛИТСЭЙФ Т-121, цвет светло-серый 021</t>
  </si>
  <si>
    <t>ТЕКСТИЛЬ керамогранит гл.бежевый 30х30</t>
  </si>
  <si>
    <t>Облицовка поверхностей полов керам. плиткой в санузле дежурного и в помещении уборочного инвентаря.</t>
  </si>
  <si>
    <t>Т-образный стыковочный профиль, цвет матовый хром</t>
  </si>
  <si>
    <t>Краска интерьерная воднодисперсионная Baucolor (супер белая)</t>
  </si>
  <si>
    <t>Затирка ОСНОВИТ ПЛИТСЭЙФ Т-121, цвет белый 010</t>
  </si>
  <si>
    <t>Плитка настенная НЕГА 19,8х39,8  цвет белый</t>
  </si>
  <si>
    <t>Облицовка стен керамической плиткой в санузле дежурного и помещении уборочного инвентаря.</t>
  </si>
  <si>
    <t>Облицовка поверхности стен керамической  плиткой в МОПах.</t>
  </si>
  <si>
    <t>Вент.решетка декоративная ПВХ,  110х110мм, цвет белый</t>
  </si>
  <si>
    <t>Вент.решетка декоративная , 700х400мм, цвет белый</t>
  </si>
  <si>
    <t>Вент.решетка декоративная , 300х600мм, цвет белый</t>
  </si>
  <si>
    <t>Торцевые пластины д/подоконника</t>
  </si>
  <si>
    <t>Поручень типа ПЛ 40х4-МП</t>
  </si>
  <si>
    <t>ДПУ 21-10л, дверь входная в квартиру, металлическая, 970х2071(h)</t>
  </si>
  <si>
    <t>ДПУ 21-10п, дверь входная в квартиру, металлическая, 970х2071(h)</t>
  </si>
  <si>
    <t>ДПШ 21-10*п, 970х2071(h) (дверь выхода в лестничную клетку - 2 типа шлюзовая, противопожарная, дымогазонепроницаемая с EI30 в комплекте с доводчиком)</t>
  </si>
  <si>
    <t>ДПИ -21-10п, 970х2071(h) (дверь входа в лифтовую зону - 1 типа шлюзовая, противопожарная, дымогазонепроницаемая с EI60 в комплекте с доводчиком, с остеклением)</t>
  </si>
  <si>
    <t>ДПИ -21-13Ал, 1272х2071(h) (дверь входа в квартирный коридор - 1 типа шлюзовая, противопожарная, дымогазонепроницаемая с EI60 в комплекте с доводчиком, с остеклением)</t>
  </si>
  <si>
    <t>ДНАти 23-15л (тамбурная дверь входа в жилую часть)</t>
  </si>
  <si>
    <t>Дио 21-13 1272х2050(h) (дверь входа в помещение для дежурного- индивидуальная)</t>
  </si>
  <si>
    <t>ДГ 21-7п 670х2071(h) (дверь санузла с порогом в помещении для дежурного)</t>
  </si>
  <si>
    <t>ДИ 21-7л 690х2050(h) (дверь входа а помещение уборочного инвентаря- индивидуальная)</t>
  </si>
  <si>
    <t>ДПШ 21-13*, 1272х2071(h) (дверь между лифтовым холлом и вестибюлем - шлюзовая, противопожарная, дымогазонепроницаемая к комплекте с доводчиком)</t>
  </si>
  <si>
    <t>Внешний угловой профиль PROEDGE</t>
  </si>
  <si>
    <t>Установка стыковочного профиля в помещения для дежурного.</t>
  </si>
  <si>
    <t>Покраска поверхностей откосов.</t>
  </si>
  <si>
    <t>Герметик Cerezit Akryl цвет белый.</t>
  </si>
  <si>
    <t>Монтаж нащельников оконных блоков.</t>
  </si>
  <si>
    <t>Нащельники оконного блока</t>
  </si>
  <si>
    <t>ГСП-DFH2 ПЛУК 12,5х1200х2500 в пленке</t>
  </si>
  <si>
    <t>Обшивка в 2 слоя токоотвода молниезащиты по системе КНАУФ.</t>
  </si>
  <si>
    <t>Подвесной потолок AMF, плиты Termatex Sclicht, кромка VT, 600х600х15мм, на профилях по системе С</t>
  </si>
  <si>
    <t>Поддон  металлический  700х700мм</t>
  </si>
  <si>
    <t>Итого S стен  ГКЛВ</t>
  </si>
  <si>
    <t>Светильник настенно-потолочный НБО 23-100-001("Элетех") IP 44, классз ащиты II,с ЛН до 1000 Вт, Е27</t>
  </si>
  <si>
    <t>п.м.</t>
  </si>
  <si>
    <t>Шуруп 3,5х11 (1000шт) со сверлом</t>
  </si>
  <si>
    <t>Шуруп 3,5х25 (1000шт )(Stinger (крепежные системы))</t>
  </si>
  <si>
    <t>Шуруп 3,5х35 (1000шт )</t>
  </si>
  <si>
    <t>ПС 50х50х0,4 (ПС-2) дл.3м</t>
  </si>
  <si>
    <t>ДПШ 21-9*, 2071х870х74 (дверь в в шахту ШО сантех.стояков- шлюзовая, противопожарная, глухая)</t>
  </si>
  <si>
    <t>Подготовка поверхностей полов и укладка керамогранита с устройством плинтуса (h=100мм).</t>
  </si>
  <si>
    <t>Облицовка шахты сантех.стояков ШО гипсокартоном в 2 слоя по металлическому каркасу.</t>
  </si>
  <si>
    <t>Краска интерьерная воднодисперсионная Baucolor</t>
  </si>
  <si>
    <t>Окраска края лестницы и площадок (калошница)</t>
  </si>
  <si>
    <t xml:space="preserve">Объект:    Многоэтажный жилой дом СЕРИИ КП ПАРУС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</si>
  <si>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Адрес:  МО,г. Химки, мкрн.6, кор.7</t>
  </si>
  <si>
    <t xml:space="preserve"> РАСЧЕТ  ДЛЯ ОТДЕЛОЧНЫХ РАБОТ В МОП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</si>
</sst>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\ &quot;F&quot;_-;\-* #,##0.00\ &quot;F&quot;_-;_-* &quot;-&quot;??\ &quot;F&quot;_-;_-@_-"/>
    <numFmt numFmtId="167" formatCode="#,##0.000\ [$€-1]"/>
    <numFmt numFmtId="168" formatCode="#,##0.0000"/>
    <numFmt numFmtId="169" formatCode="_-[$€-2]\ * #,##0.00_-;\-[$€-2]\ * #,##0.00_-;_-[$€-2]\ * &quot;-&quot;??_-;_-@_-"/>
    <numFmt numFmtId="170" formatCode="_([$€]* #,##0.00_);_([$€]* \(#,##0.00\);_([$€]* &quot;-&quot;??_);_(@_)"/>
    <numFmt numFmtId="171" formatCode="#,##0.00&quot;р.&quot;"/>
    <numFmt numFmtId="172" formatCode="#,##0.00_р_."/>
    <numFmt numFmtId="173" formatCode="_(&quot;$&quot;* #,##0.00_);_(&quot;$&quot;* \(#,##0.00\);_(&quot;$&quot;* &quot;-&quot;??_);_(@_)"/>
    <numFmt numFmtId="174" formatCode="_-* #,##0.00_р_._-;\-* #,##0.00_р_._-;_-* \-??_р_._-;_-@_-"/>
    <numFmt numFmtId="175" formatCode="&quot;C:  -&quot;0%"/>
    <numFmt numFmtId="176" formatCode="_-* #,##0.00\ _р_._-;\-* #,##0.00\ _р_._-;_-* &quot;-&quot;??\ _р_._-;_-@_-"/>
    <numFmt numFmtId="177" formatCode="0.0"/>
  </numFmts>
  <fonts count="10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177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0"/>
      <name val="Times New Roman Cyr"/>
      <charset val="204"/>
    </font>
    <font>
      <sz val="10"/>
      <name val="Times New Roman CYR"/>
      <family val="1"/>
      <charset val="204"/>
    </font>
    <font>
      <b/>
      <sz val="18"/>
      <color indexed="62"/>
      <name val="Cambria"/>
      <family val="2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1"/>
      <color theme="10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 Cyr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Times New Roman"/>
      <family val="2"/>
      <charset val="204"/>
    </font>
    <font>
      <sz val="12"/>
      <name val="Times New Roman Cyr"/>
      <charset val="204"/>
    </font>
    <font>
      <sz val="12"/>
      <name val="Times New Roman Cyr"/>
      <family val="1"/>
      <charset val="204"/>
    </font>
    <font>
      <b/>
      <sz val="10"/>
      <name val="Arial"/>
      <family val="2"/>
      <charset val="204"/>
    </font>
    <font>
      <sz val="10"/>
      <name val="Mangal"/>
      <family val="2"/>
      <charset val="204"/>
    </font>
    <font>
      <sz val="10"/>
      <name val="Helv"/>
    </font>
    <font>
      <sz val="11"/>
      <color indexed="8"/>
      <name val="Times New Roman"/>
      <family val="2"/>
      <charset val="204"/>
    </font>
    <font>
      <b/>
      <sz val="12"/>
      <color indexed="8"/>
      <name val="Calibri"/>
      <family val="2"/>
      <charset val="204"/>
      <scheme val="minor"/>
    </font>
    <font>
      <b/>
      <u/>
      <sz val="12"/>
      <color indexed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5"/>
      <name val="Calibri"/>
      <family val="2"/>
      <charset val="204"/>
      <scheme val="minor"/>
    </font>
    <font>
      <b/>
      <sz val="12"/>
      <name val="Calibri"/>
      <family val="2"/>
      <charset val="204"/>
    </font>
    <font>
      <i/>
      <sz val="12"/>
      <color theme="3"/>
      <name val="Calibri"/>
      <family val="2"/>
      <charset val="204"/>
      <scheme val="minor"/>
    </font>
    <font>
      <b/>
      <sz val="12"/>
      <color theme="3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b/>
      <u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4"/>
      <color theme="5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Cambria"/>
      <family val="1"/>
      <charset val="204"/>
      <scheme val="major"/>
    </font>
    <font>
      <i/>
      <sz val="12"/>
      <color theme="3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2"/>
      <color indexed="8"/>
      <name val="Cambria"/>
      <family val="1"/>
      <charset val="204"/>
      <scheme val="major"/>
    </font>
    <font>
      <b/>
      <i/>
      <sz val="14"/>
      <color theme="1"/>
      <name val="Calibri"/>
      <family val="2"/>
      <charset val="204"/>
      <scheme val="minor"/>
    </font>
    <font>
      <b/>
      <sz val="12"/>
      <color theme="0"/>
      <name val="Cambria"/>
      <family val="1"/>
      <charset val="204"/>
      <scheme val="major"/>
    </font>
    <font>
      <u/>
      <sz val="12"/>
      <color theme="1"/>
      <name val="Calibri"/>
      <family val="2"/>
      <charset val="204"/>
      <scheme val="minor"/>
    </font>
    <font>
      <i/>
      <sz val="12"/>
      <color rgb="FFC0000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  <font>
      <u/>
      <sz val="12"/>
      <color rgb="FFC00000"/>
      <name val="Calibri"/>
      <family val="2"/>
      <charset val="204"/>
      <scheme val="minor"/>
    </font>
    <font>
      <i/>
      <sz val="12"/>
      <color rgb="FF002060"/>
      <name val="Calibri"/>
      <family val="2"/>
      <charset val="204"/>
      <scheme val="minor"/>
    </font>
    <font>
      <b/>
      <sz val="12"/>
      <color rgb="FF002060"/>
      <name val="Calibri"/>
      <family val="2"/>
      <charset val="204"/>
      <scheme val="minor"/>
    </font>
    <font>
      <sz val="12"/>
      <color rgb="FF002060"/>
      <name val="Calibri"/>
      <family val="2"/>
      <charset val="204"/>
      <scheme val="minor"/>
    </font>
    <font>
      <u/>
      <sz val="12"/>
      <color rgb="FF002060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b/>
      <i/>
      <u/>
      <sz val="14"/>
      <color theme="1"/>
      <name val="Calibri"/>
      <family val="2"/>
      <charset val="204"/>
      <scheme val="minor"/>
    </font>
    <font>
      <i/>
      <sz val="14"/>
      <color theme="5"/>
      <name val="Calibri"/>
      <family val="2"/>
      <charset val="204"/>
      <scheme val="minor"/>
    </font>
    <font>
      <i/>
      <sz val="14"/>
      <color theme="3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14"/>
      <color theme="0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6"/>
      <color indexed="8"/>
      <name val="Cambria"/>
      <family val="1"/>
      <charset val="204"/>
      <scheme val="major"/>
    </font>
    <font>
      <sz val="12"/>
      <color rgb="FF0070C0"/>
      <name val="Calibri"/>
      <family val="2"/>
      <charset val="204"/>
      <scheme val="minor"/>
    </font>
    <font>
      <b/>
      <sz val="11"/>
      <color indexed="8"/>
      <name val="Cambria"/>
      <family val="1"/>
      <charset val="204"/>
      <scheme val="major"/>
    </font>
    <font>
      <b/>
      <i/>
      <sz val="12"/>
      <color rgb="FFC00000"/>
      <name val="Calibri"/>
      <family val="2"/>
      <charset val="204"/>
      <scheme val="minor"/>
    </font>
    <font>
      <b/>
      <i/>
      <sz val="11"/>
      <color rgb="FFC00000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i/>
      <sz val="10"/>
      <color rgb="FFC00000"/>
      <name val="Arial"/>
      <family val="2"/>
      <charset val="204"/>
    </font>
    <font>
      <i/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i/>
      <sz val="12"/>
      <color indexed="8"/>
      <name val="Calibri"/>
      <family val="2"/>
      <charset val="204"/>
      <scheme val="minor"/>
    </font>
    <font>
      <i/>
      <sz val="12"/>
      <color rgb="FF002060"/>
      <name val="Calibri"/>
      <family val="2"/>
      <charset val="204"/>
    </font>
    <font>
      <i/>
      <sz val="12"/>
      <color theme="5"/>
      <name val="Calibri"/>
      <family val="2"/>
      <charset val="204"/>
      <scheme val="minor"/>
    </font>
    <font>
      <b/>
      <u/>
      <sz val="12"/>
      <color rgb="FFC00000"/>
      <name val="Calibri"/>
      <family val="2"/>
      <charset val="204"/>
      <scheme val="minor"/>
    </font>
    <font>
      <i/>
      <u/>
      <sz val="12"/>
      <color indexed="8"/>
      <name val="Calibri"/>
      <family val="2"/>
      <charset val="204"/>
      <scheme val="minor"/>
    </font>
    <font>
      <b/>
      <sz val="18"/>
      <color theme="1"/>
      <name val="Cambria"/>
      <family val="1"/>
      <charset val="204"/>
      <scheme val="major"/>
    </font>
  </fonts>
  <fills count="4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68">
    <xf numFmtId="0" fontId="0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21" borderId="0" applyNumberFormat="0" applyBorder="0" applyAlignment="0" applyProtection="0"/>
    <xf numFmtId="0" fontId="10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2" fillId="29" borderId="0" applyNumberFormat="0" applyBorder="0" applyAlignment="0" applyProtection="0"/>
    <xf numFmtId="0" fontId="10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2" fillId="29" borderId="0" applyNumberFormat="0" applyBorder="0" applyAlignment="0" applyProtection="0"/>
    <xf numFmtId="0" fontId="10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20" borderId="0" applyNumberFormat="0" applyBorder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24" borderId="0" applyNumberFormat="0" applyBorder="0" applyAlignment="0" applyProtection="0"/>
    <xf numFmtId="0" fontId="12" fillId="32" borderId="0" applyNumberFormat="0" applyBorder="0" applyAlignment="0" applyProtection="0"/>
    <xf numFmtId="0" fontId="13" fillId="5" borderId="0" applyNumberFormat="0" applyBorder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5" fillId="34" borderId="11" applyNumberFormat="0" applyAlignment="0" applyProtection="0"/>
    <xf numFmtId="166" fontId="16" fillId="0" borderId="0" applyFont="0" applyFill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167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9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3" fillId="9" borderId="10" applyNumberFormat="0" applyAlignment="0" applyProtection="0"/>
    <xf numFmtId="0" fontId="23" fillId="9" borderId="10" applyNumberFormat="0" applyAlignment="0" applyProtection="0"/>
    <xf numFmtId="0" fontId="23" fillId="9" borderId="10" applyNumberFormat="0" applyAlignment="0" applyProtection="0"/>
    <xf numFmtId="0" fontId="23" fillId="9" borderId="10" applyNumberFormat="0" applyAlignment="0" applyProtection="0"/>
    <xf numFmtId="0" fontId="24" fillId="0" borderId="15" applyNumberFormat="0" applyFill="0" applyAlignment="0" applyProtection="0"/>
    <xf numFmtId="0" fontId="25" fillId="38" borderId="0" applyNumberFormat="0" applyBorder="0" applyAlignment="0" applyProtection="0"/>
    <xf numFmtId="0" fontId="16" fillId="0" borderId="0"/>
    <xf numFmtId="0" fontId="8" fillId="39" borderId="16" applyNumberFormat="0" applyFont="0" applyAlignment="0" applyProtection="0"/>
    <xf numFmtId="0" fontId="9" fillId="39" borderId="16" applyNumberFormat="0" applyFont="0" applyAlignment="0" applyProtection="0"/>
    <xf numFmtId="0" fontId="9" fillId="39" borderId="16" applyNumberFormat="0" applyFont="0" applyAlignment="0" applyProtection="0"/>
    <xf numFmtId="0" fontId="8" fillId="39" borderId="16" applyNumberFormat="0" applyFont="0" applyAlignment="0" applyProtection="0"/>
    <xf numFmtId="0" fontId="8" fillId="39" borderId="16" applyNumberFormat="0" applyFont="0" applyAlignment="0" applyProtection="0"/>
    <xf numFmtId="0" fontId="9" fillId="39" borderId="16" applyNumberFormat="0" applyFont="0" applyAlignment="0" applyProtection="0"/>
    <xf numFmtId="0" fontId="9" fillId="39" borderId="16" applyNumberFormat="0" applyFont="0" applyAlignment="0" applyProtection="0"/>
    <xf numFmtId="0" fontId="8" fillId="39" borderId="16" applyNumberFormat="0" applyFont="0" applyAlignment="0" applyProtection="0"/>
    <xf numFmtId="0" fontId="26" fillId="33" borderId="17" applyNumberFormat="0" applyAlignment="0" applyProtection="0"/>
    <xf numFmtId="0" fontId="26" fillId="33" borderId="17" applyNumberFormat="0" applyAlignment="0" applyProtection="0"/>
    <xf numFmtId="0" fontId="26" fillId="33" borderId="17" applyNumberFormat="0" applyAlignment="0" applyProtection="0"/>
    <xf numFmtId="0" fontId="26" fillId="33" borderId="17" applyNumberFormat="0" applyAlignment="0" applyProtection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8" fillId="40" borderId="17" applyNumberFormat="0" applyProtection="0">
      <alignment horizontal="left" vertical="center" indent="1"/>
    </xf>
    <xf numFmtId="0" fontId="8" fillId="40" borderId="17" applyNumberFormat="0" applyProtection="0">
      <alignment horizontal="left" vertical="center" indent="1"/>
    </xf>
    <xf numFmtId="0" fontId="8" fillId="40" borderId="17" applyNumberFormat="0" applyProtection="0">
      <alignment horizontal="left" vertical="center" indent="1"/>
    </xf>
    <xf numFmtId="0" fontId="8" fillId="40" borderId="17" applyNumberFormat="0" applyProtection="0">
      <alignment horizontal="left" vertical="center" indent="1"/>
    </xf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8" applyNumberFormat="0" applyFill="0" applyAlignment="0" applyProtection="0"/>
    <xf numFmtId="0" fontId="31" fillId="0" borderId="18" applyNumberFormat="0" applyFill="0" applyAlignment="0" applyProtection="0"/>
    <xf numFmtId="0" fontId="31" fillId="0" borderId="18" applyNumberFormat="0" applyFill="0" applyAlignment="0" applyProtection="0"/>
    <xf numFmtId="0" fontId="31" fillId="0" borderId="18" applyNumberFormat="0" applyFill="0" applyAlignment="0" applyProtection="0"/>
    <xf numFmtId="0" fontId="32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30" borderId="0" applyNumberFormat="0" applyBorder="0" applyAlignment="0" applyProtection="0"/>
    <xf numFmtId="0" fontId="23" fillId="9" borderId="10" applyNumberFormat="0" applyAlignment="0" applyProtection="0"/>
    <xf numFmtId="0" fontId="23" fillId="9" borderId="10" applyNumberFormat="0" applyAlignment="0" applyProtection="0"/>
    <xf numFmtId="0" fontId="23" fillId="9" borderId="10" applyNumberFormat="0" applyAlignment="0" applyProtection="0"/>
    <xf numFmtId="0" fontId="23" fillId="9" borderId="10" applyNumberFormat="0" applyAlignment="0" applyProtection="0"/>
    <xf numFmtId="0" fontId="26" fillId="33" borderId="17" applyNumberFormat="0" applyAlignment="0" applyProtection="0"/>
    <xf numFmtId="0" fontId="26" fillId="33" borderId="17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31" fillId="0" borderId="18" applyNumberFormat="0" applyFill="0" applyAlignment="0" applyProtection="0"/>
    <xf numFmtId="0" fontId="31" fillId="0" borderId="18" applyNumberFormat="0" applyFill="0" applyAlignment="0" applyProtection="0"/>
    <xf numFmtId="0" fontId="15" fillId="34" borderId="11" applyNumberFormat="0" applyAlignment="0" applyProtection="0"/>
    <xf numFmtId="0" fontId="30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5" fillId="0" borderId="0"/>
    <xf numFmtId="0" fontId="8" fillId="0" borderId="0"/>
    <xf numFmtId="0" fontId="35" fillId="0" borderId="0"/>
    <xf numFmtId="0" fontId="3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6" fillId="0" borderId="0"/>
    <xf numFmtId="0" fontId="9" fillId="0" borderId="0"/>
    <xf numFmtId="0" fontId="27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9" fillId="0" borderId="0"/>
    <xf numFmtId="0" fontId="37" fillId="0" borderId="0">
      <alignment horizontal="left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8" fillId="0" borderId="0"/>
    <xf numFmtId="0" fontId="35" fillId="0" borderId="0"/>
    <xf numFmtId="0" fontId="35" fillId="0" borderId="0"/>
    <xf numFmtId="0" fontId="8" fillId="0" borderId="0"/>
    <xf numFmtId="0" fontId="8" fillId="0" borderId="0"/>
    <xf numFmtId="0" fontId="8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5" fillId="0" borderId="0"/>
    <xf numFmtId="0" fontId="6" fillId="0" borderId="0"/>
    <xf numFmtId="0" fontId="3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38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41" fillId="0" borderId="0"/>
    <xf numFmtId="0" fontId="35" fillId="0" borderId="0"/>
    <xf numFmtId="0" fontId="9" fillId="0" borderId="0"/>
    <xf numFmtId="0" fontId="9" fillId="0" borderId="0"/>
    <xf numFmtId="0" fontId="35" fillId="0" borderId="0"/>
    <xf numFmtId="0" fontId="9" fillId="0" borderId="0"/>
    <xf numFmtId="0" fontId="37" fillId="0" borderId="0">
      <alignment horizontal="left"/>
    </xf>
    <xf numFmtId="0" fontId="42" fillId="0" borderId="0"/>
    <xf numFmtId="0" fontId="9" fillId="0" borderId="0"/>
    <xf numFmtId="0" fontId="37" fillId="0" borderId="0">
      <alignment horizontal="left"/>
    </xf>
    <xf numFmtId="0" fontId="43" fillId="0" borderId="0"/>
    <xf numFmtId="0" fontId="6" fillId="0" borderId="0"/>
    <xf numFmtId="0" fontId="43" fillId="0" borderId="0"/>
    <xf numFmtId="0" fontId="44" fillId="0" borderId="0"/>
    <xf numFmtId="0" fontId="44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28" fillId="0" borderId="0"/>
    <xf numFmtId="0" fontId="2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40" fillId="0" borderId="0"/>
    <xf numFmtId="0" fontId="13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9" fillId="39" borderId="16" applyNumberFormat="0" applyFont="0" applyAlignment="0" applyProtection="0"/>
    <xf numFmtId="0" fontId="9" fillId="39" borderId="16" applyNumberFormat="0" applyFont="0" applyAlignment="0" applyProtection="0"/>
    <xf numFmtId="0" fontId="9" fillId="39" borderId="16" applyNumberFormat="0" applyFont="0" applyAlignment="0" applyProtection="0"/>
    <xf numFmtId="0" fontId="9" fillId="39" borderId="16" applyNumberFormat="0" applyFont="0" applyAlignment="0" applyProtection="0"/>
    <xf numFmtId="0" fontId="9" fillId="39" borderId="16" applyNumberFormat="0" applyFont="0" applyAlignment="0" applyProtection="0"/>
    <xf numFmtId="0" fontId="9" fillId="39" borderId="16" applyNumberFormat="0" applyFont="0" applyAlignment="0" applyProtection="0"/>
    <xf numFmtId="9" fontId="4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47" fillId="0" borderId="0"/>
    <xf numFmtId="0" fontId="32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39" fillId="0" borderId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65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65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6" borderId="0" applyNumberFormat="0" applyBorder="0" applyAlignment="0" applyProtection="0"/>
    <xf numFmtId="165" fontId="5" fillId="0" borderId="0" applyFont="0" applyFill="0" applyBorder="0" applyAlignment="0" applyProtection="0"/>
    <xf numFmtId="0" fontId="9" fillId="0" borderId="0"/>
    <xf numFmtId="0" fontId="9" fillId="0" borderId="0"/>
    <xf numFmtId="165" fontId="5" fillId="0" borderId="0" applyFont="0" applyFill="0" applyBorder="0" applyAlignment="0" applyProtection="0"/>
  </cellStyleXfs>
  <cellXfs count="974">
    <xf numFmtId="0" fontId="0" fillId="0" borderId="0" xfId="0"/>
    <xf numFmtId="0" fontId="0" fillId="3" borderId="0" xfId="0" applyFill="1"/>
    <xf numFmtId="2" fontId="0" fillId="0" borderId="0" xfId="0" applyNumberFormat="1"/>
    <xf numFmtId="0" fontId="0" fillId="0" borderId="0" xfId="0" applyBorder="1"/>
    <xf numFmtId="171" fontId="1" fillId="0" borderId="0" xfId="464" applyNumberFormat="1" applyFont="1" applyAlignment="1">
      <alignment horizontal="right"/>
    </xf>
    <xf numFmtId="0" fontId="0" fillId="0" borderId="0" xfId="0" applyFont="1"/>
    <xf numFmtId="0" fontId="58" fillId="3" borderId="0" xfId="0" applyFont="1" applyFill="1" applyBorder="1" applyAlignment="1">
      <alignment horizontal="center" vertical="center" wrapText="1"/>
    </xf>
    <xf numFmtId="2" fontId="58" fillId="3" borderId="0" xfId="0" applyNumberFormat="1" applyFont="1" applyFill="1" applyBorder="1" applyAlignment="1">
      <alignment horizontal="center" vertical="center" wrapText="1"/>
    </xf>
    <xf numFmtId="171" fontId="58" fillId="3" borderId="0" xfId="0" applyNumberFormat="1" applyFont="1" applyFill="1" applyBorder="1" applyAlignment="1">
      <alignment horizontal="right" vertical="center" wrapText="1"/>
    </xf>
    <xf numFmtId="171" fontId="1" fillId="3" borderId="0" xfId="464" applyNumberFormat="1" applyFont="1" applyFill="1" applyAlignment="1">
      <alignment horizontal="right"/>
    </xf>
    <xf numFmtId="0" fontId="2" fillId="3" borderId="0" xfId="0" applyFont="1" applyFill="1" applyAlignment="1">
      <alignment vertical="center"/>
    </xf>
    <xf numFmtId="0" fontId="0" fillId="0" borderId="0" xfId="0" applyAlignment="1">
      <alignment horizontal="right"/>
    </xf>
    <xf numFmtId="0" fontId="0" fillId="3" borderId="0" xfId="0" applyFont="1" applyFill="1" applyBorder="1"/>
    <xf numFmtId="0" fontId="68" fillId="3" borderId="0" xfId="0" applyFont="1" applyFill="1" applyAlignment="1"/>
    <xf numFmtId="2" fontId="67" fillId="3" borderId="0" xfId="0" applyNumberFormat="1" applyFont="1" applyFill="1"/>
    <xf numFmtId="2" fontId="0" fillId="0" borderId="0" xfId="0" applyNumberFormat="1" applyBorder="1"/>
    <xf numFmtId="0" fontId="72" fillId="3" borderId="0" xfId="0" applyFont="1" applyFill="1" applyAlignment="1"/>
    <xf numFmtId="171" fontId="50" fillId="3" borderId="0" xfId="0" applyNumberFormat="1" applyFont="1" applyFill="1" applyBorder="1" applyAlignment="1">
      <alignment horizontal="right" vertical="center" wrapText="1"/>
    </xf>
    <xf numFmtId="0" fontId="55" fillId="3" borderId="0" xfId="0" applyFont="1" applyFill="1" applyBorder="1" applyAlignment="1" applyProtection="1">
      <alignment horizontal="right" vertical="center"/>
      <protection locked="0"/>
    </xf>
    <xf numFmtId="0" fontId="56" fillId="3" borderId="0" xfId="0" applyFont="1" applyFill="1" applyBorder="1" applyAlignment="1">
      <alignment vertical="center"/>
    </xf>
    <xf numFmtId="0" fontId="59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171" fontId="2" fillId="3" borderId="0" xfId="0" applyNumberFormat="1" applyFont="1" applyFill="1" applyAlignment="1">
      <alignment vertical="center"/>
    </xf>
    <xf numFmtId="171" fontId="36" fillId="0" borderId="0" xfId="0" applyNumberFormat="1" applyFont="1"/>
    <xf numFmtId="171" fontId="36" fillId="0" borderId="0" xfId="0" applyNumberFormat="1" applyFont="1" applyAlignment="1">
      <alignment vertical="center"/>
    </xf>
    <xf numFmtId="0" fontId="73" fillId="0" borderId="0" xfId="0" applyFont="1" applyAlignment="1">
      <alignment horizontal="right" vertical="center"/>
    </xf>
    <xf numFmtId="0" fontId="61" fillId="3" borderId="0" xfId="0" applyFont="1" applyFill="1" applyAlignment="1">
      <alignment horizontal="right" vertical="center"/>
    </xf>
    <xf numFmtId="2" fontId="68" fillId="3" borderId="0" xfId="0" applyNumberFormat="1" applyFont="1" applyFill="1" applyAlignment="1"/>
    <xf numFmtId="2" fontId="69" fillId="3" borderId="0" xfId="464" applyNumberFormat="1" applyFont="1" applyFill="1" applyAlignment="1">
      <alignment horizontal="right"/>
    </xf>
    <xf numFmtId="2" fontId="59" fillId="3" borderId="0" xfId="464" applyNumberFormat="1" applyFont="1" applyFill="1" applyBorder="1" applyAlignment="1">
      <alignment horizontal="right" vertical="center" wrapText="1"/>
    </xf>
    <xf numFmtId="2" fontId="1" fillId="0" borderId="0" xfId="464" applyNumberFormat="1" applyFont="1" applyAlignment="1">
      <alignment horizontal="right"/>
    </xf>
    <xf numFmtId="0" fontId="62" fillId="3" borderId="0" xfId="0" applyFont="1" applyFill="1" applyAlignment="1">
      <alignment vertical="center"/>
    </xf>
    <xf numFmtId="171" fontId="62" fillId="3" borderId="0" xfId="464" applyNumberFormat="1" applyFont="1" applyFill="1" applyAlignment="1">
      <alignment horizontal="right"/>
    </xf>
    <xf numFmtId="171" fontId="62" fillId="0" borderId="0" xfId="464" applyNumberFormat="1" applyFont="1" applyAlignment="1">
      <alignment horizontal="right"/>
    </xf>
    <xf numFmtId="0" fontId="0" fillId="3" borderId="0" xfId="0" applyFont="1" applyFill="1"/>
    <xf numFmtId="171" fontId="63" fillId="3" borderId="0" xfId="0" applyNumberFormat="1" applyFont="1" applyFill="1" applyBorder="1" applyAlignment="1">
      <alignment horizontal="right" vertical="center" wrapText="1"/>
    </xf>
    <xf numFmtId="171" fontId="82" fillId="3" borderId="0" xfId="464" applyNumberFormat="1" applyFont="1" applyFill="1" applyBorder="1" applyAlignment="1">
      <alignment horizontal="right" vertical="center"/>
    </xf>
    <xf numFmtId="171" fontId="3" fillId="3" borderId="0" xfId="464" applyNumberFormat="1" applyFont="1" applyFill="1" applyBorder="1" applyAlignment="1">
      <alignment horizontal="right" vertical="center"/>
    </xf>
    <xf numFmtId="171" fontId="71" fillId="3" borderId="0" xfId="0" applyNumberFormat="1" applyFont="1" applyFill="1" applyBorder="1" applyAlignment="1">
      <alignment horizontal="right" vertical="center"/>
    </xf>
    <xf numFmtId="2" fontId="78" fillId="3" borderId="22" xfId="0" applyNumberFormat="1" applyFont="1" applyFill="1" applyBorder="1" applyAlignment="1">
      <alignment horizontal="center" vertical="center" wrapText="1"/>
    </xf>
    <xf numFmtId="2" fontId="74" fillId="3" borderId="22" xfId="0" applyNumberFormat="1" applyFont="1" applyFill="1" applyBorder="1" applyAlignment="1">
      <alignment horizontal="center" vertical="center" wrapText="1"/>
    </xf>
    <xf numFmtId="0" fontId="83" fillId="0" borderId="0" xfId="0" applyFont="1" applyAlignment="1">
      <alignment horizontal="right" vertical="center"/>
    </xf>
    <xf numFmtId="171" fontId="4" fillId="0" borderId="0" xfId="0" applyNumberFormat="1" applyFont="1" applyAlignment="1">
      <alignment vertical="center"/>
    </xf>
    <xf numFmtId="0" fontId="71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171" fontId="36" fillId="0" borderId="0" xfId="0" applyNumberFormat="1" applyFont="1" applyBorder="1"/>
    <xf numFmtId="171" fontId="3" fillId="0" borderId="0" xfId="0" applyNumberFormat="1" applyFont="1" applyBorder="1" applyAlignment="1">
      <alignment horizontal="right" vertical="center"/>
    </xf>
    <xf numFmtId="0" fontId="83" fillId="0" borderId="0" xfId="0" applyFont="1" applyBorder="1" applyAlignment="1">
      <alignment horizontal="right" vertical="center"/>
    </xf>
    <xf numFmtId="2" fontId="49" fillId="41" borderId="19" xfId="0" applyNumberFormat="1" applyFont="1" applyFill="1" applyBorder="1" applyAlignment="1">
      <alignment horizontal="center" vertical="center" wrapText="1"/>
    </xf>
    <xf numFmtId="171" fontId="86" fillId="3" borderId="0" xfId="0" applyNumberFormat="1" applyFont="1" applyFill="1" applyBorder="1" applyAlignment="1">
      <alignment horizontal="right" vertical="center"/>
    </xf>
    <xf numFmtId="171" fontId="87" fillId="3" borderId="0" xfId="0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left" vertical="center"/>
    </xf>
    <xf numFmtId="171" fontId="88" fillId="3" borderId="0" xfId="0" applyNumberFormat="1" applyFont="1" applyFill="1" applyBorder="1" applyAlignment="1">
      <alignment horizontal="right" vertical="center"/>
    </xf>
    <xf numFmtId="0" fontId="89" fillId="3" borderId="0" xfId="0" applyFont="1" applyFill="1" applyAlignment="1"/>
    <xf numFmtId="0" fontId="87" fillId="0" borderId="0" xfId="0" applyFont="1" applyBorder="1" applyAlignment="1">
      <alignment horizontal="center" vertical="center"/>
    </xf>
    <xf numFmtId="0" fontId="87" fillId="0" borderId="0" xfId="0" applyFont="1" applyAlignment="1">
      <alignment horizontal="center"/>
    </xf>
    <xf numFmtId="0" fontId="68" fillId="3" borderId="0" xfId="0" applyFont="1" applyFill="1"/>
    <xf numFmtId="2" fontId="68" fillId="3" borderId="0" xfId="0" applyNumberFormat="1" applyFont="1" applyFill="1"/>
    <xf numFmtId="2" fontId="65" fillId="3" borderId="0" xfId="464" applyNumberFormat="1" applyFont="1" applyFill="1" applyAlignment="1">
      <alignment horizontal="right"/>
    </xf>
    <xf numFmtId="171" fontId="2" fillId="3" borderId="0" xfId="464" applyNumberFormat="1" applyFont="1" applyFill="1" applyAlignment="1">
      <alignment horizontal="right"/>
    </xf>
    <xf numFmtId="2" fontId="70" fillId="3" borderId="25" xfId="0" applyNumberFormat="1" applyFont="1" applyFill="1" applyBorder="1" applyAlignment="1">
      <alignment horizontal="center" vertical="center" wrapText="1"/>
    </xf>
    <xf numFmtId="2" fontId="70" fillId="3" borderId="26" xfId="0" applyNumberFormat="1" applyFont="1" applyFill="1" applyBorder="1" applyAlignment="1">
      <alignment horizontal="center" vertical="center" wrapText="1"/>
    </xf>
    <xf numFmtId="2" fontId="70" fillId="3" borderId="22" xfId="0" applyNumberFormat="1" applyFont="1" applyFill="1" applyBorder="1" applyAlignment="1">
      <alignment horizontal="center" vertical="center" wrapText="1"/>
    </xf>
    <xf numFmtId="2" fontId="70" fillId="3" borderId="29" xfId="0" applyNumberFormat="1" applyFont="1" applyFill="1" applyBorder="1" applyAlignment="1">
      <alignment horizontal="center" vertical="center" wrapText="1"/>
    </xf>
    <xf numFmtId="0" fontId="70" fillId="3" borderId="24" xfId="0" applyFont="1" applyFill="1" applyBorder="1" applyAlignment="1">
      <alignment horizontal="center" vertical="center" wrapText="1"/>
    </xf>
    <xf numFmtId="2" fontId="70" fillId="3" borderId="31" xfId="464" applyNumberFormat="1" applyFont="1" applyFill="1" applyBorder="1" applyAlignment="1">
      <alignment horizontal="center" vertical="center" wrapText="1"/>
    </xf>
    <xf numFmtId="2" fontId="65" fillId="3" borderId="28" xfId="464" applyNumberFormat="1" applyFont="1" applyFill="1" applyBorder="1" applyAlignment="1">
      <alignment horizontal="center" vertical="center" wrapText="1"/>
    </xf>
    <xf numFmtId="0" fontId="74" fillId="3" borderId="32" xfId="0" applyFont="1" applyFill="1" applyBorder="1" applyAlignment="1">
      <alignment horizontal="center" vertical="center" wrapText="1"/>
    </xf>
    <xf numFmtId="2" fontId="75" fillId="3" borderId="28" xfId="464" applyNumberFormat="1" applyFont="1" applyFill="1" applyBorder="1" applyAlignment="1">
      <alignment horizontal="right" vertical="center" wrapText="1"/>
    </xf>
    <xf numFmtId="2" fontId="53" fillId="3" borderId="22" xfId="0" applyNumberFormat="1" applyFont="1" applyFill="1" applyBorder="1" applyAlignment="1">
      <alignment horizontal="center" vertical="center" wrapText="1"/>
    </xf>
    <xf numFmtId="0" fontId="49" fillId="41" borderId="32" xfId="0" applyFont="1" applyFill="1" applyBorder="1" applyAlignment="1">
      <alignment horizontal="center" vertical="center" wrapText="1"/>
    </xf>
    <xf numFmtId="2" fontId="49" fillId="41" borderId="22" xfId="0" applyNumberFormat="1" applyFont="1" applyFill="1" applyBorder="1" applyAlignment="1">
      <alignment horizontal="center" vertical="center" wrapText="1"/>
    </xf>
    <xf numFmtId="2" fontId="49" fillId="41" borderId="28" xfId="0" applyNumberFormat="1" applyFont="1" applyFill="1" applyBorder="1" applyAlignment="1">
      <alignment horizontal="right" vertical="center" wrapText="1"/>
    </xf>
    <xf numFmtId="0" fontId="78" fillId="3" borderId="32" xfId="0" applyFont="1" applyFill="1" applyBorder="1" applyAlignment="1">
      <alignment horizontal="center" vertical="center" wrapText="1"/>
    </xf>
    <xf numFmtId="2" fontId="79" fillId="3" borderId="28" xfId="464" applyNumberFormat="1" applyFont="1" applyFill="1" applyBorder="1" applyAlignment="1">
      <alignment horizontal="right" vertical="center" wrapText="1"/>
    </xf>
    <xf numFmtId="0" fontId="62" fillId="3" borderId="32" xfId="0" applyFont="1" applyFill="1" applyBorder="1" applyAlignment="1">
      <alignment horizontal="center" vertical="center" wrapText="1"/>
    </xf>
    <xf numFmtId="2" fontId="62" fillId="3" borderId="22" xfId="0" applyNumberFormat="1" applyFont="1" applyFill="1" applyBorder="1" applyAlignment="1">
      <alignment horizontal="center" vertical="center" wrapText="1"/>
    </xf>
    <xf numFmtId="2" fontId="2" fillId="3" borderId="28" xfId="464" applyNumberFormat="1" applyFont="1" applyFill="1" applyBorder="1" applyAlignment="1">
      <alignment horizontal="right" vertical="center" wrapText="1"/>
    </xf>
    <xf numFmtId="2" fontId="52" fillId="3" borderId="22" xfId="0" applyNumberFormat="1" applyFont="1" applyFill="1" applyBorder="1" applyAlignment="1">
      <alignment horizontal="center" vertical="center" wrapText="1"/>
    </xf>
    <xf numFmtId="2" fontId="52" fillId="41" borderId="22" xfId="0" applyNumberFormat="1" applyFont="1" applyFill="1" applyBorder="1" applyAlignment="1">
      <alignment horizontal="center" vertical="center" wrapText="1"/>
    </xf>
    <xf numFmtId="2" fontId="2" fillId="41" borderId="22" xfId="0" applyNumberFormat="1" applyFont="1" applyFill="1" applyBorder="1" applyAlignment="1">
      <alignment horizontal="center" vertical="center" wrapText="1"/>
    </xf>
    <xf numFmtId="2" fontId="75" fillId="3" borderId="28" xfId="0" applyNumberFormat="1" applyFont="1" applyFill="1" applyBorder="1" applyAlignment="1">
      <alignment horizontal="right" vertical="center" wrapText="1"/>
    </xf>
    <xf numFmtId="2" fontId="79" fillId="3" borderId="28" xfId="0" applyNumberFormat="1" applyFont="1" applyFill="1" applyBorder="1" applyAlignment="1">
      <alignment horizontal="right" vertical="center" wrapText="1"/>
    </xf>
    <xf numFmtId="2" fontId="58" fillId="3" borderId="29" xfId="0" applyNumberFormat="1" applyFont="1" applyFill="1" applyBorder="1" applyAlignment="1">
      <alignment horizontal="center" vertical="center" wrapText="1"/>
    </xf>
    <xf numFmtId="171" fontId="50" fillId="41" borderId="6" xfId="0" applyNumberFormat="1" applyFont="1" applyFill="1" applyBorder="1" applyAlignment="1">
      <alignment horizontal="right" vertical="center" wrapText="1"/>
    </xf>
    <xf numFmtId="171" fontId="75" fillId="3" borderId="28" xfId="0" applyNumberFormat="1" applyFont="1" applyFill="1" applyBorder="1" applyAlignment="1">
      <alignment horizontal="right" vertical="center" wrapText="1"/>
    </xf>
    <xf numFmtId="171" fontId="53" fillId="41" borderId="32" xfId="0" applyNumberFormat="1" applyFont="1" applyFill="1" applyBorder="1" applyAlignment="1">
      <alignment horizontal="right" vertical="center" wrapText="1"/>
    </xf>
    <xf numFmtId="171" fontId="50" fillId="41" borderId="28" xfId="0" applyNumberFormat="1" applyFont="1" applyFill="1" applyBorder="1" applyAlignment="1">
      <alignment horizontal="right" vertical="center" wrapText="1"/>
    </xf>
    <xf numFmtId="171" fontId="74" fillId="3" borderId="32" xfId="0" applyNumberFormat="1" applyFont="1" applyFill="1" applyBorder="1" applyAlignment="1">
      <alignment horizontal="right" vertical="center" wrapText="1"/>
    </xf>
    <xf numFmtId="171" fontId="79" fillId="3" borderId="28" xfId="0" applyNumberFormat="1" applyFont="1" applyFill="1" applyBorder="1" applyAlignment="1">
      <alignment horizontal="right" vertical="center" wrapText="1"/>
    </xf>
    <xf numFmtId="171" fontId="62" fillId="3" borderId="32" xfId="0" applyNumberFormat="1" applyFont="1" applyFill="1" applyBorder="1" applyAlignment="1">
      <alignment horizontal="right" vertical="center" wrapText="1"/>
    </xf>
    <xf numFmtId="171" fontId="2" fillId="3" borderId="28" xfId="0" applyNumberFormat="1" applyFont="1" applyFill="1" applyBorder="1" applyAlignment="1">
      <alignment horizontal="right" vertical="center" wrapText="1"/>
    </xf>
    <xf numFmtId="171" fontId="49" fillId="3" borderId="28" xfId="0" applyNumberFormat="1" applyFont="1" applyFill="1" applyBorder="1" applyAlignment="1">
      <alignment horizontal="right" vertical="center" wrapText="1"/>
    </xf>
    <xf numFmtId="171" fontId="61" fillId="41" borderId="28" xfId="0" applyNumberFormat="1" applyFont="1" applyFill="1" applyBorder="1" applyAlignment="1">
      <alignment horizontal="right" vertical="center" wrapText="1"/>
    </xf>
    <xf numFmtId="171" fontId="36" fillId="0" borderId="32" xfId="0" applyNumberFormat="1" applyFont="1" applyBorder="1"/>
    <xf numFmtId="171" fontId="62" fillId="41" borderId="32" xfId="0" applyNumberFormat="1" applyFont="1" applyFill="1" applyBorder="1" applyAlignment="1">
      <alignment vertical="center"/>
    </xf>
    <xf numFmtId="171" fontId="2" fillId="41" borderId="28" xfId="0" applyNumberFormat="1" applyFont="1" applyFill="1" applyBorder="1" applyAlignment="1">
      <alignment vertical="center"/>
    </xf>
    <xf numFmtId="171" fontId="76" fillId="0" borderId="32" xfId="0" applyNumberFormat="1" applyFont="1" applyBorder="1" applyAlignment="1">
      <alignment vertical="center"/>
    </xf>
    <xf numFmtId="171" fontId="76" fillId="0" borderId="28" xfId="0" applyNumberFormat="1" applyFont="1" applyBorder="1" applyAlignment="1">
      <alignment vertical="center"/>
    </xf>
    <xf numFmtId="171" fontId="80" fillId="0" borderId="32" xfId="0" applyNumberFormat="1" applyFont="1" applyBorder="1" applyAlignment="1">
      <alignment vertical="center"/>
    </xf>
    <xf numFmtId="171" fontId="80" fillId="0" borderId="28" xfId="0" applyNumberFormat="1" applyFont="1" applyBorder="1" applyAlignment="1">
      <alignment vertical="center"/>
    </xf>
    <xf numFmtId="171" fontId="2" fillId="0" borderId="28" xfId="0" applyNumberFormat="1" applyFont="1" applyBorder="1" applyAlignment="1">
      <alignment vertical="center"/>
    </xf>
    <xf numFmtId="171" fontId="36" fillId="41" borderId="28" xfId="0" applyNumberFormat="1" applyFont="1" applyFill="1" applyBorder="1" applyAlignment="1">
      <alignment vertical="center"/>
    </xf>
    <xf numFmtId="171" fontId="36" fillId="0" borderId="33" xfId="0" applyNumberFormat="1" applyFont="1" applyBorder="1" applyAlignment="1">
      <alignment vertical="center"/>
    </xf>
    <xf numFmtId="0" fontId="61" fillId="0" borderId="40" xfId="0" applyFont="1" applyBorder="1" applyAlignment="1">
      <alignment vertical="center" wrapText="1"/>
    </xf>
    <xf numFmtId="0" fontId="73" fillId="41" borderId="39" xfId="0" applyFont="1" applyFill="1" applyBorder="1" applyAlignment="1">
      <alignment horizontal="right" vertical="center"/>
    </xf>
    <xf numFmtId="0" fontId="77" fillId="0" borderId="39" xfId="0" applyFont="1" applyBorder="1" applyAlignment="1">
      <alignment horizontal="right" vertical="center"/>
    </xf>
    <xf numFmtId="0" fontId="81" fillId="0" borderId="39" xfId="0" applyFont="1" applyBorder="1" applyAlignment="1">
      <alignment horizontal="right" vertical="center"/>
    </xf>
    <xf numFmtId="171" fontId="61" fillId="0" borderId="39" xfId="0" applyNumberFormat="1" applyFont="1" applyBorder="1" applyAlignment="1">
      <alignment horizontal="right" vertical="center"/>
    </xf>
    <xf numFmtId="0" fontId="74" fillId="3" borderId="39" xfId="0" applyFont="1" applyFill="1" applyBorder="1" applyAlignment="1">
      <alignment horizontal="left" vertical="top" wrapText="1"/>
    </xf>
    <xf numFmtId="0" fontId="74" fillId="3" borderId="39" xfId="0" applyFont="1" applyFill="1" applyBorder="1" applyAlignment="1">
      <alignment horizontal="left" vertical="center" wrapText="1"/>
    </xf>
    <xf numFmtId="0" fontId="51" fillId="41" borderId="39" xfId="0" applyFont="1" applyFill="1" applyBorder="1" applyAlignment="1" applyProtection="1">
      <alignment horizontal="left" vertical="center" wrapText="1"/>
      <protection locked="0"/>
    </xf>
    <xf numFmtId="0" fontId="78" fillId="3" borderId="39" xfId="0" applyFont="1" applyFill="1" applyBorder="1" applyAlignment="1">
      <alignment vertical="center"/>
    </xf>
    <xf numFmtId="0" fontId="55" fillId="3" borderId="39" xfId="0" applyFont="1" applyFill="1" applyBorder="1" applyAlignment="1" applyProtection="1">
      <alignment horizontal="right" vertical="center"/>
      <protection locked="0"/>
    </xf>
    <xf numFmtId="0" fontId="74" fillId="3" borderId="39" xfId="0" applyFont="1" applyFill="1" applyBorder="1" applyAlignment="1">
      <alignment vertical="center"/>
    </xf>
    <xf numFmtId="0" fontId="74" fillId="3" borderId="39" xfId="0" applyFont="1" applyFill="1" applyBorder="1" applyAlignment="1">
      <alignment horizontal="center" vertical="center" wrapText="1"/>
    </xf>
    <xf numFmtId="0" fontId="2" fillId="41" borderId="39" xfId="0" applyFont="1" applyFill="1" applyBorder="1" applyAlignment="1">
      <alignment horizontal="center" vertical="center" wrapText="1"/>
    </xf>
    <xf numFmtId="0" fontId="78" fillId="3" borderId="39" xfId="0" applyFont="1" applyFill="1" applyBorder="1" applyAlignment="1">
      <alignment horizontal="center" vertical="center" wrapText="1"/>
    </xf>
    <xf numFmtId="0" fontId="49" fillId="3" borderId="44" xfId="0" applyFont="1" applyFill="1" applyBorder="1" applyAlignment="1">
      <alignment vertical="center" wrapText="1"/>
    </xf>
    <xf numFmtId="0" fontId="49" fillId="3" borderId="42" xfId="0" applyFont="1" applyFill="1" applyBorder="1" applyAlignment="1">
      <alignment vertical="center" wrapText="1"/>
    </xf>
    <xf numFmtId="0" fontId="49" fillId="3" borderId="46" xfId="0" applyFont="1" applyFill="1" applyBorder="1" applyAlignment="1">
      <alignment vertical="center" wrapText="1"/>
    </xf>
    <xf numFmtId="0" fontId="49" fillId="3" borderId="4" xfId="0" applyFont="1" applyFill="1" applyBorder="1" applyAlignment="1">
      <alignment vertical="center" wrapText="1"/>
    </xf>
    <xf numFmtId="0" fontId="49" fillId="3" borderId="47" xfId="0" applyFont="1" applyFill="1" applyBorder="1" applyAlignment="1">
      <alignment vertical="center" wrapText="1"/>
    </xf>
    <xf numFmtId="0" fontId="49" fillId="3" borderId="49" xfId="0" applyFont="1" applyFill="1" applyBorder="1" applyAlignment="1">
      <alignment vertical="center" wrapText="1"/>
    </xf>
    <xf numFmtId="2" fontId="52" fillId="3" borderId="23" xfId="0" applyNumberFormat="1" applyFont="1" applyFill="1" applyBorder="1" applyAlignment="1">
      <alignment horizontal="center" vertical="center" wrapText="1"/>
    </xf>
    <xf numFmtId="171" fontId="49" fillId="3" borderId="52" xfId="0" applyNumberFormat="1" applyFont="1" applyFill="1" applyBorder="1" applyAlignment="1">
      <alignment horizontal="right" vertical="center" wrapText="1"/>
    </xf>
    <xf numFmtId="171" fontId="36" fillId="0" borderId="51" xfId="0" applyNumberFormat="1" applyFont="1" applyBorder="1" applyAlignment="1">
      <alignment vertical="center"/>
    </xf>
    <xf numFmtId="171" fontId="2" fillId="0" borderId="52" xfId="0" applyNumberFormat="1" applyFont="1" applyBorder="1" applyAlignment="1">
      <alignment vertical="center"/>
    </xf>
    <xf numFmtId="171" fontId="61" fillId="0" borderId="50" xfId="0" applyNumberFormat="1" applyFont="1" applyBorder="1" applyAlignment="1">
      <alignment horizontal="right" vertical="center"/>
    </xf>
    <xf numFmtId="0" fontId="51" fillId="41" borderId="3" xfId="0" applyFont="1" applyFill="1" applyBorder="1" applyAlignment="1" applyProtection="1">
      <alignment horizontal="left" vertical="center" wrapText="1"/>
      <protection locked="0"/>
    </xf>
    <xf numFmtId="2" fontId="49" fillId="41" borderId="6" xfId="464" applyNumberFormat="1" applyFont="1" applyFill="1" applyBorder="1" applyAlignment="1">
      <alignment horizontal="right" vertical="center" wrapText="1"/>
    </xf>
    <xf numFmtId="171" fontId="36" fillId="41" borderId="6" xfId="0" applyNumberFormat="1" applyFont="1" applyFill="1" applyBorder="1" applyAlignment="1">
      <alignment vertical="center"/>
    </xf>
    <xf numFmtId="0" fontId="73" fillId="41" borderId="3" xfId="0" applyFont="1" applyFill="1" applyBorder="1" applyAlignment="1">
      <alignment horizontal="right" vertical="center"/>
    </xf>
    <xf numFmtId="0" fontId="73" fillId="0" borderId="4" xfId="0" applyFont="1" applyBorder="1" applyAlignment="1">
      <alignment horizontal="right" vertical="center"/>
    </xf>
    <xf numFmtId="0" fontId="2" fillId="3" borderId="4" xfId="0" applyFont="1" applyFill="1" applyBorder="1" applyAlignment="1">
      <alignment vertical="center"/>
    </xf>
    <xf numFmtId="0" fontId="2" fillId="3" borderId="47" xfId="0" applyFont="1" applyFill="1" applyBorder="1" applyAlignment="1">
      <alignment vertical="center"/>
    </xf>
    <xf numFmtId="0" fontId="2" fillId="3" borderId="49" xfId="0" applyFont="1" applyFill="1" applyBorder="1" applyAlignment="1">
      <alignment vertical="center"/>
    </xf>
    <xf numFmtId="171" fontId="36" fillId="0" borderId="0" xfId="0" applyNumberFormat="1" applyFont="1" applyBorder="1" applyAlignment="1">
      <alignment vertical="center"/>
    </xf>
    <xf numFmtId="0" fontId="73" fillId="0" borderId="0" xfId="0" applyFont="1" applyBorder="1" applyAlignment="1">
      <alignment horizontal="right" vertical="center"/>
    </xf>
    <xf numFmtId="171" fontId="5" fillId="0" borderId="0" xfId="464" applyNumberFormat="1" applyFont="1" applyBorder="1" applyAlignment="1">
      <alignment horizontal="right"/>
    </xf>
    <xf numFmtId="171" fontId="88" fillId="0" borderId="0" xfId="0" applyNumberFormat="1" applyFont="1" applyBorder="1" applyAlignment="1">
      <alignment horizontal="right" vertical="center"/>
    </xf>
    <xf numFmtId="171" fontId="85" fillId="0" borderId="0" xfId="0" applyNumberFormat="1" applyFont="1" applyBorder="1" applyAlignment="1">
      <alignment horizontal="right" vertical="center"/>
    </xf>
    <xf numFmtId="171" fontId="4" fillId="0" borderId="0" xfId="0" applyNumberFormat="1" applyFont="1" applyBorder="1"/>
    <xf numFmtId="0" fontId="0" fillId="0" borderId="0" xfId="0" applyBorder="1" applyAlignment="1">
      <alignment vertical="center"/>
    </xf>
    <xf numFmtId="2" fontId="0" fillId="0" borderId="0" xfId="0" applyNumberFormat="1" applyBorder="1" applyAlignment="1">
      <alignment vertical="center"/>
    </xf>
    <xf numFmtId="2" fontId="1" fillId="0" borderId="0" xfId="464" applyNumberFormat="1" applyFont="1" applyBorder="1" applyAlignment="1">
      <alignment horizontal="right" vertical="center"/>
    </xf>
    <xf numFmtId="171" fontId="62" fillId="0" borderId="0" xfId="464" applyNumberFormat="1" applyFont="1" applyBorder="1" applyAlignment="1">
      <alignment horizontal="right" vertical="center"/>
    </xf>
    <xf numFmtId="171" fontId="1" fillId="0" borderId="0" xfId="464" applyNumberFormat="1" applyFont="1" applyBorder="1" applyAlignment="1">
      <alignment horizontal="right" vertical="center"/>
    </xf>
    <xf numFmtId="2" fontId="1" fillId="0" borderId="0" xfId="464" applyNumberFormat="1" applyFont="1" applyBorder="1" applyAlignment="1">
      <alignment horizontal="right"/>
    </xf>
    <xf numFmtId="171" fontId="62" fillId="0" borderId="0" xfId="464" applyNumberFormat="1" applyFont="1" applyBorder="1" applyAlignment="1">
      <alignment horizontal="right"/>
    </xf>
    <xf numFmtId="2" fontId="5" fillId="0" borderId="0" xfId="464" applyNumberFormat="1" applyFont="1" applyBorder="1" applyAlignment="1">
      <alignment horizontal="right"/>
    </xf>
    <xf numFmtId="171" fontId="1" fillId="0" borderId="0" xfId="464" applyNumberFormat="1" applyFont="1" applyBorder="1" applyAlignment="1">
      <alignment horizontal="right"/>
    </xf>
    <xf numFmtId="171" fontId="4" fillId="0" borderId="0" xfId="0" applyNumberFormat="1" applyFont="1" applyBorder="1" applyAlignment="1">
      <alignment vertical="center"/>
    </xf>
    <xf numFmtId="171" fontId="2" fillId="3" borderId="0" xfId="0" applyNumberFormat="1" applyFont="1" applyFill="1" applyAlignment="1">
      <alignment horizontal="right"/>
    </xf>
    <xf numFmtId="171" fontId="2" fillId="3" borderId="0" xfId="0" applyNumberFormat="1" applyFont="1" applyFill="1" applyBorder="1" applyAlignment="1">
      <alignment horizontal="right"/>
    </xf>
    <xf numFmtId="171" fontId="84" fillId="2" borderId="0" xfId="0" applyNumberFormat="1" applyFont="1" applyFill="1" applyBorder="1" applyAlignment="1">
      <alignment horizontal="right" vertical="center"/>
    </xf>
    <xf numFmtId="171" fontId="62" fillId="41" borderId="35" xfId="0" applyNumberFormat="1" applyFont="1" applyFill="1" applyBorder="1" applyAlignment="1">
      <alignment vertical="center"/>
    </xf>
    <xf numFmtId="171" fontId="36" fillId="41" borderId="27" xfId="0" applyNumberFormat="1" applyFont="1" applyFill="1" applyBorder="1" applyAlignment="1">
      <alignment vertical="center"/>
    </xf>
    <xf numFmtId="171" fontId="2" fillId="0" borderId="30" xfId="0" applyNumberFormat="1" applyFont="1" applyBorder="1" applyAlignment="1">
      <alignment vertical="center"/>
    </xf>
    <xf numFmtId="171" fontId="62" fillId="3" borderId="32" xfId="0" applyNumberFormat="1" applyFont="1" applyFill="1" applyBorder="1" applyAlignment="1">
      <alignment vertical="center"/>
    </xf>
    <xf numFmtId="171" fontId="2" fillId="3" borderId="28" xfId="0" applyNumberFormat="1" applyFont="1" applyFill="1" applyBorder="1" applyAlignment="1">
      <alignment vertical="center"/>
    </xf>
    <xf numFmtId="0" fontId="73" fillId="3" borderId="39" xfId="0" applyFont="1" applyFill="1" applyBorder="1" applyAlignment="1">
      <alignment horizontal="right" vertical="center"/>
    </xf>
    <xf numFmtId="0" fontId="2" fillId="41" borderId="39" xfId="0" applyFont="1" applyFill="1" applyBorder="1" applyAlignment="1">
      <alignment vertical="center"/>
    </xf>
    <xf numFmtId="2" fontId="49" fillId="3" borderId="6" xfId="464" applyNumberFormat="1" applyFont="1" applyFill="1" applyBorder="1" applyAlignment="1">
      <alignment horizontal="right" vertical="center" wrapText="1"/>
    </xf>
    <xf numFmtId="171" fontId="74" fillId="3" borderId="21" xfId="0" applyNumberFormat="1" applyFont="1" applyFill="1" applyBorder="1" applyAlignment="1">
      <alignment horizontal="right" vertical="center" wrapText="1"/>
    </xf>
    <xf numFmtId="0" fontId="49" fillId="3" borderId="48" xfId="0" applyFont="1" applyFill="1" applyBorder="1" applyAlignment="1">
      <alignment vertical="center" wrapText="1"/>
    </xf>
    <xf numFmtId="2" fontId="2" fillId="41" borderId="26" xfId="0" applyNumberFormat="1" applyFont="1" applyFill="1" applyBorder="1" applyAlignment="1">
      <alignment horizontal="center" vertical="center" wrapText="1"/>
    </xf>
    <xf numFmtId="2" fontId="2" fillId="41" borderId="27" xfId="464" applyNumberFormat="1" applyFont="1" applyFill="1" applyBorder="1" applyAlignment="1">
      <alignment horizontal="right" vertical="center" wrapText="1"/>
    </xf>
    <xf numFmtId="171" fontId="61" fillId="41" borderId="27" xfId="0" applyNumberFormat="1" applyFont="1" applyFill="1" applyBorder="1" applyAlignment="1">
      <alignment horizontal="right" vertical="center" wrapText="1"/>
    </xf>
    <xf numFmtId="171" fontId="62" fillId="41" borderId="21" xfId="0" applyNumberFormat="1" applyFont="1" applyFill="1" applyBorder="1" applyAlignment="1">
      <alignment vertical="center"/>
    </xf>
    <xf numFmtId="2" fontId="49" fillId="41" borderId="9" xfId="0" applyNumberFormat="1" applyFont="1" applyFill="1" applyBorder="1" applyAlignment="1">
      <alignment horizontal="center" vertical="center" wrapText="1"/>
    </xf>
    <xf numFmtId="2" fontId="2" fillId="3" borderId="6" xfId="464" applyNumberFormat="1" applyFont="1" applyFill="1" applyBorder="1" applyAlignment="1">
      <alignment horizontal="right" vertical="center" wrapText="1"/>
    </xf>
    <xf numFmtId="0" fontId="74" fillId="3" borderId="60" xfId="0" applyFont="1" applyFill="1" applyBorder="1" applyAlignment="1">
      <alignment horizontal="center" vertical="center" wrapText="1"/>
    </xf>
    <xf numFmtId="0" fontId="78" fillId="3" borderId="60" xfId="0" applyFont="1" applyFill="1" applyBorder="1" applyAlignment="1">
      <alignment horizontal="center" vertical="center" wrapText="1"/>
    </xf>
    <xf numFmtId="2" fontId="49" fillId="3" borderId="55" xfId="464" applyNumberFormat="1" applyFont="1" applyFill="1" applyBorder="1" applyAlignment="1">
      <alignment horizontal="right" vertical="center" wrapText="1"/>
    </xf>
    <xf numFmtId="2" fontId="49" fillId="41" borderId="5" xfId="464" applyNumberFormat="1" applyFont="1" applyFill="1" applyBorder="1" applyAlignment="1">
      <alignment horizontal="right" vertical="center" wrapText="1"/>
    </xf>
    <xf numFmtId="0" fontId="73" fillId="41" borderId="38" xfId="0" applyFont="1" applyFill="1" applyBorder="1" applyAlignment="1">
      <alignment horizontal="right" vertical="center"/>
    </xf>
    <xf numFmtId="171" fontId="74" fillId="3" borderId="60" xfId="0" applyNumberFormat="1" applyFont="1" applyFill="1" applyBorder="1" applyAlignment="1">
      <alignment horizontal="right" vertical="center" wrapText="1"/>
    </xf>
    <xf numFmtId="171" fontId="76" fillId="0" borderId="60" xfId="0" applyNumberFormat="1" applyFont="1" applyBorder="1" applyAlignment="1">
      <alignment vertical="center"/>
    </xf>
    <xf numFmtId="171" fontId="36" fillId="41" borderId="5" xfId="0" applyNumberFormat="1" applyFont="1" applyFill="1" applyBorder="1" applyAlignment="1">
      <alignment vertical="center"/>
    </xf>
    <xf numFmtId="0" fontId="73" fillId="41" borderId="1" xfId="0" applyFont="1" applyFill="1" applyBorder="1" applyAlignment="1">
      <alignment horizontal="right" vertical="center"/>
    </xf>
    <xf numFmtId="171" fontId="80" fillId="0" borderId="60" xfId="0" applyNumberFormat="1" applyFont="1" applyBorder="1" applyAlignment="1">
      <alignment vertical="center"/>
    </xf>
    <xf numFmtId="171" fontId="49" fillId="3" borderId="30" xfId="0" applyNumberFormat="1" applyFont="1" applyFill="1" applyBorder="1" applyAlignment="1">
      <alignment horizontal="right" vertical="center" wrapText="1"/>
    </xf>
    <xf numFmtId="171" fontId="61" fillId="0" borderId="40" xfId="0" applyNumberFormat="1" applyFont="1" applyBorder="1" applyAlignment="1">
      <alignment horizontal="right" vertical="center"/>
    </xf>
    <xf numFmtId="171" fontId="76" fillId="0" borderId="21" xfId="0" applyNumberFormat="1" applyFont="1" applyBorder="1" applyAlignment="1">
      <alignment vertical="center"/>
    </xf>
    <xf numFmtId="171" fontId="36" fillId="0" borderId="21" xfId="0" applyNumberFormat="1" applyFont="1" applyBorder="1" applyAlignment="1">
      <alignment vertical="center"/>
    </xf>
    <xf numFmtId="171" fontId="80" fillId="0" borderId="21" xfId="0" applyNumberFormat="1" applyFont="1" applyBorder="1" applyAlignment="1">
      <alignment vertical="center"/>
    </xf>
    <xf numFmtId="171" fontId="73" fillId="0" borderId="0" xfId="0" applyNumberFormat="1" applyFont="1" applyBorder="1" applyAlignment="1">
      <alignment horizontal="right" vertical="center"/>
    </xf>
    <xf numFmtId="0" fontId="2" fillId="41" borderId="53" xfId="0" applyFont="1" applyFill="1" applyBorder="1" applyAlignment="1">
      <alignment horizontal="center" vertical="center" wrapText="1"/>
    </xf>
    <xf numFmtId="0" fontId="75" fillId="3" borderId="58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center" vertical="center" wrapText="1"/>
    </xf>
    <xf numFmtId="0" fontId="2" fillId="41" borderId="58" xfId="0" applyFont="1" applyFill="1" applyBorder="1" applyAlignment="1">
      <alignment horizontal="center" vertical="center" wrapText="1"/>
    </xf>
    <xf numFmtId="0" fontId="74" fillId="3" borderId="58" xfId="0" applyFont="1" applyFill="1" applyBorder="1" applyAlignment="1">
      <alignment horizontal="center" vertical="center" wrapText="1"/>
    </xf>
    <xf numFmtId="0" fontId="78" fillId="3" borderId="58" xfId="0" applyFont="1" applyFill="1" applyBorder="1" applyAlignment="1">
      <alignment horizontal="center" vertical="center"/>
    </xf>
    <xf numFmtId="0" fontId="58" fillId="3" borderId="58" xfId="0" applyFont="1" applyFill="1" applyBorder="1" applyAlignment="1">
      <alignment horizontal="center" vertical="center" wrapText="1"/>
    </xf>
    <xf numFmtId="0" fontId="79" fillId="3" borderId="58" xfId="0" applyFont="1" applyFill="1" applyBorder="1" applyAlignment="1">
      <alignment horizontal="center" vertical="center" wrapText="1"/>
    </xf>
    <xf numFmtId="0" fontId="2" fillId="41" borderId="58" xfId="0" applyFont="1" applyFill="1" applyBorder="1" applyAlignment="1">
      <alignment horizontal="center" vertical="center"/>
    </xf>
    <xf numFmtId="0" fontId="75" fillId="3" borderId="58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51" fillId="41" borderId="38" xfId="0" applyFont="1" applyFill="1" applyBorder="1" applyAlignment="1" applyProtection="1">
      <alignment horizontal="left" vertical="center" wrapText="1"/>
      <protection locked="0"/>
    </xf>
    <xf numFmtId="171" fontId="53" fillId="41" borderId="35" xfId="0" applyNumberFormat="1" applyFont="1" applyFill="1" applyBorder="1" applyAlignment="1">
      <alignment horizontal="right" vertical="center" wrapText="1"/>
    </xf>
    <xf numFmtId="171" fontId="50" fillId="41" borderId="27" xfId="0" applyNumberFormat="1" applyFont="1" applyFill="1" applyBorder="1" applyAlignment="1">
      <alignment horizontal="right" vertical="center" wrapText="1"/>
    </xf>
    <xf numFmtId="0" fontId="54" fillId="3" borderId="39" xfId="0" applyFont="1" applyFill="1" applyBorder="1" applyAlignment="1" applyProtection="1">
      <alignment horizontal="right" vertical="center"/>
      <protection locked="0"/>
    </xf>
    <xf numFmtId="0" fontId="78" fillId="3" borderId="39" xfId="0" applyFont="1" applyFill="1" applyBorder="1" applyAlignment="1">
      <alignment horizontal="left" vertical="center" wrapText="1"/>
    </xf>
    <xf numFmtId="0" fontId="2" fillId="41" borderId="21" xfId="0" applyFont="1" applyFill="1" applyBorder="1" applyAlignment="1">
      <alignment horizontal="center" vertical="center" wrapText="1"/>
    </xf>
    <xf numFmtId="0" fontId="74" fillId="3" borderId="21" xfId="0" applyFont="1" applyFill="1" applyBorder="1" applyAlignment="1">
      <alignment horizontal="center" vertical="center"/>
    </xf>
    <xf numFmtId="0" fontId="74" fillId="3" borderId="21" xfId="0" applyFont="1" applyFill="1" applyBorder="1" applyAlignment="1">
      <alignment horizontal="center" vertical="center" wrapText="1"/>
    </xf>
    <xf numFmtId="0" fontId="52" fillId="3" borderId="57" xfId="0" applyFont="1" applyFill="1" applyBorder="1" applyAlignment="1">
      <alignment horizontal="center" vertical="center" wrapText="1"/>
    </xf>
    <xf numFmtId="0" fontId="54" fillId="3" borderId="50" xfId="0" applyFont="1" applyFill="1" applyBorder="1" applyAlignment="1" applyProtection="1">
      <alignment horizontal="right" vertical="center"/>
      <protection locked="0"/>
    </xf>
    <xf numFmtId="0" fontId="49" fillId="41" borderId="21" xfId="0" applyFont="1" applyFill="1" applyBorder="1" applyAlignment="1">
      <alignment horizontal="center" vertical="center" wrapText="1"/>
    </xf>
    <xf numFmtId="0" fontId="52" fillId="3" borderId="21" xfId="0" applyFont="1" applyFill="1" applyBorder="1" applyAlignment="1">
      <alignment horizontal="center" vertical="center" wrapText="1"/>
    </xf>
    <xf numFmtId="0" fontId="78" fillId="3" borderId="21" xfId="0" applyFont="1" applyFill="1" applyBorder="1" applyAlignment="1">
      <alignment horizontal="center" vertical="center" wrapText="1"/>
    </xf>
    <xf numFmtId="0" fontId="53" fillId="3" borderId="21" xfId="0" applyFont="1" applyFill="1" applyBorder="1" applyAlignment="1">
      <alignment horizontal="center" vertical="center" wrapText="1"/>
    </xf>
    <xf numFmtId="4" fontId="74" fillId="3" borderId="39" xfId="0" applyNumberFormat="1" applyFont="1" applyFill="1" applyBorder="1" applyAlignment="1">
      <alignment horizontal="left" vertical="center" wrapText="1"/>
    </xf>
    <xf numFmtId="0" fontId="2" fillId="41" borderId="39" xfId="0" applyFont="1" applyFill="1" applyBorder="1" applyAlignment="1">
      <alignment horizontal="left" vertical="center" wrapText="1"/>
    </xf>
    <xf numFmtId="0" fontId="57" fillId="41" borderId="39" xfId="0" applyFont="1" applyFill="1" applyBorder="1" applyAlignment="1">
      <alignment horizontal="left" vertical="center" wrapText="1"/>
    </xf>
    <xf numFmtId="0" fontId="74" fillId="3" borderId="39" xfId="0" applyFont="1" applyFill="1" applyBorder="1" applyAlignment="1">
      <alignment horizontal="left" vertical="center"/>
    </xf>
    <xf numFmtId="0" fontId="74" fillId="3" borderId="39" xfId="0" applyFont="1" applyFill="1" applyBorder="1"/>
    <xf numFmtId="171" fontId="36" fillId="0" borderId="57" xfId="0" applyNumberFormat="1" applyFont="1" applyBorder="1" applyAlignment="1">
      <alignment vertical="center"/>
    </xf>
    <xf numFmtId="171" fontId="53" fillId="3" borderId="60" xfId="0" applyNumberFormat="1" applyFont="1" applyFill="1" applyBorder="1" applyAlignment="1">
      <alignment horizontal="right" vertical="center" wrapText="1"/>
    </xf>
    <xf numFmtId="171" fontId="53" fillId="41" borderId="60" xfId="0" applyNumberFormat="1" applyFont="1" applyFill="1" applyBorder="1" applyAlignment="1">
      <alignment horizontal="right" vertical="center" wrapText="1"/>
    </xf>
    <xf numFmtId="171" fontId="74" fillId="2" borderId="60" xfId="0" applyNumberFormat="1" applyFont="1" applyFill="1" applyBorder="1" applyAlignment="1">
      <alignment horizontal="right" vertical="center" wrapText="1"/>
    </xf>
    <xf numFmtId="171" fontId="62" fillId="41" borderId="60" xfId="0" applyNumberFormat="1" applyFont="1" applyFill="1" applyBorder="1" applyAlignment="1">
      <alignment horizontal="right" vertical="center" wrapText="1"/>
    </xf>
    <xf numFmtId="171" fontId="53" fillId="3" borderId="51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/>
    </xf>
    <xf numFmtId="0" fontId="54" fillId="3" borderId="0" xfId="0" applyFont="1" applyFill="1" applyBorder="1" applyAlignment="1" applyProtection="1">
      <alignment horizontal="right" vertical="center"/>
      <protection locked="0"/>
    </xf>
    <xf numFmtId="2" fontId="49" fillId="3" borderId="0" xfId="464" applyNumberFormat="1" applyFont="1" applyFill="1" applyBorder="1" applyAlignment="1">
      <alignment horizontal="right" vertical="center" wrapText="1"/>
    </xf>
    <xf numFmtId="171" fontId="49" fillId="3" borderId="0" xfId="0" applyNumberFormat="1" applyFont="1" applyFill="1" applyBorder="1" applyAlignment="1">
      <alignment horizontal="right" vertical="center" wrapText="1"/>
    </xf>
    <xf numFmtId="171" fontId="2" fillId="0" borderId="0" xfId="0" applyNumberFormat="1" applyFont="1" applyBorder="1" applyAlignment="1">
      <alignment vertical="center"/>
    </xf>
    <xf numFmtId="171" fontId="61" fillId="0" borderId="0" xfId="0" applyNumberFormat="1" applyFont="1" applyBorder="1" applyAlignment="1">
      <alignment horizontal="right" vertical="center"/>
    </xf>
    <xf numFmtId="2" fontId="49" fillId="3" borderId="28" xfId="464" applyNumberFormat="1" applyFont="1" applyFill="1" applyBorder="1" applyAlignment="1">
      <alignment horizontal="right" vertical="center" wrapText="1"/>
    </xf>
    <xf numFmtId="171" fontId="36" fillId="0" borderId="60" xfId="0" applyNumberFormat="1" applyFont="1" applyBorder="1" applyAlignment="1">
      <alignment vertical="center"/>
    </xf>
    <xf numFmtId="0" fontId="78" fillId="3" borderId="50" xfId="0" applyFont="1" applyFill="1" applyBorder="1" applyAlignment="1">
      <alignment vertical="center" shrinkToFit="1"/>
    </xf>
    <xf numFmtId="2" fontId="58" fillId="3" borderId="23" xfId="0" applyNumberFormat="1" applyFont="1" applyFill="1" applyBorder="1" applyAlignment="1">
      <alignment horizontal="center" vertical="center" wrapText="1"/>
    </xf>
    <xf numFmtId="2" fontId="49" fillId="3" borderId="30" xfId="464" applyNumberFormat="1" applyFont="1" applyFill="1" applyBorder="1" applyAlignment="1">
      <alignment horizontal="right" vertical="center" wrapText="1"/>
    </xf>
    <xf numFmtId="171" fontId="76" fillId="0" borderId="53" xfId="0" applyNumberFormat="1" applyFont="1" applyBorder="1" applyAlignment="1">
      <alignment vertical="center"/>
    </xf>
    <xf numFmtId="171" fontId="80" fillId="0" borderId="53" xfId="0" applyNumberFormat="1" applyFont="1" applyBorder="1" applyAlignment="1">
      <alignment vertical="center"/>
    </xf>
    <xf numFmtId="171" fontId="2" fillId="0" borderId="61" xfId="0" applyNumberFormat="1" applyFont="1" applyBorder="1" applyAlignment="1">
      <alignment vertical="center"/>
    </xf>
    <xf numFmtId="2" fontId="49" fillId="3" borderId="62" xfId="464" applyNumberFormat="1" applyFont="1" applyFill="1" applyBorder="1" applyAlignment="1">
      <alignment horizontal="right" vertical="center" wrapText="1"/>
    </xf>
    <xf numFmtId="2" fontId="49" fillId="3" borderId="53" xfId="464" applyNumberFormat="1" applyFont="1" applyFill="1" applyBorder="1" applyAlignment="1">
      <alignment horizontal="right" vertical="center" wrapText="1"/>
    </xf>
    <xf numFmtId="0" fontId="2" fillId="41" borderId="63" xfId="0" applyFont="1" applyFill="1" applyBorder="1" applyAlignment="1">
      <alignment horizontal="center" vertical="center"/>
    </xf>
    <xf numFmtId="0" fontId="74" fillId="3" borderId="58" xfId="0" applyFont="1" applyFill="1" applyBorder="1" applyAlignment="1">
      <alignment horizontal="center" vertical="center"/>
    </xf>
    <xf numFmtId="0" fontId="74" fillId="3" borderId="53" xfId="0" applyFont="1" applyFill="1" applyBorder="1" applyAlignment="1">
      <alignment horizontal="center" vertical="center"/>
    </xf>
    <xf numFmtId="0" fontId="78" fillId="3" borderId="39" xfId="0" applyFont="1" applyFill="1" applyBorder="1" applyAlignment="1">
      <alignment vertical="center" wrapText="1"/>
    </xf>
    <xf numFmtId="0" fontId="78" fillId="3" borderId="39" xfId="0" applyFont="1" applyFill="1" applyBorder="1" applyAlignment="1">
      <alignment vertical="center" shrinkToFit="1"/>
    </xf>
    <xf numFmtId="2" fontId="49" fillId="3" borderId="52" xfId="464" applyNumberFormat="1" applyFont="1" applyFill="1" applyBorder="1" applyAlignment="1">
      <alignment horizontal="right" vertical="center" wrapText="1"/>
    </xf>
    <xf numFmtId="171" fontId="76" fillId="3" borderId="51" xfId="0" applyNumberFormat="1" applyFont="1" applyFill="1" applyBorder="1" applyAlignment="1">
      <alignment vertical="center"/>
    </xf>
    <xf numFmtId="171" fontId="76" fillId="3" borderId="52" xfId="0" applyNumberFormat="1" applyFont="1" applyFill="1" applyBorder="1" applyAlignment="1">
      <alignment vertical="center"/>
    </xf>
    <xf numFmtId="0" fontId="77" fillId="3" borderId="64" xfId="0" applyFont="1" applyFill="1" applyBorder="1" applyAlignment="1">
      <alignment horizontal="right" vertical="center"/>
    </xf>
    <xf numFmtId="171" fontId="58" fillId="3" borderId="57" xfId="0" applyNumberFormat="1" applyFont="1" applyFill="1" applyBorder="1" applyAlignment="1">
      <alignment horizontal="right" vertical="center" wrapText="1"/>
    </xf>
    <xf numFmtId="0" fontId="57" fillId="41" borderId="38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center" vertical="center"/>
    </xf>
    <xf numFmtId="171" fontId="58" fillId="3" borderId="65" xfId="0" applyNumberFormat="1" applyFont="1" applyFill="1" applyBorder="1" applyAlignment="1">
      <alignment horizontal="right" vertical="center" wrapText="1"/>
    </xf>
    <xf numFmtId="0" fontId="2" fillId="41" borderId="39" xfId="0" applyFont="1" applyFill="1" applyBorder="1" applyAlignment="1">
      <alignment vertical="center" wrapText="1"/>
    </xf>
    <xf numFmtId="2" fontId="49" fillId="41" borderId="28" xfId="464" applyNumberFormat="1" applyFont="1" applyFill="1" applyBorder="1" applyAlignment="1">
      <alignment horizontal="right" vertical="center" wrapText="1"/>
    </xf>
    <xf numFmtId="0" fontId="74" fillId="3" borderId="54" xfId="0" applyFont="1" applyFill="1" applyBorder="1" applyAlignment="1">
      <alignment horizontal="center" vertical="center"/>
    </xf>
    <xf numFmtId="171" fontId="2" fillId="0" borderId="53" xfId="0" applyNumberFormat="1" applyFont="1" applyBorder="1" applyAlignment="1">
      <alignment vertical="center"/>
    </xf>
    <xf numFmtId="171" fontId="36" fillId="41" borderId="53" xfId="0" applyNumberFormat="1" applyFont="1" applyFill="1" applyBorder="1" applyAlignment="1">
      <alignment vertical="center"/>
    </xf>
    <xf numFmtId="0" fontId="74" fillId="3" borderId="39" xfId="0" applyFont="1" applyFill="1" applyBorder="1" applyAlignment="1" applyProtection="1">
      <alignment horizontal="left" vertical="center" wrapText="1"/>
      <protection locked="0"/>
    </xf>
    <xf numFmtId="0" fontId="60" fillId="41" borderId="39" xfId="0" applyFont="1" applyFill="1" applyBorder="1" applyAlignment="1">
      <alignment horizontal="left" vertical="center" wrapText="1"/>
    </xf>
    <xf numFmtId="171" fontId="62" fillId="41" borderId="34" xfId="0" applyNumberFormat="1" applyFont="1" applyFill="1" applyBorder="1" applyAlignment="1">
      <alignment vertical="center"/>
    </xf>
    <xf numFmtId="171" fontId="62" fillId="41" borderId="60" xfId="0" applyNumberFormat="1" applyFont="1" applyFill="1" applyBorder="1" applyAlignment="1">
      <alignment vertical="center"/>
    </xf>
    <xf numFmtId="2" fontId="49" fillId="41" borderId="53" xfId="0" applyNumberFormat="1" applyFont="1" applyFill="1" applyBorder="1" applyAlignment="1">
      <alignment horizontal="right" vertical="center" wrapText="1"/>
    </xf>
    <xf numFmtId="2" fontId="49" fillId="41" borderId="62" xfId="464" applyNumberFormat="1" applyFont="1" applyFill="1" applyBorder="1" applyAlignment="1">
      <alignment horizontal="right" vertical="center" wrapText="1"/>
    </xf>
    <xf numFmtId="171" fontId="62" fillId="41" borderId="35" xfId="0" applyNumberFormat="1" applyFont="1" applyFill="1" applyBorder="1" applyAlignment="1">
      <alignment horizontal="right" vertical="center" wrapText="1"/>
    </xf>
    <xf numFmtId="171" fontId="53" fillId="41" borderId="34" xfId="0" applyNumberFormat="1" applyFont="1" applyFill="1" applyBorder="1" applyAlignment="1">
      <alignment horizontal="right" vertical="center" wrapText="1"/>
    </xf>
    <xf numFmtId="0" fontId="2" fillId="41" borderId="66" xfId="0" applyFont="1" applyFill="1" applyBorder="1" applyAlignment="1">
      <alignment horizontal="center" vertical="center" wrapText="1"/>
    </xf>
    <xf numFmtId="0" fontId="58" fillId="3" borderId="58" xfId="0" applyFont="1" applyFill="1" applyBorder="1" applyAlignment="1">
      <alignment horizontal="center" vertical="center"/>
    </xf>
    <xf numFmtId="0" fontId="74" fillId="3" borderId="39" xfId="0" applyFont="1" applyFill="1" applyBorder="1" applyAlignment="1" applyProtection="1">
      <alignment horizontal="left" wrapText="1"/>
      <protection locked="0"/>
    </xf>
    <xf numFmtId="0" fontId="2" fillId="3" borderId="56" xfId="0" applyFont="1" applyFill="1" applyBorder="1" applyAlignment="1">
      <alignment horizontal="center" vertical="center" wrapText="1"/>
    </xf>
    <xf numFmtId="0" fontId="2" fillId="41" borderId="59" xfId="0" applyFont="1" applyFill="1" applyBorder="1" applyAlignment="1">
      <alignment horizontal="center" vertical="center" wrapText="1"/>
    </xf>
    <xf numFmtId="0" fontId="49" fillId="41" borderId="8" xfId="0" applyFont="1" applyFill="1" applyBorder="1" applyAlignment="1">
      <alignment horizontal="center" vertical="center" wrapText="1"/>
    </xf>
    <xf numFmtId="2" fontId="75" fillId="3" borderId="53" xfId="464" applyNumberFormat="1" applyFont="1" applyFill="1" applyBorder="1" applyAlignment="1">
      <alignment horizontal="right" vertical="center" wrapText="1"/>
    </xf>
    <xf numFmtId="2" fontId="79" fillId="3" borderId="53" xfId="464" applyNumberFormat="1" applyFont="1" applyFill="1" applyBorder="1" applyAlignment="1">
      <alignment horizontal="right" vertical="center" wrapText="1"/>
    </xf>
    <xf numFmtId="2" fontId="49" fillId="3" borderId="53" xfId="0" applyNumberFormat="1" applyFont="1" applyFill="1" applyBorder="1" applyAlignment="1">
      <alignment horizontal="right" vertical="center" wrapText="1"/>
    </xf>
    <xf numFmtId="2" fontId="49" fillId="3" borderId="61" xfId="464" applyNumberFormat="1" applyFont="1" applyFill="1" applyBorder="1" applyAlignment="1">
      <alignment horizontal="right" vertical="center" wrapText="1"/>
    </xf>
    <xf numFmtId="171" fontId="78" fillId="3" borderId="21" xfId="0" applyNumberFormat="1" applyFont="1" applyFill="1" applyBorder="1" applyAlignment="1">
      <alignment vertical="center" wrapText="1"/>
    </xf>
    <xf numFmtId="171" fontId="78" fillId="3" borderId="57" xfId="0" applyNumberFormat="1" applyFont="1" applyFill="1" applyBorder="1" applyAlignment="1">
      <alignment vertical="center" wrapText="1"/>
    </xf>
    <xf numFmtId="0" fontId="2" fillId="42" borderId="63" xfId="0" applyFont="1" applyFill="1" applyBorder="1" applyAlignment="1">
      <alignment horizontal="center" vertical="center"/>
    </xf>
    <xf numFmtId="0" fontId="2" fillId="42" borderId="38" xfId="0" applyFont="1" applyFill="1" applyBorder="1" applyAlignment="1">
      <alignment horizontal="left" vertical="center" wrapText="1"/>
    </xf>
    <xf numFmtId="171" fontId="62" fillId="42" borderId="35" xfId="0" applyNumberFormat="1" applyFont="1" applyFill="1" applyBorder="1" applyAlignment="1">
      <alignment vertical="center"/>
    </xf>
    <xf numFmtId="171" fontId="36" fillId="42" borderId="27" xfId="0" applyNumberFormat="1" applyFont="1" applyFill="1" applyBorder="1" applyAlignment="1">
      <alignment vertical="center"/>
    </xf>
    <xf numFmtId="0" fontId="73" fillId="42" borderId="38" xfId="0" applyFont="1" applyFill="1" applyBorder="1" applyAlignment="1">
      <alignment horizontal="right" vertical="center"/>
    </xf>
    <xf numFmtId="0" fontId="60" fillId="42" borderId="38" xfId="0" applyFont="1" applyFill="1" applyBorder="1" applyAlignment="1">
      <alignment horizontal="left" vertical="center" wrapText="1"/>
    </xf>
    <xf numFmtId="2" fontId="36" fillId="42" borderId="26" xfId="0" applyNumberFormat="1" applyFont="1" applyFill="1" applyBorder="1" applyAlignment="1">
      <alignment horizontal="center" vertical="center" wrapText="1"/>
    </xf>
    <xf numFmtId="2" fontId="2" fillId="42" borderId="26" xfId="0" applyNumberFormat="1" applyFont="1" applyFill="1" applyBorder="1" applyAlignment="1">
      <alignment horizontal="center" vertical="center" wrapText="1"/>
    </xf>
    <xf numFmtId="2" fontId="2" fillId="42" borderId="27" xfId="464" applyNumberFormat="1" applyFont="1" applyFill="1" applyBorder="1" applyAlignment="1">
      <alignment horizontal="right" vertical="center" wrapText="1"/>
    </xf>
    <xf numFmtId="171" fontId="62" fillId="42" borderId="59" xfId="0" applyNumberFormat="1" applyFont="1" applyFill="1" applyBorder="1" applyAlignment="1">
      <alignment horizontal="right" vertical="center" wrapText="1"/>
    </xf>
    <xf numFmtId="171" fontId="61" fillId="42" borderId="27" xfId="0" applyNumberFormat="1" applyFont="1" applyFill="1" applyBorder="1" applyAlignment="1">
      <alignment horizontal="right" vertical="center" wrapText="1"/>
    </xf>
    <xf numFmtId="171" fontId="53" fillId="41" borderId="8" xfId="0" applyNumberFormat="1" applyFont="1" applyFill="1" applyBorder="1" applyAlignment="1">
      <alignment horizontal="right" vertical="center" wrapText="1"/>
    </xf>
    <xf numFmtId="0" fontId="79" fillId="3" borderId="58" xfId="0" applyFont="1" applyFill="1" applyBorder="1" applyAlignment="1">
      <alignment horizontal="center" vertical="center"/>
    </xf>
    <xf numFmtId="0" fontId="78" fillId="3" borderId="39" xfId="0" applyFont="1" applyFill="1" applyBorder="1" applyAlignment="1">
      <alignment horizontal="left" vertical="center"/>
    </xf>
    <xf numFmtId="0" fontId="78" fillId="3" borderId="21" xfId="0" applyFont="1" applyFill="1" applyBorder="1" applyAlignment="1">
      <alignment horizontal="center" vertical="center"/>
    </xf>
    <xf numFmtId="2" fontId="79" fillId="3" borderId="62" xfId="464" applyNumberFormat="1" applyFont="1" applyFill="1" applyBorder="1" applyAlignment="1">
      <alignment horizontal="right" vertical="center" wrapText="1"/>
    </xf>
    <xf numFmtId="171" fontId="78" fillId="3" borderId="60" xfId="0" applyNumberFormat="1" applyFont="1" applyFill="1" applyBorder="1" applyAlignment="1">
      <alignment horizontal="right" vertical="center" wrapText="1"/>
    </xf>
    <xf numFmtId="171" fontId="80" fillId="3" borderId="21" xfId="0" applyNumberFormat="1" applyFont="1" applyFill="1" applyBorder="1" applyAlignment="1">
      <alignment vertical="center"/>
    </xf>
    <xf numFmtId="171" fontId="80" fillId="3" borderId="53" xfId="0" applyNumberFormat="1" applyFont="1" applyFill="1" applyBorder="1" applyAlignment="1">
      <alignment vertical="center"/>
    </xf>
    <xf numFmtId="0" fontId="81" fillId="3" borderId="39" xfId="0" applyFont="1" applyFill="1" applyBorder="1" applyAlignment="1">
      <alignment horizontal="right" vertical="center"/>
    </xf>
    <xf numFmtId="171" fontId="92" fillId="0" borderId="60" xfId="0" applyNumberFormat="1" applyFont="1" applyBorder="1" applyAlignment="1">
      <alignment vertical="center"/>
    </xf>
    <xf numFmtId="0" fontId="64" fillId="0" borderId="0" xfId="0" applyFont="1" applyAlignment="1">
      <alignment horizontal="center"/>
    </xf>
    <xf numFmtId="171" fontId="78" fillId="3" borderId="32" xfId="0" applyNumberFormat="1" applyFont="1" applyFill="1" applyBorder="1" applyAlignment="1">
      <alignment horizontal="right" vertical="center" wrapText="1"/>
    </xf>
    <xf numFmtId="0" fontId="74" fillId="0" borderId="22" xfId="0" applyFont="1" applyBorder="1" applyAlignment="1">
      <alignment horizontal="left" vertical="center"/>
    </xf>
    <xf numFmtId="0" fontId="74" fillId="3" borderId="56" xfId="0" applyFont="1" applyFill="1" applyBorder="1" applyAlignment="1">
      <alignment horizontal="center" vertical="center"/>
    </xf>
    <xf numFmtId="0" fontId="78" fillId="3" borderId="57" xfId="0" applyFont="1" applyFill="1" applyBorder="1" applyAlignment="1">
      <alignment horizontal="center" vertical="center" wrapText="1"/>
    </xf>
    <xf numFmtId="0" fontId="58" fillId="3" borderId="57" xfId="0" applyFont="1" applyFill="1" applyBorder="1" applyAlignment="1">
      <alignment horizontal="center" vertical="center" wrapText="1"/>
    </xf>
    <xf numFmtId="0" fontId="2" fillId="42" borderId="59" xfId="0" applyFont="1" applyFill="1" applyBorder="1" applyAlignment="1">
      <alignment horizontal="center" vertical="center" wrapText="1"/>
    </xf>
    <xf numFmtId="0" fontId="58" fillId="3" borderId="65" xfId="0" applyFont="1" applyFill="1" applyBorder="1" applyAlignment="1">
      <alignment horizontal="center" vertical="center" wrapText="1"/>
    </xf>
    <xf numFmtId="0" fontId="74" fillId="0" borderId="39" xfId="0" applyFont="1" applyBorder="1" applyAlignment="1">
      <alignment vertical="center"/>
    </xf>
    <xf numFmtId="0" fontId="74" fillId="0" borderId="39" xfId="0" applyFont="1" applyBorder="1" applyAlignment="1">
      <alignment horizontal="left" vertical="center"/>
    </xf>
    <xf numFmtId="0" fontId="54" fillId="3" borderId="2" xfId="0" applyFont="1" applyFill="1" applyBorder="1" applyAlignment="1" applyProtection="1">
      <alignment horizontal="right" vertical="center"/>
      <protection locked="0"/>
    </xf>
    <xf numFmtId="0" fontId="2" fillId="3" borderId="67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3" borderId="69" xfId="0" applyFont="1" applyFill="1" applyBorder="1" applyAlignment="1">
      <alignment vertical="center"/>
    </xf>
    <xf numFmtId="0" fontId="2" fillId="41" borderId="3" xfId="0" applyFont="1" applyFill="1" applyBorder="1" applyAlignment="1">
      <alignment horizontal="center" vertical="center"/>
    </xf>
    <xf numFmtId="0" fontId="2" fillId="41" borderId="66" xfId="0" applyFont="1" applyFill="1" applyBorder="1" applyAlignment="1">
      <alignment horizontal="left" vertical="center" wrapText="1"/>
    </xf>
    <xf numFmtId="0" fontId="49" fillId="42" borderId="8" xfId="0" applyFont="1" applyFill="1" applyBorder="1" applyAlignment="1">
      <alignment horizontal="center" vertical="center" wrapText="1"/>
    </xf>
    <xf numFmtId="2" fontId="52" fillId="42" borderId="19" xfId="0" applyNumberFormat="1" applyFont="1" applyFill="1" applyBorder="1" applyAlignment="1">
      <alignment horizontal="center" vertical="center" wrapText="1"/>
    </xf>
    <xf numFmtId="2" fontId="49" fillId="42" borderId="19" xfId="0" applyNumberFormat="1" applyFont="1" applyFill="1" applyBorder="1" applyAlignment="1">
      <alignment horizontal="center" vertical="center" wrapText="1"/>
    </xf>
    <xf numFmtId="2" fontId="49" fillId="42" borderId="6" xfId="464" applyNumberFormat="1" applyFont="1" applyFill="1" applyBorder="1" applyAlignment="1">
      <alignment horizontal="right" vertical="center" wrapText="1"/>
    </xf>
    <xf numFmtId="0" fontId="2" fillId="3" borderId="28" xfId="0" applyFont="1" applyFill="1" applyBorder="1" applyAlignment="1">
      <alignment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60" xfId="0" applyFont="1" applyFill="1" applyBorder="1" applyAlignment="1">
      <alignment vertical="center"/>
    </xf>
    <xf numFmtId="0" fontId="2" fillId="3" borderId="39" xfId="0" applyFont="1" applyFill="1" applyBorder="1" applyAlignment="1">
      <alignment vertical="center"/>
    </xf>
    <xf numFmtId="0" fontId="2" fillId="41" borderId="35" xfId="0" applyFont="1" applyFill="1" applyBorder="1" applyAlignment="1">
      <alignment horizontal="center" vertical="center"/>
    </xf>
    <xf numFmtId="0" fontId="2" fillId="41" borderId="26" xfId="0" applyFont="1" applyFill="1" applyBorder="1" applyAlignment="1">
      <alignment horizontal="center" vertical="center"/>
    </xf>
    <xf numFmtId="0" fontId="2" fillId="41" borderId="35" xfId="0" applyFont="1" applyFill="1" applyBorder="1" applyAlignment="1">
      <alignment vertical="center"/>
    </xf>
    <xf numFmtId="0" fontId="2" fillId="41" borderId="27" xfId="0" applyFont="1" applyFill="1" applyBorder="1" applyAlignment="1">
      <alignment vertical="center"/>
    </xf>
    <xf numFmtId="0" fontId="2" fillId="41" borderId="38" xfId="0" applyFont="1" applyFill="1" applyBorder="1" applyAlignment="1">
      <alignment vertical="center"/>
    </xf>
    <xf numFmtId="0" fontId="74" fillId="3" borderId="58" xfId="0" applyFont="1" applyFill="1" applyBorder="1" applyAlignment="1">
      <alignment vertical="center"/>
    </xf>
    <xf numFmtId="2" fontId="49" fillId="41" borderId="27" xfId="464" applyNumberFormat="1" applyFont="1" applyFill="1" applyBorder="1" applyAlignment="1">
      <alignment horizontal="right" vertical="center" wrapText="1"/>
    </xf>
    <xf numFmtId="0" fontId="74" fillId="3" borderId="39" xfId="0" applyFont="1" applyFill="1" applyBorder="1" applyAlignment="1">
      <alignment horizontal="center" vertical="center"/>
    </xf>
    <xf numFmtId="0" fontId="79" fillId="3" borderId="39" xfId="0" applyFont="1" applyFill="1" applyBorder="1" applyAlignment="1">
      <alignment horizontal="center" vertical="center"/>
    </xf>
    <xf numFmtId="0" fontId="78" fillId="3" borderId="58" xfId="0" applyFont="1" applyFill="1" applyBorder="1" applyAlignment="1">
      <alignment vertical="center"/>
    </xf>
    <xf numFmtId="0" fontId="78" fillId="3" borderId="58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center" vertical="center"/>
    </xf>
    <xf numFmtId="0" fontId="54" fillId="3" borderId="58" xfId="0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82" fillId="3" borderId="0" xfId="0" applyFont="1" applyFill="1" applyBorder="1" applyAlignment="1">
      <alignment vertical="center"/>
    </xf>
    <xf numFmtId="0" fontId="63" fillId="3" borderId="0" xfId="0" applyFont="1" applyFill="1" applyBorder="1" applyAlignment="1">
      <alignment vertical="center"/>
    </xf>
    <xf numFmtId="0" fontId="87" fillId="3" borderId="0" xfId="0" applyFont="1" applyFill="1" applyBorder="1" applyAlignment="1">
      <alignment horizontal="left" vertical="center"/>
    </xf>
    <xf numFmtId="171" fontId="74" fillId="3" borderId="32" xfId="464" applyNumberFormat="1" applyFont="1" applyFill="1" applyBorder="1" applyAlignment="1">
      <alignment horizontal="right"/>
    </xf>
    <xf numFmtId="171" fontId="74" fillId="3" borderId="60" xfId="464" applyNumberFormat="1" applyFont="1" applyFill="1" applyBorder="1" applyAlignment="1">
      <alignment horizontal="right"/>
    </xf>
    <xf numFmtId="2" fontId="65" fillId="3" borderId="30" xfId="464" applyNumberFormat="1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vertical="center"/>
    </xf>
    <xf numFmtId="171" fontId="2" fillId="3" borderId="52" xfId="0" applyNumberFormat="1" applyFont="1" applyFill="1" applyBorder="1" applyAlignment="1">
      <alignment vertical="center"/>
    </xf>
    <xf numFmtId="171" fontId="53" fillId="42" borderId="35" xfId="0" applyNumberFormat="1" applyFont="1" applyFill="1" applyBorder="1" applyAlignment="1">
      <alignment horizontal="right" vertical="center" wrapText="1"/>
    </xf>
    <xf numFmtId="171" fontId="50" fillId="42" borderId="27" xfId="0" applyNumberFormat="1" applyFont="1" applyFill="1" applyBorder="1" applyAlignment="1">
      <alignment horizontal="right" vertical="center" wrapText="1"/>
    </xf>
    <xf numFmtId="171" fontId="78" fillId="3" borderId="60" xfId="0" applyNumberFormat="1" applyFont="1" applyFill="1" applyBorder="1" applyAlignment="1">
      <alignment vertical="center" wrapText="1"/>
    </xf>
    <xf numFmtId="171" fontId="58" fillId="3" borderId="70" xfId="0" applyNumberFormat="1" applyFont="1" applyFill="1" applyBorder="1" applyAlignment="1">
      <alignment horizontal="right" vertical="center" wrapText="1"/>
    </xf>
    <xf numFmtId="171" fontId="49" fillId="3" borderId="7" xfId="0" applyNumberFormat="1" applyFont="1" applyFill="1" applyBorder="1" applyAlignment="1">
      <alignment horizontal="right" vertical="center" wrapText="1"/>
    </xf>
    <xf numFmtId="171" fontId="36" fillId="0" borderId="70" xfId="0" applyNumberFormat="1" applyFont="1" applyBorder="1" applyAlignment="1">
      <alignment vertical="center"/>
    </xf>
    <xf numFmtId="171" fontId="2" fillId="0" borderId="7" xfId="0" applyNumberFormat="1" applyFont="1" applyBorder="1" applyAlignment="1">
      <alignment vertical="center"/>
    </xf>
    <xf numFmtId="171" fontId="61" fillId="0" borderId="2" xfId="0" applyNumberFormat="1" applyFont="1" applyBorder="1" applyAlignment="1">
      <alignment horizontal="right" vertical="center"/>
    </xf>
    <xf numFmtId="2" fontId="93" fillId="3" borderId="22" xfId="0" applyNumberFormat="1" applyFont="1" applyFill="1" applyBorder="1" applyAlignment="1">
      <alignment horizontal="center" vertical="center" wrapText="1"/>
    </xf>
    <xf numFmtId="2" fontId="93" fillId="3" borderId="22" xfId="464" applyNumberFormat="1" applyFont="1" applyFill="1" applyBorder="1" applyAlignment="1">
      <alignment horizontal="center" vertical="center" wrapText="1"/>
    </xf>
    <xf numFmtId="0" fontId="2" fillId="44" borderId="39" xfId="0" applyFont="1" applyFill="1" applyBorder="1" applyAlignment="1">
      <alignment horizontal="center" vertical="center" wrapText="1"/>
    </xf>
    <xf numFmtId="0" fontId="51" fillId="44" borderId="39" xfId="0" applyFont="1" applyFill="1" applyBorder="1" applyAlignment="1" applyProtection="1">
      <alignment horizontal="left" vertical="center" wrapText="1"/>
      <protection locked="0"/>
    </xf>
    <xf numFmtId="0" fontId="2" fillId="44" borderId="39" xfId="0" applyFont="1" applyFill="1" applyBorder="1" applyAlignment="1">
      <alignment horizontal="left" vertical="center" wrapText="1"/>
    </xf>
    <xf numFmtId="0" fontId="57" fillId="44" borderId="39" xfId="0" applyFont="1" applyFill="1" applyBorder="1" applyAlignment="1">
      <alignment horizontal="left" vertical="center" wrapText="1"/>
    </xf>
    <xf numFmtId="0" fontId="2" fillId="44" borderId="39" xfId="0" applyFont="1" applyFill="1" applyBorder="1" applyAlignment="1">
      <alignment vertical="center" wrapText="1"/>
    </xf>
    <xf numFmtId="0" fontId="2" fillId="44" borderId="63" xfId="0" applyFont="1" applyFill="1" applyBorder="1" applyAlignment="1">
      <alignment horizontal="center" vertical="center"/>
    </xf>
    <xf numFmtId="0" fontId="57" fillId="44" borderId="38" xfId="0" applyFont="1" applyFill="1" applyBorder="1" applyAlignment="1">
      <alignment horizontal="left" vertical="center" wrapText="1"/>
    </xf>
    <xf numFmtId="0" fontId="51" fillId="44" borderId="3" xfId="0" applyFont="1" applyFill="1" applyBorder="1" applyAlignment="1" applyProtection="1">
      <alignment horizontal="left" vertical="center" wrapText="1"/>
      <protection locked="0"/>
    </xf>
    <xf numFmtId="0" fontId="60" fillId="44" borderId="39" xfId="0" applyFont="1" applyFill="1" applyBorder="1" applyAlignment="1">
      <alignment horizontal="left" vertical="center" wrapText="1"/>
    </xf>
    <xf numFmtId="0" fontId="2" fillId="44" borderId="35" xfId="0" applyFont="1" applyFill="1" applyBorder="1" applyAlignment="1">
      <alignment horizontal="center" vertical="center"/>
    </xf>
    <xf numFmtId="0" fontId="2" fillId="44" borderId="26" xfId="0" applyFont="1" applyFill="1" applyBorder="1" applyAlignment="1">
      <alignment horizontal="center" vertical="center"/>
    </xf>
    <xf numFmtId="0" fontId="90" fillId="3" borderId="0" xfId="0" applyFont="1" applyFill="1" applyAlignment="1"/>
    <xf numFmtId="0" fontId="90" fillId="3" borderId="0" xfId="0" applyFont="1" applyFill="1" applyAlignment="1">
      <alignment vertical="center"/>
    </xf>
    <xf numFmtId="0" fontId="65" fillId="3" borderId="45" xfId="0" applyFont="1" applyFill="1" applyBorder="1" applyAlignment="1"/>
    <xf numFmtId="0" fontId="86" fillId="3" borderId="0" xfId="0" applyFont="1" applyFill="1" applyBorder="1" applyAlignment="1">
      <alignment vertical="center"/>
    </xf>
    <xf numFmtId="0" fontId="87" fillId="3" borderId="0" xfId="0" applyFont="1" applyFill="1" applyBorder="1" applyAlignment="1">
      <alignment vertical="center"/>
    </xf>
    <xf numFmtId="0" fontId="88" fillId="3" borderId="0" xfId="0" applyFont="1" applyFill="1" applyBorder="1" applyAlignment="1">
      <alignment vertical="center"/>
    </xf>
    <xf numFmtId="0" fontId="60" fillId="44" borderId="38" xfId="0" applyFont="1" applyFill="1" applyBorder="1" applyAlignment="1">
      <alignment horizontal="left" vertical="center" wrapText="1"/>
    </xf>
    <xf numFmtId="0" fontId="2" fillId="44" borderId="38" xfId="0" applyFont="1" applyFill="1" applyBorder="1" applyAlignment="1">
      <alignment horizontal="left" vertical="center" wrapText="1"/>
    </xf>
    <xf numFmtId="0" fontId="74" fillId="3" borderId="39" xfId="0" applyFont="1" applyFill="1" applyBorder="1" applyAlignment="1">
      <alignment vertical="center" wrapText="1"/>
    </xf>
    <xf numFmtId="0" fontId="49" fillId="3" borderId="47" xfId="0" applyFont="1" applyFill="1" applyBorder="1" applyAlignment="1">
      <alignment vertical="center"/>
    </xf>
    <xf numFmtId="171" fontId="75" fillId="3" borderId="84" xfId="0" applyNumberFormat="1" applyFont="1" applyFill="1" applyBorder="1" applyAlignment="1">
      <alignment horizontal="right" vertical="center" wrapText="1"/>
    </xf>
    <xf numFmtId="0" fontId="78" fillId="3" borderId="82" xfId="0" applyFont="1" applyFill="1" applyBorder="1" applyAlignment="1">
      <alignment horizontal="center" vertical="center"/>
    </xf>
    <xf numFmtId="0" fontId="2" fillId="44" borderId="85" xfId="0" applyFont="1" applyFill="1" applyBorder="1" applyAlignment="1">
      <alignment horizontal="center" vertical="center" wrapText="1"/>
    </xf>
    <xf numFmtId="0" fontId="79" fillId="3" borderId="85" xfId="0" applyFont="1" applyFill="1" applyBorder="1" applyAlignment="1">
      <alignment horizontal="center" vertical="center" wrapText="1"/>
    </xf>
    <xf numFmtId="0" fontId="75" fillId="3" borderId="85" xfId="0" applyFont="1" applyFill="1" applyBorder="1" applyAlignment="1">
      <alignment horizontal="center" vertical="center"/>
    </xf>
    <xf numFmtId="0" fontId="2" fillId="3" borderId="85" xfId="0" applyFont="1" applyFill="1" applyBorder="1" applyAlignment="1">
      <alignment horizontal="center" vertical="center" wrapText="1"/>
    </xf>
    <xf numFmtId="0" fontId="2" fillId="44" borderId="85" xfId="0" applyFont="1" applyFill="1" applyBorder="1" applyAlignment="1">
      <alignment horizontal="center" vertical="center"/>
    </xf>
    <xf numFmtId="0" fontId="78" fillId="3" borderId="85" xfId="0" applyFont="1" applyFill="1" applyBorder="1" applyAlignment="1">
      <alignment horizontal="center" vertical="center"/>
    </xf>
    <xf numFmtId="0" fontId="58" fillId="3" borderId="85" xfId="0" applyFont="1" applyFill="1" applyBorder="1" applyAlignment="1">
      <alignment horizontal="center" vertical="center"/>
    </xf>
    <xf numFmtId="0" fontId="2" fillId="44" borderId="66" xfId="0" applyFont="1" applyFill="1" applyBorder="1" applyAlignment="1">
      <alignment horizontal="center" vertical="center"/>
    </xf>
    <xf numFmtId="0" fontId="74" fillId="3" borderId="85" xfId="0" applyFont="1" applyFill="1" applyBorder="1" applyAlignment="1">
      <alignment horizontal="center" vertical="center"/>
    </xf>
    <xf numFmtId="0" fontId="79" fillId="3" borderId="85" xfId="0" applyFont="1" applyFill="1" applyBorder="1" applyAlignment="1">
      <alignment horizontal="center" vertical="center"/>
    </xf>
    <xf numFmtId="0" fontId="2" fillId="3" borderId="85" xfId="0" applyFont="1" applyFill="1" applyBorder="1" applyAlignment="1">
      <alignment horizontal="center" vertical="center"/>
    </xf>
    <xf numFmtId="0" fontId="2" fillId="3" borderId="74" xfId="0" applyFont="1" applyFill="1" applyBorder="1" applyAlignment="1">
      <alignment horizontal="center" vertical="center"/>
    </xf>
    <xf numFmtId="0" fontId="78" fillId="3" borderId="56" xfId="0" applyFont="1" applyFill="1" applyBorder="1" applyAlignment="1">
      <alignment horizontal="center" vertical="center"/>
    </xf>
    <xf numFmtId="0" fontId="58" fillId="3" borderId="74" xfId="0" applyFont="1" applyFill="1" applyBorder="1" applyAlignment="1">
      <alignment horizontal="center" vertical="center"/>
    </xf>
    <xf numFmtId="0" fontId="2" fillId="44" borderId="3" xfId="0" applyFont="1" applyFill="1" applyBorder="1" applyAlignment="1">
      <alignment horizontal="left" vertical="center" wrapText="1"/>
    </xf>
    <xf numFmtId="0" fontId="74" fillId="3" borderId="82" xfId="0" applyFont="1" applyFill="1" applyBorder="1" applyAlignment="1">
      <alignment horizontal="center" vertical="center"/>
    </xf>
    <xf numFmtId="0" fontId="2" fillId="3" borderId="70" xfId="0" applyFont="1" applyFill="1" applyBorder="1" applyAlignment="1">
      <alignment horizontal="center" vertical="center"/>
    </xf>
    <xf numFmtId="171" fontId="49" fillId="3" borderId="84" xfId="0" applyNumberFormat="1" applyFont="1" applyFill="1" applyBorder="1" applyAlignment="1">
      <alignment horizontal="right" vertical="center" wrapText="1"/>
    </xf>
    <xf numFmtId="171" fontId="50" fillId="44" borderId="84" xfId="0" applyNumberFormat="1" applyFont="1" applyFill="1" applyBorder="1" applyAlignment="1">
      <alignment horizontal="right" vertical="center" wrapText="1"/>
    </xf>
    <xf numFmtId="171" fontId="61" fillId="0" borderId="78" xfId="0" applyNumberFormat="1" applyFont="1" applyBorder="1" applyAlignment="1">
      <alignment horizontal="right" vertical="center"/>
    </xf>
    <xf numFmtId="0" fontId="97" fillId="0" borderId="39" xfId="0" applyFont="1" applyBorder="1" applyAlignment="1">
      <alignment vertical="center" wrapText="1"/>
    </xf>
    <xf numFmtId="0" fontId="74" fillId="3" borderId="99" xfId="0" applyFont="1" applyFill="1" applyBorder="1" applyAlignment="1">
      <alignment horizontal="center" vertical="center"/>
    </xf>
    <xf numFmtId="0" fontId="0" fillId="0" borderId="22" xfId="0" applyBorder="1" applyAlignment="1">
      <alignment wrapText="1"/>
    </xf>
    <xf numFmtId="0" fontId="0" fillId="0" borderId="0" xfId="0" applyAlignment="1">
      <alignment wrapText="1"/>
    </xf>
    <xf numFmtId="0" fontId="1" fillId="44" borderId="9" xfId="0" applyFont="1" applyFill="1" applyBorder="1" applyAlignment="1">
      <alignment horizontal="center" vertical="center" wrapText="1"/>
    </xf>
    <xf numFmtId="0" fontId="1" fillId="44" borderId="22" xfId="0" applyFont="1" applyFill="1" applyBorder="1" applyAlignment="1">
      <alignment horizontal="left" wrapText="1"/>
    </xf>
    <xf numFmtId="2" fontId="94" fillId="44" borderId="22" xfId="0" applyNumberFormat="1" applyFont="1" applyFill="1" applyBorder="1" applyAlignment="1">
      <alignment wrapText="1"/>
    </xf>
    <xf numFmtId="2" fontId="2" fillId="44" borderId="22" xfId="0" applyNumberFormat="1" applyFont="1" applyFill="1" applyBorder="1" applyAlignment="1">
      <alignment wrapText="1"/>
    </xf>
    <xf numFmtId="0" fontId="0" fillId="44" borderId="9" xfId="0" applyFont="1" applyFill="1" applyBorder="1" applyAlignment="1">
      <alignment wrapText="1"/>
    </xf>
    <xf numFmtId="0" fontId="95" fillId="44" borderId="0" xfId="0" applyFont="1" applyFill="1" applyAlignment="1">
      <alignment wrapText="1"/>
    </xf>
    <xf numFmtId="0" fontId="96" fillId="44" borderId="22" xfId="0" applyFont="1" applyFill="1" applyBorder="1" applyAlignment="1">
      <alignment wrapText="1"/>
    </xf>
    <xf numFmtId="0" fontId="0" fillId="3" borderId="20" xfId="0" applyFont="1" applyFill="1" applyBorder="1" applyAlignment="1">
      <alignment wrapText="1"/>
    </xf>
    <xf numFmtId="0" fontId="1" fillId="3" borderId="22" xfId="0" applyFont="1" applyFill="1" applyBorder="1" applyAlignment="1">
      <alignment horizontal="left" wrapText="1"/>
    </xf>
    <xf numFmtId="2" fontId="94" fillId="3" borderId="22" xfId="0" applyNumberFormat="1" applyFont="1" applyFill="1" applyBorder="1" applyAlignment="1">
      <alignment wrapText="1"/>
    </xf>
    <xf numFmtId="2" fontId="2" fillId="3" borderId="22" xfId="0" applyNumberFormat="1" applyFont="1" applyFill="1" applyBorder="1" applyAlignment="1">
      <alignment wrapText="1"/>
    </xf>
    <xf numFmtId="0" fontId="0" fillId="43" borderId="9" xfId="0" applyFill="1" applyBorder="1" applyAlignment="1">
      <alignment wrapText="1"/>
    </xf>
    <xf numFmtId="0" fontId="1" fillId="43" borderId="22" xfId="0" applyFont="1" applyFill="1" applyBorder="1" applyAlignment="1">
      <alignment horizontal="left" wrapText="1"/>
    </xf>
    <xf numFmtId="2" fontId="94" fillId="43" borderId="22" xfId="0" applyNumberFormat="1" applyFont="1" applyFill="1" applyBorder="1" applyAlignment="1">
      <alignment wrapText="1"/>
    </xf>
    <xf numFmtId="2" fontId="2" fillId="43" borderId="22" xfId="0" applyNumberFormat="1" applyFont="1" applyFill="1" applyBorder="1" applyAlignment="1">
      <alignment wrapText="1"/>
    </xf>
    <xf numFmtId="0" fontId="95" fillId="43" borderId="0" xfId="0" applyFont="1" applyFill="1" applyAlignment="1">
      <alignment wrapText="1"/>
    </xf>
    <xf numFmtId="0" fontId="0" fillId="3" borderId="20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1" fillId="2" borderId="22" xfId="0" applyFont="1" applyFill="1" applyBorder="1" applyAlignment="1">
      <alignment horizontal="left" wrapText="1"/>
    </xf>
    <xf numFmtId="2" fontId="94" fillId="2" borderId="22" xfId="0" applyNumberFormat="1" applyFont="1" applyFill="1" applyBorder="1" applyAlignment="1">
      <alignment wrapText="1"/>
    </xf>
    <xf numFmtId="2" fontId="2" fillId="2" borderId="22" xfId="0" applyNumberFormat="1" applyFont="1" applyFill="1" applyBorder="1" applyAlignment="1">
      <alignment wrapText="1"/>
    </xf>
    <xf numFmtId="2" fontId="36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0" fontId="1" fillId="2" borderId="95" xfId="0" applyFont="1" applyFill="1" applyBorder="1" applyAlignment="1">
      <alignment horizontal="left" wrapText="1"/>
    </xf>
    <xf numFmtId="0" fontId="0" fillId="0" borderId="95" xfId="0" applyBorder="1" applyAlignment="1">
      <alignment wrapText="1"/>
    </xf>
    <xf numFmtId="0" fontId="0" fillId="0" borderId="95" xfId="0" applyBorder="1"/>
    <xf numFmtId="0" fontId="78" fillId="3" borderId="89" xfId="0" applyFont="1" applyFill="1" applyBorder="1" applyAlignment="1">
      <alignment horizontal="left" vertical="center" wrapText="1"/>
    </xf>
    <xf numFmtId="0" fontId="78" fillId="3" borderId="96" xfId="0" applyFont="1" applyFill="1" applyBorder="1" applyAlignment="1">
      <alignment horizontal="center" vertical="center"/>
    </xf>
    <xf numFmtId="4" fontId="78" fillId="3" borderId="95" xfId="0" applyNumberFormat="1" applyFont="1" applyFill="1" applyBorder="1" applyAlignment="1">
      <alignment horizontal="center" vertical="center"/>
    </xf>
    <xf numFmtId="0" fontId="78" fillId="3" borderId="89" xfId="0" applyFont="1" applyFill="1" applyBorder="1" applyAlignment="1" applyProtection="1">
      <alignment horizontal="left" vertical="center" wrapText="1"/>
      <protection locked="0"/>
    </xf>
    <xf numFmtId="0" fontId="49" fillId="3" borderId="42" xfId="0" applyFont="1" applyFill="1" applyBorder="1" applyAlignment="1">
      <alignment vertical="center"/>
    </xf>
    <xf numFmtId="2" fontId="74" fillId="3" borderId="95" xfId="0" applyNumberFormat="1" applyFont="1" applyFill="1" applyBorder="1" applyAlignment="1">
      <alignment horizontal="center" vertical="center" wrapText="1"/>
    </xf>
    <xf numFmtId="2" fontId="52" fillId="3" borderId="95" xfId="0" applyNumberFormat="1" applyFont="1" applyFill="1" applyBorder="1" applyAlignment="1">
      <alignment horizontal="center" vertical="center" wrapText="1"/>
    </xf>
    <xf numFmtId="2" fontId="78" fillId="3" borderId="95" xfId="0" applyNumberFormat="1" applyFont="1" applyFill="1" applyBorder="1" applyAlignment="1">
      <alignment horizontal="center" vertical="center" wrapText="1"/>
    </xf>
    <xf numFmtId="0" fontId="2" fillId="44" borderId="89" xfId="0" applyFont="1" applyFill="1" applyBorder="1" applyAlignment="1">
      <alignment horizontal="left" vertical="center" wrapText="1"/>
    </xf>
    <xf numFmtId="171" fontId="83" fillId="0" borderId="0" xfId="0" applyNumberFormat="1" applyFont="1" applyAlignment="1">
      <alignment horizontal="right" vertical="center"/>
    </xf>
    <xf numFmtId="0" fontId="65" fillId="3" borderId="43" xfId="0" applyFont="1" applyFill="1" applyBorder="1" applyAlignment="1">
      <alignment horizontal="center" vertical="center" wrapText="1"/>
    </xf>
    <xf numFmtId="0" fontId="65" fillId="3" borderId="41" xfId="0" applyFont="1" applyFill="1" applyBorder="1" applyAlignment="1">
      <alignment horizontal="center" vertical="center" wrapText="1"/>
    </xf>
    <xf numFmtId="0" fontId="65" fillId="3" borderId="44" xfId="0" applyFont="1" applyFill="1" applyBorder="1" applyAlignment="1">
      <alignment horizontal="center" vertical="center" wrapText="1"/>
    </xf>
    <xf numFmtId="0" fontId="91" fillId="3" borderId="43" xfId="0" applyFont="1" applyFill="1" applyBorder="1" applyAlignment="1">
      <alignment horizontal="center" vertical="center" wrapText="1"/>
    </xf>
    <xf numFmtId="0" fontId="91" fillId="3" borderId="41" xfId="0" applyFont="1" applyFill="1" applyBorder="1" applyAlignment="1">
      <alignment horizontal="center" vertical="center" wrapText="1"/>
    </xf>
    <xf numFmtId="0" fontId="91" fillId="3" borderId="44" xfId="0" applyFont="1" applyFill="1" applyBorder="1" applyAlignment="1">
      <alignment horizontal="center" vertical="center" wrapText="1"/>
    </xf>
    <xf numFmtId="0" fontId="49" fillId="3" borderId="47" xfId="0" applyFont="1" applyFill="1" applyBorder="1" applyAlignment="1">
      <alignment horizontal="center" vertical="center" wrapText="1"/>
    </xf>
    <xf numFmtId="0" fontId="49" fillId="3" borderId="49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87" fillId="3" borderId="0" xfId="0" applyFont="1" applyFill="1" applyBorder="1" applyAlignment="1">
      <alignment horizontal="left" vertical="center"/>
    </xf>
    <xf numFmtId="0" fontId="63" fillId="3" borderId="0" xfId="0" applyFont="1" applyFill="1" applyBorder="1" applyAlignment="1">
      <alignment vertical="center"/>
    </xf>
    <xf numFmtId="0" fontId="82" fillId="3" borderId="0" xfId="0" applyFont="1" applyFill="1" applyBorder="1" applyAlignment="1">
      <alignment vertical="center"/>
    </xf>
    <xf numFmtId="2" fontId="49" fillId="44" borderId="95" xfId="0" applyNumberFormat="1" applyFont="1" applyFill="1" applyBorder="1" applyAlignment="1">
      <alignment horizontal="center" vertical="center" wrapText="1"/>
    </xf>
    <xf numFmtId="0" fontId="98" fillId="3" borderId="89" xfId="0" applyFont="1" applyFill="1" applyBorder="1" applyAlignment="1">
      <alignment vertical="center" wrapText="1"/>
    </xf>
    <xf numFmtId="0" fontId="54" fillId="3" borderId="89" xfId="0" applyFont="1" applyFill="1" applyBorder="1" applyAlignment="1" applyProtection="1">
      <alignment horizontal="right" vertical="center" wrapText="1"/>
      <protection locked="0"/>
    </xf>
    <xf numFmtId="0" fontId="2" fillId="44" borderId="89" xfId="0" applyFont="1" applyFill="1" applyBorder="1" applyAlignment="1">
      <alignment vertical="center" wrapText="1"/>
    </xf>
    <xf numFmtId="0" fontId="78" fillId="3" borderId="89" xfId="0" applyFont="1" applyFill="1" applyBorder="1" applyAlignment="1">
      <alignment vertical="center" wrapText="1"/>
    </xf>
    <xf numFmtId="0" fontId="54" fillId="3" borderId="76" xfId="0" applyFont="1" applyFill="1" applyBorder="1" applyAlignment="1" applyProtection="1">
      <alignment horizontal="right" vertical="center" wrapText="1"/>
      <protection locked="0"/>
    </xf>
    <xf numFmtId="0" fontId="2" fillId="44" borderId="19" xfId="0" applyFont="1" applyFill="1" applyBorder="1" applyAlignment="1">
      <alignment horizontal="center" vertical="center"/>
    </xf>
    <xf numFmtId="0" fontId="98" fillId="2" borderId="89" xfId="0" applyFont="1" applyFill="1" applyBorder="1" applyAlignment="1">
      <alignment vertical="center" wrapText="1"/>
    </xf>
    <xf numFmtId="0" fontId="2" fillId="3" borderId="48" xfId="0" applyFont="1" applyFill="1" applyBorder="1" applyAlignment="1">
      <alignment horizontal="center" vertical="center"/>
    </xf>
    <xf numFmtId="0" fontId="49" fillId="3" borderId="107" xfId="0" applyFont="1" applyFill="1" applyBorder="1" applyAlignment="1">
      <alignment vertical="center" wrapText="1"/>
    </xf>
    <xf numFmtId="0" fontId="49" fillId="3" borderId="107" xfId="0" applyFont="1" applyFill="1" applyBorder="1" applyAlignment="1">
      <alignment vertical="center"/>
    </xf>
    <xf numFmtId="0" fontId="2" fillId="44" borderId="38" xfId="0" applyFont="1" applyFill="1" applyBorder="1" applyAlignment="1">
      <alignment vertical="center" wrapText="1"/>
    </xf>
    <xf numFmtId="0" fontId="49" fillId="44" borderId="94" xfId="0" applyFont="1" applyFill="1" applyBorder="1" applyAlignment="1">
      <alignment horizontal="center" vertical="center" wrapText="1"/>
    </xf>
    <xf numFmtId="0" fontId="74" fillId="3" borderId="94" xfId="0" applyFont="1" applyFill="1" applyBorder="1" applyAlignment="1">
      <alignment horizontal="center" vertical="center" wrapText="1"/>
    </xf>
    <xf numFmtId="0" fontId="52" fillId="3" borderId="94" xfId="0" applyFont="1" applyFill="1" applyBorder="1" applyAlignment="1">
      <alignment horizontal="center" vertical="center" wrapText="1"/>
    </xf>
    <xf numFmtId="171" fontId="61" fillId="0" borderId="101" xfId="0" applyNumberFormat="1" applyFont="1" applyBorder="1" applyAlignment="1">
      <alignment horizontal="right" vertical="center"/>
    </xf>
    <xf numFmtId="0" fontId="74" fillId="0" borderId="3" xfId="0" applyFont="1" applyBorder="1" applyAlignment="1">
      <alignment vertical="center"/>
    </xf>
    <xf numFmtId="0" fontId="58" fillId="3" borderId="39" xfId="0" applyFont="1" applyFill="1" applyBorder="1" applyAlignment="1">
      <alignment horizontal="center" vertical="center" wrapText="1"/>
    </xf>
    <xf numFmtId="0" fontId="53" fillId="3" borderId="94" xfId="0" applyFont="1" applyFill="1" applyBorder="1" applyAlignment="1">
      <alignment horizontal="center" vertical="center" wrapText="1"/>
    </xf>
    <xf numFmtId="2" fontId="53" fillId="3" borderId="95" xfId="0" applyNumberFormat="1" applyFont="1" applyFill="1" applyBorder="1" applyAlignment="1">
      <alignment horizontal="center" vertical="center" wrapText="1"/>
    </xf>
    <xf numFmtId="0" fontId="78" fillId="3" borderId="94" xfId="0" applyFont="1" applyFill="1" applyBorder="1" applyAlignment="1">
      <alignment horizontal="center" vertical="center" wrapText="1"/>
    </xf>
    <xf numFmtId="171" fontId="61" fillId="3" borderId="101" xfId="0" applyNumberFormat="1" applyFont="1" applyFill="1" applyBorder="1" applyAlignment="1">
      <alignment horizontal="right" vertical="center"/>
    </xf>
    <xf numFmtId="171" fontId="59" fillId="3" borderId="84" xfId="0" applyNumberFormat="1" applyFont="1" applyFill="1" applyBorder="1" applyAlignment="1">
      <alignment horizontal="right" vertical="center" wrapText="1"/>
    </xf>
    <xf numFmtId="0" fontId="78" fillId="3" borderId="105" xfId="0" applyFont="1" applyFill="1" applyBorder="1" applyAlignment="1" applyProtection="1">
      <alignment horizontal="left" vertical="center" wrapText="1"/>
      <protection locked="0"/>
    </xf>
    <xf numFmtId="0" fontId="98" fillId="3" borderId="41" xfId="0" applyFont="1" applyFill="1" applyBorder="1" applyAlignment="1">
      <alignment wrapText="1"/>
    </xf>
    <xf numFmtId="0" fontId="54" fillId="3" borderId="39" xfId="0" applyFont="1" applyFill="1" applyBorder="1" applyAlignment="1" applyProtection="1">
      <alignment horizontal="right" vertical="center" wrapText="1"/>
      <protection locked="0"/>
    </xf>
    <xf numFmtId="0" fontId="74" fillId="0" borderId="39" xfId="0" applyFont="1" applyBorder="1" applyAlignment="1">
      <alignment vertical="center" wrapText="1"/>
    </xf>
    <xf numFmtId="0" fontId="74" fillId="0" borderId="71" xfId="0" applyFont="1" applyBorder="1" applyAlignment="1">
      <alignment wrapText="1"/>
    </xf>
    <xf numFmtId="0" fontId="55" fillId="3" borderId="39" xfId="0" applyFont="1" applyFill="1" applyBorder="1" applyAlignment="1" applyProtection="1">
      <alignment horizontal="right" vertical="center" wrapText="1"/>
      <protection locked="0"/>
    </xf>
    <xf numFmtId="0" fontId="74" fillId="0" borderId="3" xfId="0" applyFont="1" applyBorder="1" applyAlignment="1">
      <alignment vertical="center" wrapText="1"/>
    </xf>
    <xf numFmtId="0" fontId="101" fillId="3" borderId="41" xfId="0" applyFont="1" applyFill="1" applyBorder="1" applyAlignment="1">
      <alignment wrapText="1"/>
    </xf>
    <xf numFmtId="0" fontId="74" fillId="0" borderId="39" xfId="0" applyFont="1" applyBorder="1" applyAlignment="1">
      <alignment wrapText="1"/>
    </xf>
    <xf numFmtId="0" fontId="54" fillId="3" borderId="78" xfId="0" applyFont="1" applyFill="1" applyBorder="1" applyAlignment="1" applyProtection="1">
      <alignment horizontal="right" vertical="center" wrapText="1"/>
      <protection locked="0"/>
    </xf>
    <xf numFmtId="0" fontId="54" fillId="3" borderId="40" xfId="0" applyFont="1" applyFill="1" applyBorder="1" applyAlignment="1" applyProtection="1">
      <alignment horizontal="right" vertical="center" wrapText="1"/>
      <protection locked="0"/>
    </xf>
    <xf numFmtId="0" fontId="2" fillId="3" borderId="4" xfId="0" applyFont="1" applyFill="1" applyBorder="1" applyAlignment="1">
      <alignment vertical="center" wrapText="1"/>
    </xf>
    <xf numFmtId="0" fontId="78" fillId="3" borderId="39" xfId="0" applyFont="1" applyFill="1" applyBorder="1" applyAlignment="1">
      <alignment vertical="center" wrapText="1" shrinkToFit="1"/>
    </xf>
    <xf numFmtId="0" fontId="78" fillId="0" borderId="39" xfId="0" applyFont="1" applyBorder="1" applyAlignment="1">
      <alignment wrapText="1"/>
    </xf>
    <xf numFmtId="0" fontId="78" fillId="3" borderId="97" xfId="0" applyFont="1" applyFill="1" applyBorder="1" applyAlignment="1">
      <alignment vertical="center" wrapText="1" shrinkToFit="1"/>
    </xf>
    <xf numFmtId="171" fontId="61" fillId="44" borderId="101" xfId="0" applyNumberFormat="1" applyFont="1" applyFill="1" applyBorder="1" applyAlignment="1">
      <alignment horizontal="right" vertical="center"/>
    </xf>
    <xf numFmtId="171" fontId="103" fillId="3" borderId="101" xfId="0" applyNumberFormat="1" applyFont="1" applyFill="1" applyBorder="1" applyAlignment="1">
      <alignment horizontal="right" vertical="center"/>
    </xf>
    <xf numFmtId="0" fontId="2" fillId="44" borderId="39" xfId="0" applyFont="1" applyFill="1" applyBorder="1" applyAlignment="1" applyProtection="1">
      <alignment horizontal="left" vertical="center" wrapText="1"/>
      <protection locked="0"/>
    </xf>
    <xf numFmtId="0" fontId="75" fillId="3" borderId="66" xfId="0" applyFont="1" applyFill="1" applyBorder="1" applyAlignment="1">
      <alignment horizontal="center" vertical="center" wrapText="1"/>
    </xf>
    <xf numFmtId="0" fontId="74" fillId="3" borderId="94" xfId="0" applyFont="1" applyFill="1" applyBorder="1" applyAlignment="1">
      <alignment horizontal="center" vertical="center"/>
    </xf>
    <xf numFmtId="0" fontId="74" fillId="3" borderId="89" xfId="0" applyFont="1" applyFill="1" applyBorder="1" applyAlignment="1">
      <alignment vertical="center" wrapText="1"/>
    </xf>
    <xf numFmtId="0" fontId="0" fillId="0" borderId="0" xfId="0" applyAlignment="1"/>
    <xf numFmtId="171" fontId="36" fillId="0" borderId="0" xfId="0" applyNumberFormat="1" applyFont="1" applyAlignment="1"/>
    <xf numFmtId="0" fontId="49" fillId="3" borderId="106" xfId="0" applyFont="1" applyFill="1" applyBorder="1" applyAlignment="1">
      <alignment vertical="center"/>
    </xf>
    <xf numFmtId="0" fontId="49" fillId="3" borderId="108" xfId="0" applyFont="1" applyFill="1" applyBorder="1" applyAlignment="1">
      <alignment vertical="center"/>
    </xf>
    <xf numFmtId="0" fontId="49" fillId="3" borderId="45" xfId="0" applyFont="1" applyFill="1" applyBorder="1" applyAlignment="1">
      <alignment vertical="center"/>
    </xf>
    <xf numFmtId="0" fontId="49" fillId="3" borderId="46" xfId="0" applyFont="1" applyFill="1" applyBorder="1" applyAlignment="1">
      <alignment vertical="center"/>
    </xf>
    <xf numFmtId="0" fontId="49" fillId="3" borderId="44" xfId="0" applyFont="1" applyFill="1" applyBorder="1" applyAlignment="1">
      <alignment vertical="center"/>
    </xf>
    <xf numFmtId="0" fontId="49" fillId="44" borderId="94" xfId="0" applyFont="1" applyFill="1" applyBorder="1" applyAlignment="1">
      <alignment horizontal="center" vertical="center"/>
    </xf>
    <xf numFmtId="2" fontId="49" fillId="44" borderId="95" xfId="0" applyNumberFormat="1" applyFont="1" applyFill="1" applyBorder="1" applyAlignment="1">
      <alignment horizontal="center" vertical="center"/>
    </xf>
    <xf numFmtId="171" fontId="49" fillId="44" borderId="96" xfId="464" applyNumberFormat="1" applyFont="1" applyFill="1" applyBorder="1" applyAlignment="1">
      <alignment horizontal="right" vertical="center"/>
    </xf>
    <xf numFmtId="171" fontId="50" fillId="44" borderId="84" xfId="0" applyNumberFormat="1" applyFont="1" applyFill="1" applyBorder="1" applyAlignment="1">
      <alignment horizontal="right" vertical="center"/>
    </xf>
    <xf numFmtId="0" fontId="98" fillId="3" borderId="94" xfId="0" applyFont="1" applyFill="1" applyBorder="1" applyAlignment="1">
      <alignment horizontal="center" vertical="center"/>
    </xf>
    <xf numFmtId="2" fontId="98" fillId="3" borderId="95" xfId="0" applyNumberFormat="1" applyFont="1" applyFill="1" applyBorder="1" applyAlignment="1">
      <alignment horizontal="center" vertical="center"/>
    </xf>
    <xf numFmtId="171" fontId="98" fillId="3" borderId="96" xfId="0" applyNumberFormat="1" applyFont="1" applyFill="1" applyBorder="1" applyAlignment="1">
      <alignment horizontal="right" vertical="center"/>
    </xf>
    <xf numFmtId="171" fontId="99" fillId="3" borderId="84" xfId="0" applyNumberFormat="1" applyFont="1" applyFill="1" applyBorder="1" applyAlignment="1">
      <alignment horizontal="right" vertical="center"/>
    </xf>
    <xf numFmtId="0" fontId="52" fillId="3" borderId="94" xfId="0" applyFont="1" applyFill="1" applyBorder="1" applyAlignment="1">
      <alignment horizontal="center" vertical="center"/>
    </xf>
    <xf numFmtId="2" fontId="52" fillId="3" borderId="95" xfId="0" applyNumberFormat="1" applyFont="1" applyFill="1" applyBorder="1" applyAlignment="1">
      <alignment horizontal="center" vertical="center"/>
    </xf>
    <xf numFmtId="171" fontId="50" fillId="3" borderId="84" xfId="0" applyNumberFormat="1" applyFont="1" applyFill="1" applyBorder="1" applyAlignment="1">
      <alignment horizontal="right" vertical="center"/>
    </xf>
    <xf numFmtId="0" fontId="2" fillId="44" borderId="39" xfId="0" applyFont="1" applyFill="1" applyBorder="1" applyAlignment="1">
      <alignment horizontal="center" vertical="center"/>
    </xf>
    <xf numFmtId="0" fontId="49" fillId="44" borderId="32" xfId="0" applyFont="1" applyFill="1" applyBorder="1" applyAlignment="1">
      <alignment horizontal="center" vertical="center"/>
    </xf>
    <xf numFmtId="2" fontId="49" fillId="44" borderId="22" xfId="0" applyNumberFormat="1" applyFont="1" applyFill="1" applyBorder="1" applyAlignment="1">
      <alignment horizontal="center" vertical="center"/>
    </xf>
    <xf numFmtId="2" fontId="49" fillId="44" borderId="28" xfId="0" applyNumberFormat="1" applyFont="1" applyFill="1" applyBorder="1" applyAlignment="1">
      <alignment horizontal="right" vertical="center"/>
    </xf>
    <xf numFmtId="171" fontId="53" fillId="44" borderId="32" xfId="0" applyNumberFormat="1" applyFont="1" applyFill="1" applyBorder="1" applyAlignment="1">
      <alignment horizontal="right" vertical="center"/>
    </xf>
    <xf numFmtId="171" fontId="50" fillId="44" borderId="28" xfId="0" applyNumberFormat="1" applyFont="1" applyFill="1" applyBorder="1" applyAlignment="1">
      <alignment horizontal="right" vertical="center"/>
    </xf>
    <xf numFmtId="0" fontId="74" fillId="3" borderId="32" xfId="0" applyFont="1" applyFill="1" applyBorder="1" applyAlignment="1">
      <alignment horizontal="center" vertical="center"/>
    </xf>
    <xf numFmtId="2" fontId="74" fillId="3" borderId="22" xfId="0" applyNumberFormat="1" applyFont="1" applyFill="1" applyBorder="1" applyAlignment="1">
      <alignment horizontal="center" vertical="center"/>
    </xf>
    <xf numFmtId="171" fontId="75" fillId="3" borderId="28" xfId="0" applyNumberFormat="1" applyFont="1" applyFill="1" applyBorder="1" applyAlignment="1">
      <alignment horizontal="right" vertical="center"/>
    </xf>
    <xf numFmtId="171" fontId="74" fillId="3" borderId="32" xfId="0" applyNumberFormat="1" applyFont="1" applyFill="1" applyBorder="1" applyAlignment="1">
      <alignment horizontal="right" vertical="center"/>
    </xf>
    <xf numFmtId="0" fontId="78" fillId="3" borderId="39" xfId="0" applyFont="1" applyFill="1" applyBorder="1" applyAlignment="1">
      <alignment horizontal="center" vertical="center"/>
    </xf>
    <xf numFmtId="0" fontId="62" fillId="3" borderId="32" xfId="0" applyFont="1" applyFill="1" applyBorder="1" applyAlignment="1">
      <alignment horizontal="center" vertical="center"/>
    </xf>
    <xf numFmtId="2" fontId="62" fillId="3" borderId="22" xfId="0" applyNumberFormat="1" applyFont="1" applyFill="1" applyBorder="1" applyAlignment="1">
      <alignment horizontal="center" vertical="center"/>
    </xf>
    <xf numFmtId="2" fontId="2" fillId="3" borderId="28" xfId="464" applyNumberFormat="1" applyFont="1" applyFill="1" applyBorder="1" applyAlignment="1">
      <alignment horizontal="right" vertical="center"/>
    </xf>
    <xf numFmtId="171" fontId="62" fillId="3" borderId="32" xfId="0" applyNumberFormat="1" applyFont="1" applyFill="1" applyBorder="1" applyAlignment="1">
      <alignment horizontal="right" vertical="center"/>
    </xf>
    <xf numFmtId="171" fontId="61" fillId="3" borderId="28" xfId="0" applyNumberFormat="1" applyFont="1" applyFill="1" applyBorder="1" applyAlignment="1">
      <alignment horizontal="right" vertical="center"/>
    </xf>
    <xf numFmtId="0" fontId="2" fillId="44" borderId="3" xfId="0" applyFont="1" applyFill="1" applyBorder="1" applyAlignment="1">
      <alignment horizontal="center" vertical="center"/>
    </xf>
    <xf numFmtId="0" fontId="49" fillId="44" borderId="8" xfId="0" applyFont="1" applyFill="1" applyBorder="1" applyAlignment="1">
      <alignment horizontal="center" vertical="center"/>
    </xf>
    <xf numFmtId="2" fontId="49" fillId="44" borderId="19" xfId="0" applyNumberFormat="1" applyFont="1" applyFill="1" applyBorder="1" applyAlignment="1">
      <alignment horizontal="center" vertical="center"/>
    </xf>
    <xf numFmtId="2" fontId="100" fillId="44" borderId="19" xfId="0" applyNumberFormat="1" applyFont="1" applyFill="1" applyBorder="1" applyAlignment="1">
      <alignment horizontal="center" vertical="center"/>
    </xf>
    <xf numFmtId="171" fontId="50" fillId="44" borderId="6" xfId="0" applyNumberFormat="1" applyFont="1" applyFill="1" applyBorder="1" applyAlignment="1">
      <alignment horizontal="right" vertical="center"/>
    </xf>
    <xf numFmtId="2" fontId="74" fillId="3" borderId="95" xfId="0" applyNumberFormat="1" applyFont="1" applyFill="1" applyBorder="1" applyAlignment="1">
      <alignment horizontal="center" vertical="center"/>
    </xf>
    <xf numFmtId="171" fontId="75" fillId="3" borderId="84" xfId="0" applyNumberFormat="1" applyFont="1" applyFill="1" applyBorder="1" applyAlignment="1">
      <alignment horizontal="right" vertical="center"/>
    </xf>
    <xf numFmtId="171" fontId="74" fillId="3" borderId="101" xfId="0" applyNumberFormat="1" applyFont="1" applyFill="1" applyBorder="1" applyAlignment="1">
      <alignment horizontal="right" vertical="center"/>
    </xf>
    <xf numFmtId="0" fontId="74" fillId="3" borderId="3" xfId="0" applyFont="1" applyFill="1" applyBorder="1" applyAlignment="1">
      <alignment horizontal="center" vertical="center"/>
    </xf>
    <xf numFmtId="0" fontId="58" fillId="3" borderId="39" xfId="0" applyFont="1" applyFill="1" applyBorder="1" applyAlignment="1">
      <alignment horizontal="center" vertical="center"/>
    </xf>
    <xf numFmtId="0" fontId="53" fillId="3" borderId="94" xfId="0" applyFont="1" applyFill="1" applyBorder="1" applyAlignment="1">
      <alignment horizontal="center" vertical="center"/>
    </xf>
    <xf numFmtId="2" fontId="53" fillId="3" borderId="95" xfId="0" applyNumberFormat="1" applyFont="1" applyFill="1" applyBorder="1" applyAlignment="1">
      <alignment horizontal="center" vertical="center"/>
    </xf>
    <xf numFmtId="2" fontId="62" fillId="3" borderId="19" xfId="0" applyNumberFormat="1" applyFont="1" applyFill="1" applyBorder="1" applyAlignment="1">
      <alignment horizontal="center" vertical="center"/>
    </xf>
    <xf numFmtId="2" fontId="2" fillId="3" borderId="62" xfId="464" applyNumberFormat="1" applyFont="1" applyFill="1" applyBorder="1" applyAlignment="1">
      <alignment horizontal="right" vertical="center"/>
    </xf>
    <xf numFmtId="0" fontId="78" fillId="3" borderId="94" xfId="0" applyFont="1" applyFill="1" applyBorder="1" applyAlignment="1">
      <alignment horizontal="center" vertical="center"/>
    </xf>
    <xf numFmtId="2" fontId="78" fillId="3" borderId="95" xfId="0" applyNumberFormat="1" applyFont="1" applyFill="1" applyBorder="1" applyAlignment="1">
      <alignment horizontal="center" vertical="center"/>
    </xf>
    <xf numFmtId="171" fontId="79" fillId="3" borderId="84" xfId="0" applyNumberFormat="1" applyFont="1" applyFill="1" applyBorder="1" applyAlignment="1">
      <alignment horizontal="right" vertical="center"/>
    </xf>
    <xf numFmtId="0" fontId="102" fillId="3" borderId="94" xfId="0" applyFont="1" applyFill="1" applyBorder="1" applyAlignment="1">
      <alignment horizontal="center" vertical="center"/>
    </xf>
    <xf numFmtId="2" fontId="102" fillId="3" borderId="95" xfId="0" applyNumberFormat="1" applyFont="1" applyFill="1" applyBorder="1" applyAlignment="1">
      <alignment horizontal="center" vertical="center"/>
    </xf>
    <xf numFmtId="0" fontId="49" fillId="44" borderId="34" xfId="0" applyFont="1" applyFill="1" applyBorder="1" applyAlignment="1">
      <alignment horizontal="center" vertical="center"/>
    </xf>
    <xf numFmtId="2" fontId="2" fillId="44" borderId="19" xfId="0" applyNumberFormat="1" applyFont="1" applyFill="1" applyBorder="1" applyAlignment="1">
      <alignment horizontal="center" vertical="center"/>
    </xf>
    <xf numFmtId="2" fontId="49" fillId="44" borderId="19" xfId="0" applyNumberFormat="1" applyFont="1" applyFill="1" applyBorder="1" applyAlignment="1">
      <alignment horizontal="right" vertical="center"/>
    </xf>
    <xf numFmtId="171" fontId="62" fillId="44" borderId="82" xfId="0" applyNumberFormat="1" applyFont="1" applyFill="1" applyBorder="1" applyAlignment="1">
      <alignment horizontal="right" vertical="center"/>
    </xf>
    <xf numFmtId="171" fontId="2" fillId="44" borderId="84" xfId="0" applyNumberFormat="1" applyFont="1" applyFill="1" applyBorder="1" applyAlignment="1">
      <alignment horizontal="right" vertical="center"/>
    </xf>
    <xf numFmtId="2" fontId="78" fillId="3" borderId="83" xfId="0" applyNumberFormat="1" applyFont="1" applyFill="1" applyBorder="1" applyAlignment="1">
      <alignment horizontal="center" vertical="center"/>
    </xf>
    <xf numFmtId="0" fontId="36" fillId="0" borderId="0" xfId="0" applyFont="1" applyAlignment="1"/>
    <xf numFmtId="0" fontId="62" fillId="3" borderId="82" xfId="0" applyFont="1" applyFill="1" applyBorder="1" applyAlignment="1">
      <alignment horizontal="center" vertical="center"/>
    </xf>
    <xf numFmtId="2" fontId="62" fillId="3" borderId="83" xfId="0" applyNumberFormat="1" applyFont="1" applyFill="1" applyBorder="1" applyAlignment="1">
      <alignment horizontal="center" vertical="center"/>
    </xf>
    <xf numFmtId="2" fontId="2" fillId="3" borderId="84" xfId="464" applyNumberFormat="1" applyFont="1" applyFill="1" applyBorder="1" applyAlignment="1">
      <alignment horizontal="right" vertical="center"/>
    </xf>
    <xf numFmtId="2" fontId="62" fillId="3" borderId="95" xfId="0" applyNumberFormat="1" applyFont="1" applyFill="1" applyBorder="1" applyAlignment="1">
      <alignment horizontal="center" vertical="center"/>
    </xf>
    <xf numFmtId="2" fontId="2" fillId="3" borderId="95" xfId="464" applyNumberFormat="1" applyFont="1" applyFill="1" applyBorder="1" applyAlignment="1">
      <alignment horizontal="right" vertical="center"/>
    </xf>
    <xf numFmtId="0" fontId="62" fillId="3" borderId="96" xfId="0" applyFont="1" applyFill="1" applyBorder="1" applyAlignment="1">
      <alignment horizontal="center" vertical="center"/>
    </xf>
    <xf numFmtId="171" fontId="61" fillId="3" borderId="84" xfId="0" applyNumberFormat="1" applyFont="1" applyFill="1" applyBorder="1" applyAlignment="1">
      <alignment horizontal="right" vertical="center"/>
    </xf>
    <xf numFmtId="0" fontId="49" fillId="44" borderId="96" xfId="0" applyFont="1" applyFill="1" applyBorder="1" applyAlignment="1">
      <alignment horizontal="center" vertical="center"/>
    </xf>
    <xf numFmtId="0" fontId="98" fillId="3" borderId="96" xfId="0" applyFont="1" applyFill="1" applyBorder="1" applyAlignment="1">
      <alignment horizontal="center" vertical="center"/>
    </xf>
    <xf numFmtId="2" fontId="74" fillId="3" borderId="83" xfId="0" applyNumberFormat="1" applyFont="1" applyFill="1" applyBorder="1" applyAlignment="1">
      <alignment horizontal="center" vertical="center"/>
    </xf>
    <xf numFmtId="2" fontId="75" fillId="3" borderId="84" xfId="464" applyNumberFormat="1" applyFont="1" applyFill="1" applyBorder="1" applyAlignment="1">
      <alignment horizontal="right" vertical="center"/>
    </xf>
    <xf numFmtId="0" fontId="62" fillId="0" borderId="39" xfId="0" applyFont="1" applyFill="1" applyBorder="1" applyAlignment="1"/>
    <xf numFmtId="0" fontId="62" fillId="0" borderId="85" xfId="0" applyFont="1" applyFill="1" applyBorder="1" applyAlignment="1">
      <alignment horizontal="center" vertical="center"/>
    </xf>
    <xf numFmtId="0" fontId="2" fillId="44" borderId="62" xfId="0" applyFont="1" applyFill="1" applyBorder="1" applyAlignment="1">
      <alignment horizontal="center" vertical="center"/>
    </xf>
    <xf numFmtId="2" fontId="49" fillId="44" borderId="6" xfId="0" applyNumberFormat="1" applyFont="1" applyFill="1" applyBorder="1" applyAlignment="1">
      <alignment horizontal="right" vertical="center"/>
    </xf>
    <xf numFmtId="171" fontId="53" fillId="44" borderId="34" xfId="0" applyNumberFormat="1" applyFont="1" applyFill="1" applyBorder="1" applyAlignment="1">
      <alignment horizontal="right" vertical="center"/>
    </xf>
    <xf numFmtId="2" fontId="75" fillId="3" borderId="6" xfId="464" applyNumberFormat="1" applyFont="1" applyFill="1" applyBorder="1" applyAlignment="1">
      <alignment horizontal="right" vertical="center"/>
    </xf>
    <xf numFmtId="171" fontId="74" fillId="3" borderId="82" xfId="0" applyNumberFormat="1" applyFont="1" applyFill="1" applyBorder="1" applyAlignment="1">
      <alignment horizontal="right" vertical="center"/>
    </xf>
    <xf numFmtId="0" fontId="49" fillId="3" borderId="53" xfId="0" applyFont="1" applyFill="1" applyBorder="1" applyAlignment="1">
      <alignment vertical="center"/>
    </xf>
    <xf numFmtId="0" fontId="49" fillId="3" borderId="91" xfId="0" applyFont="1" applyFill="1" applyBorder="1" applyAlignment="1">
      <alignment vertical="center"/>
    </xf>
    <xf numFmtId="2" fontId="74" fillId="3" borderId="93" xfId="0" applyNumberFormat="1" applyFont="1" applyFill="1" applyBorder="1" applyAlignment="1">
      <alignment horizontal="center" vertical="center"/>
    </xf>
    <xf numFmtId="171" fontId="74" fillId="3" borderId="92" xfId="0" applyNumberFormat="1" applyFont="1" applyFill="1" applyBorder="1" applyAlignment="1">
      <alignment horizontal="right" vertical="center"/>
    </xf>
    <xf numFmtId="171" fontId="75" fillId="3" borderId="91" xfId="0" applyNumberFormat="1" applyFont="1" applyFill="1" applyBorder="1" applyAlignment="1">
      <alignment horizontal="right" vertical="center"/>
    </xf>
    <xf numFmtId="171" fontId="74" fillId="3" borderId="96" xfId="0" applyNumberFormat="1" applyFont="1" applyFill="1" applyBorder="1" applyAlignment="1">
      <alignment horizontal="right" vertical="center"/>
    </xf>
    <xf numFmtId="0" fontId="52" fillId="3" borderId="82" xfId="0" applyFont="1" applyFill="1" applyBorder="1" applyAlignment="1">
      <alignment horizontal="center" vertical="center"/>
    </xf>
    <xf numFmtId="2" fontId="52" fillId="3" borderId="83" xfId="0" applyNumberFormat="1" applyFont="1" applyFill="1" applyBorder="1" applyAlignment="1">
      <alignment horizontal="center" vertical="center"/>
    </xf>
    <xf numFmtId="2" fontId="49" fillId="3" borderId="6" xfId="464" applyNumberFormat="1" applyFont="1" applyFill="1" applyBorder="1" applyAlignment="1">
      <alignment horizontal="right" vertical="center"/>
    </xf>
    <xf numFmtId="171" fontId="53" fillId="3" borderId="82" xfId="0" applyNumberFormat="1" applyFont="1" applyFill="1" applyBorder="1" applyAlignment="1">
      <alignment horizontal="right" vertical="center"/>
    </xf>
    <xf numFmtId="171" fontId="49" fillId="3" borderId="84" xfId="0" applyNumberFormat="1" applyFont="1" applyFill="1" applyBorder="1" applyAlignment="1">
      <alignment horizontal="right" vertical="center"/>
    </xf>
    <xf numFmtId="4" fontId="52" fillId="44" borderId="95" xfId="0" applyNumberFormat="1" applyFont="1" applyFill="1" applyBorder="1" applyAlignment="1">
      <alignment horizontal="center" vertical="center"/>
    </xf>
    <xf numFmtId="4" fontId="49" fillId="44" borderId="95" xfId="0" applyNumberFormat="1" applyFont="1" applyFill="1" applyBorder="1" applyAlignment="1">
      <alignment horizontal="center" vertical="center"/>
    </xf>
    <xf numFmtId="2" fontId="79" fillId="3" borderId="6" xfId="464" applyNumberFormat="1" applyFont="1" applyFill="1" applyBorder="1" applyAlignment="1">
      <alignment horizontal="right" vertical="center"/>
    </xf>
    <xf numFmtId="0" fontId="52" fillId="3" borderId="96" xfId="0" applyFont="1" applyFill="1" applyBorder="1" applyAlignment="1">
      <alignment horizontal="center" vertical="center"/>
    </xf>
    <xf numFmtId="0" fontId="49" fillId="44" borderId="82" xfId="0" applyFont="1" applyFill="1" applyBorder="1" applyAlignment="1">
      <alignment horizontal="center" vertical="center"/>
    </xf>
    <xf numFmtId="2" fontId="52" fillId="44" borderId="83" xfId="0" applyNumberFormat="1" applyFont="1" applyFill="1" applyBorder="1" applyAlignment="1">
      <alignment horizontal="center" vertical="center"/>
    </xf>
    <xf numFmtId="2" fontId="49" fillId="44" borderId="83" xfId="0" applyNumberFormat="1" applyFont="1" applyFill="1" applyBorder="1" applyAlignment="1">
      <alignment horizontal="center" vertical="center"/>
    </xf>
    <xf numFmtId="2" fontId="49" fillId="44" borderId="84" xfId="0" applyNumberFormat="1" applyFont="1" applyFill="1" applyBorder="1" applyAlignment="1">
      <alignment horizontal="right" vertical="center"/>
    </xf>
    <xf numFmtId="171" fontId="53" fillId="44" borderId="82" xfId="0" applyNumberFormat="1" applyFont="1" applyFill="1" applyBorder="1" applyAlignment="1">
      <alignment horizontal="right" vertical="center"/>
    </xf>
    <xf numFmtId="171" fontId="78" fillId="3" borderId="82" xfId="0" applyNumberFormat="1" applyFont="1" applyFill="1" applyBorder="1" applyAlignment="1">
      <alignment horizontal="right" vertical="center"/>
    </xf>
    <xf numFmtId="0" fontId="75" fillId="3" borderId="66" xfId="0" applyFont="1" applyFill="1" applyBorder="1" applyAlignment="1">
      <alignment horizontal="center" vertical="center"/>
    </xf>
    <xf numFmtId="2" fontId="76" fillId="3" borderId="95" xfId="0" applyNumberFormat="1" applyFont="1" applyFill="1" applyBorder="1" applyAlignment="1">
      <alignment horizontal="center" vertical="center"/>
    </xf>
    <xf numFmtId="0" fontId="53" fillId="3" borderId="82" xfId="0" applyFont="1" applyFill="1" applyBorder="1" applyAlignment="1">
      <alignment horizontal="center" vertical="center"/>
    </xf>
    <xf numFmtId="2" fontId="53" fillId="3" borderId="83" xfId="0" applyNumberFormat="1" applyFont="1" applyFill="1" applyBorder="1" applyAlignment="1">
      <alignment horizontal="center" vertical="center"/>
    </xf>
    <xf numFmtId="2" fontId="49" fillId="3" borderId="84" xfId="0" applyNumberFormat="1" applyFont="1" applyFill="1" applyBorder="1" applyAlignment="1">
      <alignment horizontal="right" vertical="center"/>
    </xf>
    <xf numFmtId="171" fontId="2" fillId="3" borderId="84" xfId="0" applyNumberFormat="1" applyFont="1" applyFill="1" applyBorder="1" applyAlignment="1">
      <alignment horizontal="right" vertical="center"/>
    </xf>
    <xf numFmtId="0" fontId="2" fillId="44" borderId="82" xfId="0" applyFont="1" applyFill="1" applyBorder="1" applyAlignment="1">
      <alignment horizontal="center" vertical="center"/>
    </xf>
    <xf numFmtId="2" fontId="2" fillId="44" borderId="83" xfId="0" applyNumberFormat="1" applyFont="1" applyFill="1" applyBorder="1" applyAlignment="1">
      <alignment horizontal="center" vertical="center"/>
    </xf>
    <xf numFmtId="2" fontId="49" fillId="44" borderId="6" xfId="464" applyNumberFormat="1" applyFont="1" applyFill="1" applyBorder="1" applyAlignment="1">
      <alignment horizontal="right" vertical="center"/>
    </xf>
    <xf numFmtId="171" fontId="61" fillId="44" borderId="84" xfId="0" applyNumberFormat="1" applyFont="1" applyFill="1" applyBorder="1" applyAlignment="1">
      <alignment horizontal="right" vertical="center"/>
    </xf>
    <xf numFmtId="0" fontId="52" fillId="3" borderId="80" xfId="0" applyFont="1" applyFill="1" applyBorder="1" applyAlignment="1">
      <alignment horizontal="center" vertical="center"/>
    </xf>
    <xf numFmtId="2" fontId="52" fillId="3" borderId="23" xfId="0" applyNumberFormat="1" applyFont="1" applyFill="1" applyBorder="1" applyAlignment="1">
      <alignment horizontal="center" vertical="center"/>
    </xf>
    <xf numFmtId="171" fontId="53" fillId="3" borderId="80" xfId="0" applyNumberFormat="1" applyFont="1" applyFill="1" applyBorder="1" applyAlignment="1">
      <alignment horizontal="right" vertical="center"/>
    </xf>
    <xf numFmtId="171" fontId="49" fillId="3" borderId="52" xfId="0" applyNumberFormat="1" applyFont="1" applyFill="1" applyBorder="1" applyAlignment="1">
      <alignment horizontal="right" vertical="center"/>
    </xf>
    <xf numFmtId="0" fontId="74" fillId="3" borderId="96" xfId="0" applyFont="1" applyFill="1" applyBorder="1" applyAlignment="1">
      <alignment horizontal="center" vertical="center"/>
    </xf>
    <xf numFmtId="4" fontId="74" fillId="0" borderId="95" xfId="0" applyNumberFormat="1" applyFont="1" applyFill="1" applyBorder="1" applyAlignment="1">
      <alignment horizontal="center" vertical="center"/>
    </xf>
    <xf numFmtId="171" fontId="74" fillId="2" borderId="82" xfId="0" applyNumberFormat="1" applyFont="1" applyFill="1" applyBorder="1" applyAlignment="1">
      <alignment horizontal="right" vertical="center"/>
    </xf>
    <xf numFmtId="2" fontId="79" fillId="3" borderId="84" xfId="464" applyNumberFormat="1" applyFont="1" applyFill="1" applyBorder="1" applyAlignment="1">
      <alignment horizontal="right" vertical="center"/>
    </xf>
    <xf numFmtId="2" fontId="49" fillId="3" borderId="52" xfId="464" applyNumberFormat="1" applyFont="1" applyFill="1" applyBorder="1" applyAlignment="1">
      <alignment horizontal="right" vertical="center"/>
    </xf>
    <xf numFmtId="2" fontId="49" fillId="44" borderId="84" xfId="464" applyNumberFormat="1" applyFont="1" applyFill="1" applyBorder="1" applyAlignment="1">
      <alignment horizontal="right" vertical="center"/>
    </xf>
    <xf numFmtId="0" fontId="74" fillId="0" borderId="85" xfId="0" applyFont="1" applyFill="1" applyBorder="1" applyAlignment="1">
      <alignment horizontal="center" vertical="center"/>
    </xf>
    <xf numFmtId="0" fontId="74" fillId="0" borderId="53" xfId="0" applyFont="1" applyFill="1" applyBorder="1" applyAlignment="1">
      <alignment horizontal="center" vertical="center"/>
    </xf>
    <xf numFmtId="0" fontId="78" fillId="3" borderId="80" xfId="0" applyFont="1" applyFill="1" applyBorder="1" applyAlignment="1">
      <alignment horizontal="center" vertical="center"/>
    </xf>
    <xf numFmtId="0" fontId="74" fillId="0" borderId="87" xfId="0" applyFont="1" applyFill="1" applyBorder="1" applyAlignment="1">
      <alignment horizontal="center" vertical="center"/>
    </xf>
    <xf numFmtId="0" fontId="74" fillId="0" borderId="109" xfId="0" applyFont="1" applyFill="1" applyBorder="1" applyAlignment="1">
      <alignment horizontal="center" vertical="center"/>
    </xf>
    <xf numFmtId="0" fontId="58" fillId="3" borderId="80" xfId="0" applyFont="1" applyFill="1" applyBorder="1" applyAlignment="1">
      <alignment horizontal="center" vertical="center"/>
    </xf>
    <xf numFmtId="2" fontId="58" fillId="3" borderId="23" xfId="0" applyNumberFormat="1" applyFont="1" applyFill="1" applyBorder="1" applyAlignment="1">
      <alignment horizontal="center" vertical="center"/>
    </xf>
    <xf numFmtId="2" fontId="49" fillId="3" borderId="55" xfId="464" applyNumberFormat="1" applyFont="1" applyFill="1" applyBorder="1" applyAlignment="1">
      <alignment horizontal="right" vertical="center"/>
    </xf>
    <xf numFmtId="171" fontId="58" fillId="3" borderId="80" xfId="0" applyNumberFormat="1" applyFont="1" applyFill="1" applyBorder="1" applyAlignment="1">
      <alignment horizontal="right" vertical="center"/>
    </xf>
    <xf numFmtId="2" fontId="2" fillId="44" borderId="26" xfId="0" applyNumberFormat="1" applyFont="1" applyFill="1" applyBorder="1" applyAlignment="1">
      <alignment horizontal="center" vertical="center"/>
    </xf>
    <xf numFmtId="2" fontId="2" fillId="44" borderId="27" xfId="464" applyNumberFormat="1" applyFont="1" applyFill="1" applyBorder="1" applyAlignment="1">
      <alignment horizontal="right" vertical="center"/>
    </xf>
    <xf numFmtId="171" fontId="62" fillId="44" borderId="35" xfId="0" applyNumberFormat="1" applyFont="1" applyFill="1" applyBorder="1" applyAlignment="1">
      <alignment horizontal="right" vertical="center"/>
    </xf>
    <xf numFmtId="171" fontId="61" fillId="44" borderId="27" xfId="0" applyNumberFormat="1" applyFont="1" applyFill="1" applyBorder="1" applyAlignment="1">
      <alignment horizontal="right" vertical="center"/>
    </xf>
    <xf numFmtId="2" fontId="74" fillId="3" borderId="102" xfId="0" applyNumberFormat="1" applyFont="1" applyFill="1" applyBorder="1" applyAlignment="1">
      <alignment horizontal="center" vertical="center"/>
    </xf>
    <xf numFmtId="2" fontId="75" fillId="3" borderId="103" xfId="464" applyNumberFormat="1" applyFont="1" applyFill="1" applyBorder="1" applyAlignment="1">
      <alignment horizontal="right" vertical="center"/>
    </xf>
    <xf numFmtId="0" fontId="2" fillId="3" borderId="40" xfId="0" applyFont="1" applyFill="1" applyBorder="1" applyAlignment="1">
      <alignment horizontal="center" vertical="center"/>
    </xf>
    <xf numFmtId="2" fontId="52" fillId="44" borderId="19" xfId="0" applyNumberFormat="1" applyFont="1" applyFill="1" applyBorder="1" applyAlignment="1">
      <alignment horizontal="center" vertical="center"/>
    </xf>
    <xf numFmtId="171" fontId="53" fillId="44" borderId="35" xfId="0" applyNumberFormat="1" applyFont="1" applyFill="1" applyBorder="1" applyAlignment="1">
      <alignment horizontal="right" vertical="center"/>
    </xf>
    <xf numFmtId="171" fontId="50" fillId="44" borderId="27" xfId="0" applyNumberFormat="1" applyFont="1" applyFill="1" applyBorder="1" applyAlignment="1">
      <alignment horizontal="right" vertical="center"/>
    </xf>
    <xf numFmtId="171" fontId="58" fillId="3" borderId="70" xfId="0" applyNumberFormat="1" applyFont="1" applyFill="1" applyBorder="1" applyAlignment="1">
      <alignment horizontal="right" vertical="center"/>
    </xf>
    <xf numFmtId="171" fontId="49" fillId="3" borderId="30" xfId="0" applyNumberFormat="1" applyFont="1" applyFill="1" applyBorder="1" applyAlignment="1">
      <alignment horizontal="right" vertical="center"/>
    </xf>
    <xf numFmtId="0" fontId="2" fillId="44" borderId="59" xfId="0" applyFont="1" applyFill="1" applyBorder="1" applyAlignment="1">
      <alignment horizontal="center" vertical="center"/>
    </xf>
    <xf numFmtId="2" fontId="36" fillId="44" borderId="26" xfId="0" applyNumberFormat="1" applyFont="1" applyFill="1" applyBorder="1" applyAlignment="1">
      <alignment horizontal="center" vertical="center"/>
    </xf>
    <xf numFmtId="0" fontId="78" fillId="3" borderId="98" xfId="0" applyFont="1" applyFill="1" applyBorder="1" applyAlignment="1">
      <alignment horizontal="center" vertical="center"/>
    </xf>
    <xf numFmtId="0" fontId="58" fillId="3" borderId="75" xfId="0" applyFont="1" applyFill="1" applyBorder="1" applyAlignment="1">
      <alignment horizontal="center" vertical="center"/>
    </xf>
    <xf numFmtId="2" fontId="58" fillId="3" borderId="29" xfId="0" applyNumberFormat="1" applyFont="1" applyFill="1" applyBorder="1" applyAlignment="1">
      <alignment horizontal="center" vertical="center"/>
    </xf>
    <xf numFmtId="2" fontId="49" fillId="3" borderId="30" xfId="464" applyNumberFormat="1" applyFont="1" applyFill="1" applyBorder="1" applyAlignment="1">
      <alignment horizontal="right" vertical="center"/>
    </xf>
    <xf numFmtId="0" fontId="49" fillId="44" borderId="35" xfId="0" applyFont="1" applyFill="1" applyBorder="1" applyAlignment="1">
      <alignment horizontal="center" vertical="center"/>
    </xf>
    <xf numFmtId="2" fontId="52" fillId="44" borderId="26" xfId="0" applyNumberFormat="1" applyFont="1" applyFill="1" applyBorder="1" applyAlignment="1">
      <alignment horizontal="center" vertical="center"/>
    </xf>
    <xf numFmtId="2" fontId="49" fillId="44" borderId="26" xfId="0" applyNumberFormat="1" applyFont="1" applyFill="1" applyBorder="1" applyAlignment="1">
      <alignment horizontal="center" vertical="center"/>
    </xf>
    <xf numFmtId="2" fontId="49" fillId="44" borderId="27" xfId="464" applyNumberFormat="1" applyFont="1" applyFill="1" applyBorder="1" applyAlignment="1">
      <alignment horizontal="right" vertical="center"/>
    </xf>
    <xf numFmtId="2" fontId="75" fillId="3" borderId="84" xfId="0" applyNumberFormat="1" applyFont="1" applyFill="1" applyBorder="1" applyAlignment="1">
      <alignment horizontal="right" vertical="center"/>
    </xf>
    <xf numFmtId="2" fontId="79" fillId="3" borderId="84" xfId="0" applyNumberFormat="1" applyFont="1" applyFill="1" applyBorder="1" applyAlignment="1">
      <alignment horizontal="right" vertical="center"/>
    </xf>
    <xf numFmtId="0" fontId="58" fillId="3" borderId="70" xfId="0" applyFont="1" applyFill="1" applyBorder="1" applyAlignment="1">
      <alignment horizontal="center" vertical="center"/>
    </xf>
    <xf numFmtId="2" fontId="59" fillId="3" borderId="30" xfId="464" applyNumberFormat="1" applyFont="1" applyFill="1" applyBorder="1" applyAlignment="1">
      <alignment horizontal="right" vertical="center"/>
    </xf>
    <xf numFmtId="0" fontId="58" fillId="3" borderId="0" xfId="0" applyFont="1" applyFill="1" applyBorder="1" applyAlignment="1">
      <alignment horizontal="center" vertical="center"/>
    </xf>
    <xf numFmtId="2" fontId="58" fillId="3" borderId="0" xfId="0" applyNumberFormat="1" applyFont="1" applyFill="1" applyBorder="1" applyAlignment="1">
      <alignment horizontal="center" vertical="center"/>
    </xf>
    <xf numFmtId="2" fontId="59" fillId="3" borderId="0" xfId="464" applyNumberFormat="1" applyFont="1" applyFill="1" applyBorder="1" applyAlignment="1">
      <alignment horizontal="right" vertical="center"/>
    </xf>
    <xf numFmtId="171" fontId="58" fillId="3" borderId="0" xfId="0" applyNumberFormat="1" applyFont="1" applyFill="1" applyBorder="1" applyAlignment="1">
      <alignment horizontal="right" vertical="center"/>
    </xf>
    <xf numFmtId="171" fontId="50" fillId="3" borderId="0" xfId="0" applyNumberFormat="1" applyFont="1" applyFill="1" applyBorder="1" applyAlignment="1">
      <alignment horizontal="right" vertical="center"/>
    </xf>
    <xf numFmtId="171" fontId="63" fillId="3" borderId="0" xfId="0" applyNumberFormat="1" applyFont="1" applyFill="1" applyBorder="1" applyAlignment="1">
      <alignment horizontal="right" vertical="center"/>
    </xf>
    <xf numFmtId="0" fontId="0" fillId="0" borderId="0" xfId="0" applyBorder="1" applyAlignment="1"/>
    <xf numFmtId="2" fontId="0" fillId="0" borderId="0" xfId="0" applyNumberFormat="1" applyBorder="1" applyAlignment="1"/>
    <xf numFmtId="171" fontId="36" fillId="0" borderId="0" xfId="0" applyNumberFormat="1" applyFont="1" applyBorder="1" applyAlignment="1"/>
    <xf numFmtId="171" fontId="3" fillId="0" borderId="0" xfId="0" applyNumberFormat="1" applyFont="1" applyBorder="1" applyAlignment="1"/>
    <xf numFmtId="171" fontId="4" fillId="0" borderId="0" xfId="0" applyNumberFormat="1" applyFont="1" applyBorder="1" applyAlignment="1"/>
    <xf numFmtId="0" fontId="0" fillId="3" borderId="0" xfId="0" applyFont="1" applyFill="1" applyBorder="1" applyAlignment="1"/>
    <xf numFmtId="2" fontId="0" fillId="0" borderId="0" xfId="0" applyNumberFormat="1" applyAlignment="1"/>
    <xf numFmtId="0" fontId="0" fillId="3" borderId="0" xfId="0" applyFont="1" applyFill="1" applyAlignment="1"/>
    <xf numFmtId="0" fontId="62" fillId="0" borderId="2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171" fontId="62" fillId="0" borderId="24" xfId="0" applyNumberFormat="1" applyFont="1" applyBorder="1" applyAlignment="1">
      <alignment horizontal="center" vertical="center" wrapText="1"/>
    </xf>
    <xf numFmtId="171" fontId="2" fillId="0" borderId="31" xfId="0" applyNumberFormat="1" applyFont="1" applyBorder="1" applyAlignment="1">
      <alignment horizontal="center" vertical="center" wrapText="1"/>
    </xf>
    <xf numFmtId="0" fontId="61" fillId="0" borderId="43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0" fillId="3" borderId="72" xfId="0" applyFont="1" applyFill="1" applyBorder="1" applyAlignment="1">
      <alignment horizontal="center" vertical="center" wrapText="1"/>
    </xf>
    <xf numFmtId="0" fontId="70" fillId="3" borderId="73" xfId="0" applyFont="1" applyFill="1" applyBorder="1" applyAlignment="1">
      <alignment horizontal="center" vertical="center" wrapText="1"/>
    </xf>
    <xf numFmtId="0" fontId="62" fillId="0" borderId="3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1" fontId="62" fillId="0" borderId="34" xfId="0" applyNumberFormat="1" applyFont="1" applyBorder="1" applyAlignment="1">
      <alignment horizontal="center" vertical="center" wrapText="1"/>
    </xf>
    <xf numFmtId="171" fontId="2" fillId="0" borderId="6" xfId="0" applyNumberFormat="1" applyFont="1" applyBorder="1" applyAlignment="1">
      <alignment horizontal="center" vertical="center" wrapText="1"/>
    </xf>
    <xf numFmtId="0" fontId="61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70" fillId="2" borderId="75" xfId="0" applyFont="1" applyFill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171" fontId="2" fillId="0" borderId="74" xfId="0" applyNumberFormat="1" applyFont="1" applyBorder="1" applyAlignment="1">
      <alignment horizontal="center" vertical="center" wrapText="1"/>
    </xf>
    <xf numFmtId="171" fontId="2" fillId="0" borderId="76" xfId="0" applyNumberFormat="1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49" fillId="3" borderId="43" xfId="0" applyFont="1" applyFill="1" applyBorder="1" applyAlignment="1">
      <alignment horizontal="center" vertical="center" wrapText="1"/>
    </xf>
    <xf numFmtId="0" fontId="49" fillId="3" borderId="67" xfId="0" applyFont="1" applyFill="1" applyBorder="1" applyAlignment="1">
      <alignment horizontal="center" vertical="center" wrapText="1"/>
    </xf>
    <xf numFmtId="0" fontId="49" fillId="3" borderId="68" xfId="0" applyFont="1" applyFill="1" applyBorder="1" applyAlignment="1">
      <alignment horizontal="center" vertical="center" wrapText="1"/>
    </xf>
    <xf numFmtId="0" fontId="49" fillId="3" borderId="69" xfId="0" applyFont="1" applyFill="1" applyBorder="1" applyAlignment="1">
      <alignment horizontal="center" vertical="center" wrapText="1"/>
    </xf>
    <xf numFmtId="0" fontId="49" fillId="3" borderId="4" xfId="0" applyFont="1" applyFill="1" applyBorder="1" applyAlignment="1">
      <alignment horizontal="center" vertical="center" wrapText="1"/>
    </xf>
    <xf numFmtId="0" fontId="70" fillId="2" borderId="74" xfId="0" applyFont="1" applyFill="1" applyBorder="1" applyAlignment="1">
      <alignment horizontal="left" vertical="center"/>
    </xf>
    <xf numFmtId="0" fontId="79" fillId="3" borderId="110" xfId="0" applyFont="1" applyFill="1" applyBorder="1" applyAlignment="1">
      <alignment horizontal="center" vertical="center"/>
    </xf>
    <xf numFmtId="4" fontId="74" fillId="3" borderId="94" xfId="0" applyNumberFormat="1" applyFont="1" applyFill="1" applyBorder="1" applyAlignment="1">
      <alignment horizontal="center" vertical="center" wrapText="1"/>
    </xf>
    <xf numFmtId="2" fontId="78" fillId="0" borderId="83" xfId="0" applyNumberFormat="1" applyFont="1" applyFill="1" applyBorder="1" applyAlignment="1">
      <alignment horizontal="center" vertical="center"/>
    </xf>
    <xf numFmtId="0" fontId="78" fillId="0" borderId="105" xfId="0" applyFont="1" applyBorder="1" applyAlignment="1">
      <alignment vertical="center" wrapText="1"/>
    </xf>
    <xf numFmtId="0" fontId="74" fillId="0" borderId="95" xfId="0" applyFont="1" applyFill="1" applyBorder="1" applyAlignment="1">
      <alignment horizontal="center" vertical="center"/>
    </xf>
    <xf numFmtId="0" fontId="74" fillId="3" borderId="95" xfId="0" applyFont="1" applyFill="1" applyBorder="1" applyAlignment="1">
      <alignment horizontal="center" vertical="center"/>
    </xf>
    <xf numFmtId="2" fontId="52" fillId="3" borderId="111" xfId="0" applyNumberFormat="1" applyFont="1" applyFill="1" applyBorder="1" applyAlignment="1">
      <alignment horizontal="center" vertical="center"/>
    </xf>
    <xf numFmtId="2" fontId="49" fillId="3" borderId="112" xfId="464" applyNumberFormat="1" applyFont="1" applyFill="1" applyBorder="1" applyAlignment="1">
      <alignment horizontal="right" vertical="center"/>
    </xf>
    <xf numFmtId="2" fontId="52" fillId="44" borderId="95" xfId="0" applyNumberFormat="1" applyFont="1" applyFill="1" applyBorder="1" applyAlignment="1">
      <alignment horizontal="center" vertical="center" wrapText="1"/>
    </xf>
    <xf numFmtId="0" fontId="74" fillId="3" borderId="3" xfId="0" applyFont="1" applyFill="1" applyBorder="1" applyAlignment="1">
      <alignment vertical="center"/>
    </xf>
    <xf numFmtId="171" fontId="74" fillId="3" borderId="96" xfId="464" applyNumberFormat="1" applyFont="1" applyFill="1" applyBorder="1" applyAlignment="1">
      <alignment horizontal="right" vertical="center"/>
    </xf>
    <xf numFmtId="171" fontId="74" fillId="3" borderId="96" xfId="464" applyNumberFormat="1" applyFont="1" applyFill="1" applyBorder="1" applyAlignment="1">
      <alignment horizontal="right" vertical="center" wrapText="1"/>
    </xf>
    <xf numFmtId="0" fontId="0" fillId="2" borderId="0" xfId="0" applyFill="1" applyBorder="1" applyAlignment="1">
      <alignment wrapText="1"/>
    </xf>
    <xf numFmtId="2" fontId="94" fillId="2" borderId="0" xfId="0" applyNumberFormat="1" applyFont="1" applyFill="1" applyBorder="1" applyAlignment="1">
      <alignment wrapText="1"/>
    </xf>
    <xf numFmtId="2" fontId="2" fillId="2" borderId="0" xfId="0" applyNumberFormat="1" applyFont="1" applyFill="1" applyBorder="1" applyAlignment="1">
      <alignment wrapText="1"/>
    </xf>
    <xf numFmtId="0" fontId="98" fillId="3" borderId="95" xfId="0" applyFont="1" applyFill="1" applyBorder="1" applyAlignment="1">
      <alignment horizontal="center" vertical="center"/>
    </xf>
    <xf numFmtId="0" fontId="49" fillId="3" borderId="95" xfId="0" applyFont="1" applyFill="1" applyBorder="1" applyAlignment="1">
      <alignment horizontal="center" vertical="center"/>
    </xf>
    <xf numFmtId="0" fontId="49" fillId="3" borderId="29" xfId="0" applyFont="1" applyFill="1" applyBorder="1" applyAlignment="1">
      <alignment horizontal="center" vertical="center"/>
    </xf>
    <xf numFmtId="4" fontId="78" fillId="0" borderId="95" xfId="0" applyNumberFormat="1" applyFont="1" applyFill="1" applyBorder="1" applyAlignment="1">
      <alignment horizontal="center" vertical="center"/>
    </xf>
    <xf numFmtId="0" fontId="49" fillId="3" borderId="48" xfId="0" applyFont="1" applyFill="1" applyBorder="1" applyAlignment="1">
      <alignment horizontal="center" vertical="center"/>
    </xf>
    <xf numFmtId="2" fontId="62" fillId="0" borderId="95" xfId="0" applyNumberFormat="1" applyFont="1" applyFill="1" applyBorder="1" applyAlignment="1">
      <alignment horizontal="center" vertical="center"/>
    </xf>
    <xf numFmtId="177" fontId="62" fillId="0" borderId="95" xfId="0" applyNumberFormat="1" applyFont="1" applyFill="1" applyBorder="1" applyAlignment="1">
      <alignment horizontal="center" vertical="center"/>
    </xf>
    <xf numFmtId="2" fontId="49" fillId="44" borderId="95" xfId="0" applyNumberFormat="1" applyFont="1" applyFill="1" applyBorder="1" applyAlignment="1">
      <alignment horizontal="right" vertical="center"/>
    </xf>
    <xf numFmtId="2" fontId="99" fillId="3" borderId="95" xfId="0" applyNumberFormat="1" applyFont="1" applyFill="1" applyBorder="1" applyAlignment="1">
      <alignment horizontal="right" vertical="center"/>
    </xf>
    <xf numFmtId="0" fontId="49" fillId="3" borderId="95" xfId="0" applyFont="1" applyFill="1" applyBorder="1" applyAlignment="1">
      <alignment horizontal="right" vertical="center"/>
    </xf>
    <xf numFmtId="2" fontId="79" fillId="3" borderId="95" xfId="0" applyNumberFormat="1" applyFont="1" applyFill="1" applyBorder="1" applyAlignment="1">
      <alignment horizontal="right" vertical="center"/>
    </xf>
    <xf numFmtId="0" fontId="49" fillId="3" borderId="29" xfId="0" applyFont="1" applyFill="1" applyBorder="1" applyAlignment="1">
      <alignment horizontal="right" vertical="center"/>
    </xf>
    <xf numFmtId="0" fontId="49" fillId="3" borderId="49" xfId="0" applyFont="1" applyFill="1" applyBorder="1" applyAlignment="1">
      <alignment horizontal="right" vertical="center"/>
    </xf>
    <xf numFmtId="0" fontId="2" fillId="3" borderId="49" xfId="0" applyFont="1" applyFill="1" applyBorder="1" applyAlignment="1">
      <alignment horizontal="right" vertical="center"/>
    </xf>
    <xf numFmtId="0" fontId="2" fillId="3" borderId="29" xfId="0" applyFont="1" applyFill="1" applyBorder="1" applyAlignment="1">
      <alignment horizontal="right" vertical="center"/>
    </xf>
    <xf numFmtId="0" fontId="2" fillId="3" borderId="30" xfId="0" applyFont="1" applyFill="1" applyBorder="1" applyAlignment="1">
      <alignment horizontal="right" vertical="center"/>
    </xf>
    <xf numFmtId="171" fontId="62" fillId="44" borderId="96" xfId="0" applyNumberFormat="1" applyFont="1" applyFill="1" applyBorder="1" applyAlignment="1">
      <alignment horizontal="right" vertical="center"/>
    </xf>
    <xf numFmtId="171" fontId="36" fillId="44" borderId="101" xfId="0" applyNumberFormat="1" applyFont="1" applyFill="1" applyBorder="1" applyAlignment="1">
      <alignment horizontal="right" vertical="center"/>
    </xf>
    <xf numFmtId="171" fontId="36" fillId="0" borderId="96" xfId="0" applyNumberFormat="1" applyFont="1" applyBorder="1" applyAlignment="1">
      <alignment horizontal="right" vertical="center"/>
    </xf>
    <xf numFmtId="171" fontId="2" fillId="0" borderId="101" xfId="0" applyNumberFormat="1" applyFont="1" applyBorder="1" applyAlignment="1">
      <alignment horizontal="right" vertical="center"/>
    </xf>
    <xf numFmtId="171" fontId="62" fillId="44" borderId="32" xfId="0" applyNumberFormat="1" applyFont="1" applyFill="1" applyBorder="1" applyAlignment="1">
      <alignment horizontal="right" vertical="center"/>
    </xf>
    <xf numFmtId="171" fontId="2" fillId="44" borderId="28" xfId="0" applyNumberFormat="1" applyFont="1" applyFill="1" applyBorder="1" applyAlignment="1">
      <alignment horizontal="right" vertical="center"/>
    </xf>
    <xf numFmtId="171" fontId="76" fillId="0" borderId="32" xfId="0" applyNumberFormat="1" applyFont="1" applyBorder="1" applyAlignment="1">
      <alignment horizontal="right" vertical="center"/>
    </xf>
    <xf numFmtId="171" fontId="76" fillId="0" borderId="28" xfId="0" applyNumberFormat="1" applyFont="1" applyBorder="1" applyAlignment="1">
      <alignment horizontal="right" vertical="center"/>
    </xf>
    <xf numFmtId="171" fontId="80" fillId="0" borderId="32" xfId="0" applyNumberFormat="1" applyFont="1" applyBorder="1" applyAlignment="1">
      <alignment horizontal="right" vertical="center"/>
    </xf>
    <xf numFmtId="171" fontId="80" fillId="0" borderId="28" xfId="0" applyNumberFormat="1" applyFont="1" applyBorder="1" applyAlignment="1">
      <alignment horizontal="right" vertical="center"/>
    </xf>
    <xf numFmtId="171" fontId="2" fillId="0" borderId="28" xfId="0" applyNumberFormat="1" applyFont="1" applyBorder="1" applyAlignment="1">
      <alignment horizontal="right" vertical="center"/>
    </xf>
    <xf numFmtId="171" fontId="62" fillId="44" borderId="34" xfId="0" applyNumberFormat="1" applyFont="1" applyFill="1" applyBorder="1" applyAlignment="1">
      <alignment horizontal="right" vertical="center"/>
    </xf>
    <xf numFmtId="171" fontId="36" fillId="44" borderId="84" xfId="0" applyNumberFormat="1" applyFont="1" applyFill="1" applyBorder="1" applyAlignment="1">
      <alignment horizontal="right" vertical="center"/>
    </xf>
    <xf numFmtId="171" fontId="80" fillId="3" borderId="96" xfId="0" applyNumberFormat="1" applyFont="1" applyFill="1" applyBorder="1" applyAlignment="1">
      <alignment horizontal="right" vertical="center"/>
    </xf>
    <xf numFmtId="171" fontId="80" fillId="3" borderId="84" xfId="0" applyNumberFormat="1" applyFont="1" applyFill="1" applyBorder="1" applyAlignment="1">
      <alignment horizontal="right" vertical="center"/>
    </xf>
    <xf numFmtId="171" fontId="76" fillId="3" borderId="96" xfId="0" applyNumberFormat="1" applyFont="1" applyFill="1" applyBorder="1" applyAlignment="1">
      <alignment horizontal="right" vertical="center"/>
    </xf>
    <xf numFmtId="171" fontId="76" fillId="3" borderId="101" xfId="0" applyNumberFormat="1" applyFont="1" applyFill="1" applyBorder="1" applyAlignment="1">
      <alignment horizontal="right" vertical="center"/>
    </xf>
    <xf numFmtId="171" fontId="36" fillId="3" borderId="96" xfId="0" applyNumberFormat="1" applyFont="1" applyFill="1" applyBorder="1" applyAlignment="1">
      <alignment horizontal="right" vertical="center"/>
    </xf>
    <xf numFmtId="171" fontId="2" fillId="3" borderId="101" xfId="0" applyNumberFormat="1" applyFont="1" applyFill="1" applyBorder="1" applyAlignment="1">
      <alignment horizontal="right" vertical="center"/>
    </xf>
    <xf numFmtId="171" fontId="76" fillId="3" borderId="84" xfId="0" applyNumberFormat="1" applyFont="1" applyFill="1" applyBorder="1" applyAlignment="1">
      <alignment horizontal="right" vertical="center"/>
    </xf>
    <xf numFmtId="171" fontId="62" fillId="44" borderId="8" xfId="0" applyNumberFormat="1" applyFont="1" applyFill="1" applyBorder="1" applyAlignment="1">
      <alignment horizontal="right" vertical="center"/>
    </xf>
    <xf numFmtId="171" fontId="36" fillId="44" borderId="62" xfId="0" applyNumberFormat="1" applyFont="1" applyFill="1" applyBorder="1" applyAlignment="1">
      <alignment horizontal="right" vertical="center"/>
    </xf>
    <xf numFmtId="171" fontId="76" fillId="0" borderId="77" xfId="0" applyNumberFormat="1" applyFont="1" applyBorder="1" applyAlignment="1">
      <alignment horizontal="right" vertical="center"/>
    </xf>
    <xf numFmtId="171" fontId="92" fillId="0" borderId="77" xfId="0" applyNumberFormat="1" applyFont="1" applyBorder="1" applyAlignment="1">
      <alignment horizontal="right" vertical="center"/>
    </xf>
    <xf numFmtId="171" fontId="2" fillId="0" borderId="53" xfId="0" applyNumberFormat="1" applyFont="1" applyBorder="1" applyAlignment="1">
      <alignment horizontal="right" vertical="center"/>
    </xf>
    <xf numFmtId="171" fontId="76" fillId="0" borderId="53" xfId="0" applyNumberFormat="1" applyFont="1" applyBorder="1" applyAlignment="1">
      <alignment horizontal="right" vertical="center"/>
    </xf>
    <xf numFmtId="171" fontId="36" fillId="0" borderId="77" xfId="0" applyNumberFormat="1" applyFont="1" applyBorder="1" applyAlignment="1">
      <alignment horizontal="right" vertical="center"/>
    </xf>
    <xf numFmtId="171" fontId="62" fillId="44" borderId="77" xfId="0" applyNumberFormat="1" applyFont="1" applyFill="1" applyBorder="1" applyAlignment="1">
      <alignment horizontal="right" vertical="center"/>
    </xf>
    <xf numFmtId="171" fontId="36" fillId="44" borderId="53" xfId="0" applyNumberFormat="1" applyFont="1" applyFill="1" applyBorder="1" applyAlignment="1">
      <alignment horizontal="right" vertical="center"/>
    </xf>
    <xf numFmtId="171" fontId="80" fillId="0" borderId="77" xfId="0" applyNumberFormat="1" applyFont="1" applyBorder="1" applyAlignment="1">
      <alignment horizontal="right" vertical="center"/>
    </xf>
    <xf numFmtId="171" fontId="80" fillId="0" borderId="53" xfId="0" applyNumberFormat="1" applyFont="1" applyBorder="1" applyAlignment="1">
      <alignment horizontal="right" vertical="center"/>
    </xf>
    <xf numFmtId="171" fontId="80" fillId="3" borderId="77" xfId="0" applyNumberFormat="1" applyFont="1" applyFill="1" applyBorder="1" applyAlignment="1">
      <alignment horizontal="right" vertical="center"/>
    </xf>
    <xf numFmtId="171" fontId="80" fillId="3" borderId="53" xfId="0" applyNumberFormat="1" applyFont="1" applyFill="1" applyBorder="1" applyAlignment="1">
      <alignment horizontal="right" vertical="center"/>
    </xf>
    <xf numFmtId="171" fontId="36" fillId="0" borderId="86" xfId="0" applyNumberFormat="1" applyFont="1" applyBorder="1" applyAlignment="1">
      <alignment horizontal="right" vertical="center"/>
    </xf>
    <xf numFmtId="171" fontId="2" fillId="0" borderId="61" xfId="0" applyNumberFormat="1" applyFont="1" applyBorder="1" applyAlignment="1">
      <alignment horizontal="right" vertical="center"/>
    </xf>
    <xf numFmtId="171" fontId="62" fillId="0" borderId="94" xfId="0" applyNumberFormat="1" applyFont="1" applyFill="1" applyBorder="1" applyAlignment="1">
      <alignment horizontal="right" vertical="center"/>
    </xf>
    <xf numFmtId="171" fontId="36" fillId="0" borderId="91" xfId="0" applyNumberFormat="1" applyFont="1" applyFill="1" applyBorder="1" applyAlignment="1">
      <alignment horizontal="right" vertical="center"/>
    </xf>
    <xf numFmtId="171" fontId="80" fillId="3" borderId="101" xfId="0" applyNumberFormat="1" applyFont="1" applyFill="1" applyBorder="1" applyAlignment="1">
      <alignment horizontal="right" vertical="center"/>
    </xf>
    <xf numFmtId="171" fontId="78" fillId="3" borderId="80" xfId="0" applyNumberFormat="1" applyFont="1" applyFill="1" applyBorder="1" applyAlignment="1">
      <alignment horizontal="right" vertical="center"/>
    </xf>
    <xf numFmtId="171" fontId="76" fillId="3" borderId="86" xfId="0" applyNumberFormat="1" applyFont="1" applyFill="1" applyBorder="1" applyAlignment="1">
      <alignment horizontal="right" vertical="center"/>
    </xf>
    <xf numFmtId="171" fontId="76" fillId="3" borderId="61" xfId="0" applyNumberFormat="1" applyFont="1" applyFill="1" applyBorder="1" applyAlignment="1">
      <alignment horizontal="right" vertical="center"/>
    </xf>
    <xf numFmtId="171" fontId="78" fillId="2" borderId="80" xfId="0" applyNumberFormat="1" applyFont="1" applyFill="1" applyBorder="1" applyAlignment="1">
      <alignment horizontal="right" vertical="center"/>
    </xf>
    <xf numFmtId="171" fontId="76" fillId="3" borderId="113" xfId="0" applyNumberFormat="1" applyFont="1" applyFill="1" applyBorder="1" applyAlignment="1">
      <alignment horizontal="right" vertical="center"/>
    </xf>
    <xf numFmtId="171" fontId="76" fillId="3" borderId="114" xfId="0" applyNumberFormat="1" applyFont="1" applyFill="1" applyBorder="1" applyAlignment="1">
      <alignment horizontal="right" vertical="center"/>
    </xf>
    <xf numFmtId="171" fontId="62" fillId="44" borderId="59" xfId="0" applyNumberFormat="1" applyFont="1" applyFill="1" applyBorder="1" applyAlignment="1">
      <alignment horizontal="right" vertical="center"/>
    </xf>
    <xf numFmtId="171" fontId="36" fillId="44" borderId="79" xfId="0" applyNumberFormat="1" applyFont="1" applyFill="1" applyBorder="1" applyAlignment="1">
      <alignment horizontal="right" vertical="center"/>
    </xf>
    <xf numFmtId="171" fontId="2" fillId="3" borderId="52" xfId="0" applyNumberFormat="1" applyFont="1" applyFill="1" applyBorder="1" applyAlignment="1">
      <alignment horizontal="right" vertical="center"/>
    </xf>
    <xf numFmtId="171" fontId="2" fillId="3" borderId="61" xfId="0" applyNumberFormat="1" applyFont="1" applyFill="1" applyBorder="1" applyAlignment="1">
      <alignment horizontal="right" vertical="center"/>
    </xf>
    <xf numFmtId="171" fontId="80" fillId="0" borderId="94" xfId="0" applyNumberFormat="1" applyFont="1" applyBorder="1" applyAlignment="1">
      <alignment horizontal="right" vertical="center"/>
    </xf>
    <xf numFmtId="171" fontId="80" fillId="0" borderId="91" xfId="0" applyNumberFormat="1" applyFont="1" applyBorder="1" applyAlignment="1">
      <alignment horizontal="right" vertical="center"/>
    </xf>
    <xf numFmtId="171" fontId="76" fillId="0" borderId="94" xfId="0" applyNumberFormat="1" applyFont="1" applyBorder="1" applyAlignment="1">
      <alignment horizontal="right" vertical="center"/>
    </xf>
    <xf numFmtId="171" fontId="76" fillId="0" borderId="91" xfId="0" applyNumberFormat="1" applyFont="1" applyBorder="1" applyAlignment="1">
      <alignment horizontal="right" vertical="center"/>
    </xf>
    <xf numFmtId="171" fontId="36" fillId="0" borderId="75" xfId="0" applyNumberFormat="1" applyFont="1" applyBorder="1" applyAlignment="1">
      <alignment horizontal="right" vertical="center"/>
    </xf>
    <xf numFmtId="171" fontId="2" fillId="0" borderId="81" xfId="0" applyNumberFormat="1" applyFont="1" applyBorder="1" applyAlignment="1">
      <alignment horizontal="right" vertical="center"/>
    </xf>
    <xf numFmtId="171" fontId="76" fillId="3" borderId="98" xfId="0" applyNumberFormat="1" applyFont="1" applyFill="1" applyBorder="1" applyAlignment="1">
      <alignment horizontal="right" vertical="center"/>
    </xf>
    <xf numFmtId="171" fontId="76" fillId="3" borderId="100" xfId="0" applyNumberFormat="1" applyFont="1" applyFill="1" applyBorder="1" applyAlignment="1">
      <alignment horizontal="right" vertical="center"/>
    </xf>
    <xf numFmtId="171" fontId="36" fillId="44" borderId="88" xfId="0" applyNumberFormat="1" applyFont="1" applyFill="1" applyBorder="1" applyAlignment="1">
      <alignment horizontal="right" vertical="center"/>
    </xf>
    <xf numFmtId="171" fontId="76" fillId="0" borderId="89" xfId="0" applyNumberFormat="1" applyFont="1" applyBorder="1" applyAlignment="1">
      <alignment horizontal="right" vertical="center"/>
    </xf>
    <xf numFmtId="171" fontId="80" fillId="0" borderId="89" xfId="0" applyNumberFormat="1" applyFont="1" applyBorder="1" applyAlignment="1">
      <alignment horizontal="right" vertical="center"/>
    </xf>
    <xf numFmtId="171" fontId="80" fillId="3" borderId="89" xfId="0" applyNumberFormat="1" applyFont="1" applyFill="1" applyBorder="1" applyAlignment="1">
      <alignment horizontal="right" vertical="center"/>
    </xf>
    <xf numFmtId="171" fontId="80" fillId="3" borderId="87" xfId="0" applyNumberFormat="1" applyFont="1" applyFill="1" applyBorder="1" applyAlignment="1">
      <alignment horizontal="right" vertical="center"/>
    </xf>
    <xf numFmtId="171" fontId="2" fillId="0" borderId="90" xfId="0" applyNumberFormat="1" applyFont="1" applyBorder="1" applyAlignment="1">
      <alignment horizontal="right" vertical="center"/>
    </xf>
    <xf numFmtId="171" fontId="76" fillId="0" borderId="96" xfId="0" applyNumberFormat="1" applyFont="1" applyBorder="1" applyAlignment="1">
      <alignment horizontal="right" vertical="center"/>
    </xf>
    <xf numFmtId="171" fontId="76" fillId="0" borderId="101" xfId="0" applyNumberFormat="1" applyFont="1" applyBorder="1" applyAlignment="1">
      <alignment horizontal="right" vertical="center"/>
    </xf>
    <xf numFmtId="171" fontId="74" fillId="3" borderId="32" xfId="464" applyNumberFormat="1" applyFont="1" applyFill="1" applyBorder="1" applyAlignment="1">
      <alignment horizontal="right" vertical="center"/>
    </xf>
    <xf numFmtId="171" fontId="36" fillId="0" borderId="32" xfId="0" applyNumberFormat="1" applyFont="1" applyBorder="1" applyAlignment="1">
      <alignment horizontal="right" vertical="center"/>
    </xf>
    <xf numFmtId="171" fontId="36" fillId="44" borderId="6" xfId="0" applyNumberFormat="1" applyFont="1" applyFill="1" applyBorder="1" applyAlignment="1">
      <alignment horizontal="right" vertical="center"/>
    </xf>
    <xf numFmtId="171" fontId="74" fillId="3" borderId="82" xfId="464" applyNumberFormat="1" applyFont="1" applyFill="1" applyBorder="1" applyAlignment="1">
      <alignment horizontal="right" vertical="center"/>
    </xf>
    <xf numFmtId="171" fontId="36" fillId="3" borderId="77" xfId="0" applyNumberFormat="1" applyFont="1" applyFill="1" applyBorder="1" applyAlignment="1">
      <alignment horizontal="right" vertical="center"/>
    </xf>
    <xf numFmtId="171" fontId="36" fillId="3" borderId="86" xfId="0" applyNumberFormat="1" applyFont="1" applyFill="1" applyBorder="1" applyAlignment="1">
      <alignment horizontal="right" vertical="center"/>
    </xf>
    <xf numFmtId="171" fontId="73" fillId="44" borderId="101" xfId="0" applyNumberFormat="1" applyFont="1" applyFill="1" applyBorder="1" applyAlignment="1">
      <alignment horizontal="right" vertical="center"/>
    </xf>
    <xf numFmtId="171" fontId="77" fillId="0" borderId="104" xfId="0" applyNumberFormat="1" applyFont="1" applyBorder="1" applyAlignment="1">
      <alignment horizontal="right" vertical="center"/>
    </xf>
    <xf numFmtId="171" fontId="73" fillId="44" borderId="39" xfId="0" applyNumberFormat="1" applyFont="1" applyFill="1" applyBorder="1" applyAlignment="1">
      <alignment horizontal="right" vertical="center"/>
    </xf>
    <xf numFmtId="171" fontId="77" fillId="0" borderId="39" xfId="0" applyNumberFormat="1" applyFont="1" applyBorder="1" applyAlignment="1">
      <alignment horizontal="right" vertical="center"/>
    </xf>
    <xf numFmtId="171" fontId="81" fillId="0" borderId="39" xfId="0" applyNumberFormat="1" applyFont="1" applyBorder="1" applyAlignment="1">
      <alignment horizontal="right" vertical="center"/>
    </xf>
    <xf numFmtId="171" fontId="73" fillId="44" borderId="104" xfId="0" applyNumberFormat="1" applyFont="1" applyFill="1" applyBorder="1" applyAlignment="1">
      <alignment horizontal="right" vertical="center"/>
    </xf>
    <xf numFmtId="171" fontId="81" fillId="3" borderId="101" xfId="0" applyNumberFormat="1" applyFont="1" applyFill="1" applyBorder="1" applyAlignment="1">
      <alignment horizontal="right" vertical="center"/>
    </xf>
    <xf numFmtId="171" fontId="79" fillId="3" borderId="91" xfId="0" applyNumberFormat="1" applyFont="1" applyFill="1" applyBorder="1" applyAlignment="1">
      <alignment horizontal="right" vertical="center"/>
    </xf>
    <xf numFmtId="171" fontId="62" fillId="3" borderId="96" xfId="0" applyNumberFormat="1" applyFont="1" applyFill="1" applyBorder="1" applyAlignment="1">
      <alignment horizontal="right" vertical="center"/>
    </xf>
    <xf numFmtId="171" fontId="73" fillId="3" borderId="39" xfId="0" applyNumberFormat="1" applyFont="1" applyFill="1" applyBorder="1" applyAlignment="1">
      <alignment horizontal="right" vertical="center"/>
    </xf>
    <xf numFmtId="171" fontId="78" fillId="0" borderId="94" xfId="464" applyNumberFormat="1" applyFont="1" applyFill="1" applyBorder="1" applyAlignment="1">
      <alignment horizontal="right" vertical="center"/>
    </xf>
    <xf numFmtId="171" fontId="80" fillId="0" borderId="96" xfId="0" applyNumberFormat="1" applyFont="1" applyBorder="1" applyAlignment="1">
      <alignment horizontal="right" vertical="center"/>
    </xf>
    <xf numFmtId="171" fontId="80" fillId="0" borderId="84" xfId="0" applyNumberFormat="1" applyFont="1" applyBorder="1" applyAlignment="1">
      <alignment horizontal="right" vertical="center"/>
    </xf>
    <xf numFmtId="171" fontId="62" fillId="3" borderId="94" xfId="0" applyNumberFormat="1" applyFont="1" applyFill="1" applyBorder="1" applyAlignment="1">
      <alignment horizontal="right" vertical="center"/>
    </xf>
    <xf numFmtId="171" fontId="61" fillId="3" borderId="91" xfId="0" applyNumberFormat="1" applyFont="1" applyFill="1" applyBorder="1" applyAlignment="1">
      <alignment horizontal="right" vertical="center"/>
    </xf>
    <xf numFmtId="171" fontId="2" fillId="0" borderId="84" xfId="0" applyNumberFormat="1" applyFont="1" applyBorder="1" applyAlignment="1">
      <alignment horizontal="right" vertical="center"/>
    </xf>
    <xf numFmtId="171" fontId="77" fillId="3" borderId="101" xfId="0" applyNumberFormat="1" applyFont="1" applyFill="1" applyBorder="1" applyAlignment="1">
      <alignment horizontal="right" vertical="center"/>
    </xf>
    <xf numFmtId="171" fontId="36" fillId="44" borderId="96" xfId="0" applyNumberFormat="1" applyFont="1" applyFill="1" applyBorder="1" applyAlignment="1">
      <alignment horizontal="right" vertical="center"/>
    </xf>
    <xf numFmtId="171" fontId="73" fillId="44" borderId="84" xfId="0" applyNumberFormat="1" applyFont="1" applyFill="1" applyBorder="1" applyAlignment="1">
      <alignment horizontal="right" vertical="center"/>
    </xf>
    <xf numFmtId="171" fontId="62" fillId="44" borderId="39" xfId="0" applyNumberFormat="1" applyFont="1" applyFill="1" applyBorder="1" applyAlignment="1">
      <alignment horizontal="right" vertical="center"/>
    </xf>
    <xf numFmtId="171" fontId="99" fillId="3" borderId="91" xfId="0" applyNumberFormat="1" applyFont="1" applyFill="1" applyBorder="1" applyAlignment="1">
      <alignment horizontal="right" vertical="center"/>
    </xf>
    <xf numFmtId="171" fontId="77" fillId="3" borderId="84" xfId="0" applyNumberFormat="1" applyFont="1" applyFill="1" applyBorder="1" applyAlignment="1">
      <alignment horizontal="right" vertical="center"/>
    </xf>
    <xf numFmtId="171" fontId="62" fillId="0" borderId="39" xfId="0" applyNumberFormat="1" applyFont="1" applyBorder="1" applyAlignment="1">
      <alignment horizontal="right" vertical="center"/>
    </xf>
    <xf numFmtId="171" fontId="81" fillId="3" borderId="84" xfId="0" applyNumberFormat="1" applyFont="1" applyFill="1" applyBorder="1" applyAlignment="1">
      <alignment horizontal="right" vertical="center"/>
    </xf>
    <xf numFmtId="171" fontId="50" fillId="3" borderId="95" xfId="0" applyNumberFormat="1" applyFont="1" applyFill="1" applyBorder="1" applyAlignment="1">
      <alignment horizontal="right" vertical="center"/>
    </xf>
    <xf numFmtId="171" fontId="2" fillId="3" borderId="95" xfId="0" applyNumberFormat="1" applyFont="1" applyFill="1" applyBorder="1" applyAlignment="1">
      <alignment horizontal="right" vertical="center"/>
    </xf>
    <xf numFmtId="171" fontId="49" fillId="3" borderId="29" xfId="0" applyNumberFormat="1" applyFont="1" applyFill="1" applyBorder="1" applyAlignment="1">
      <alignment horizontal="right" vertical="center"/>
    </xf>
    <xf numFmtId="171" fontId="73" fillId="0" borderId="46" xfId="0" applyNumberFormat="1" applyFont="1" applyBorder="1" applyAlignment="1">
      <alignment horizontal="right" vertical="center"/>
    </xf>
    <xf numFmtId="171" fontId="73" fillId="44" borderId="3" xfId="0" applyNumberFormat="1" applyFont="1" applyFill="1" applyBorder="1" applyAlignment="1">
      <alignment horizontal="right" vertical="center"/>
    </xf>
    <xf numFmtId="171" fontId="49" fillId="3" borderId="53" xfId="0" applyNumberFormat="1" applyFont="1" applyFill="1" applyBorder="1" applyAlignment="1">
      <alignment horizontal="right" vertical="center"/>
    </xf>
    <xf numFmtId="171" fontId="73" fillId="0" borderId="39" xfId="0" applyNumberFormat="1" applyFont="1" applyBorder="1" applyAlignment="1">
      <alignment horizontal="right" vertical="center"/>
    </xf>
    <xf numFmtId="171" fontId="49" fillId="3" borderId="91" xfId="0" applyNumberFormat="1" applyFont="1" applyFill="1" applyBorder="1" applyAlignment="1">
      <alignment horizontal="right" vertical="center"/>
    </xf>
    <xf numFmtId="171" fontId="49" fillId="3" borderId="77" xfId="0" applyNumberFormat="1" applyFont="1" applyFill="1" applyBorder="1" applyAlignment="1">
      <alignment horizontal="right" vertical="center"/>
    </xf>
    <xf numFmtId="171" fontId="49" fillId="3" borderId="94" xfId="0" applyNumberFormat="1" applyFont="1" applyFill="1" applyBorder="1" applyAlignment="1">
      <alignment horizontal="right" vertical="center"/>
    </xf>
    <xf numFmtId="171" fontId="53" fillId="44" borderId="94" xfId="0" applyNumberFormat="1" applyFont="1" applyFill="1" applyBorder="1" applyAlignment="1">
      <alignment horizontal="right" vertical="center"/>
    </xf>
    <xf numFmtId="171" fontId="50" fillId="44" borderId="91" xfId="0" applyNumberFormat="1" applyFont="1" applyFill="1" applyBorder="1" applyAlignment="1">
      <alignment horizontal="right" vertical="center"/>
    </xf>
    <xf numFmtId="171" fontId="76" fillId="0" borderId="84" xfId="0" applyNumberFormat="1" applyFont="1" applyBorder="1" applyAlignment="1">
      <alignment horizontal="right" vertical="center"/>
    </xf>
    <xf numFmtId="171" fontId="53" fillId="3" borderId="94" xfId="0" applyNumberFormat="1" applyFont="1" applyFill="1" applyBorder="1" applyAlignment="1">
      <alignment horizontal="right" vertical="center"/>
    </xf>
    <xf numFmtId="171" fontId="50" fillId="3" borderId="91" xfId="0" applyNumberFormat="1" applyFont="1" applyFill="1" applyBorder="1" applyAlignment="1">
      <alignment horizontal="right" vertical="center"/>
    </xf>
    <xf numFmtId="171" fontId="81" fillId="3" borderId="39" xfId="0" applyNumberFormat="1" applyFont="1" applyFill="1" applyBorder="1" applyAlignment="1">
      <alignment horizontal="right" vertical="center"/>
    </xf>
    <xf numFmtId="171" fontId="73" fillId="0" borderId="39" xfId="0" applyNumberFormat="1" applyFont="1" applyFill="1" applyBorder="1" applyAlignment="1">
      <alignment horizontal="right" vertical="center"/>
    </xf>
    <xf numFmtId="171" fontId="77" fillId="3" borderId="78" xfId="0" applyNumberFormat="1" applyFont="1" applyFill="1" applyBorder="1" applyAlignment="1">
      <alignment horizontal="right" vertical="center"/>
    </xf>
    <xf numFmtId="171" fontId="77" fillId="3" borderId="110" xfId="0" applyNumberFormat="1" applyFont="1" applyFill="1" applyBorder="1" applyAlignment="1">
      <alignment horizontal="right" vertical="center"/>
    </xf>
    <xf numFmtId="171" fontId="49" fillId="3" borderId="49" xfId="0" applyNumberFormat="1" applyFont="1" applyFill="1" applyBorder="1" applyAlignment="1">
      <alignment horizontal="right" vertical="center"/>
    </xf>
    <xf numFmtId="171" fontId="49" fillId="3" borderId="48" xfId="0" applyNumberFormat="1" applyFont="1" applyFill="1" applyBorder="1" applyAlignment="1">
      <alignment horizontal="right" vertical="center"/>
    </xf>
    <xf numFmtId="171" fontId="49" fillId="3" borderId="4" xfId="0" applyNumberFormat="1" applyFont="1" applyFill="1" applyBorder="1" applyAlignment="1">
      <alignment horizontal="right" vertical="center"/>
    </xf>
    <xf numFmtId="171" fontId="73" fillId="44" borderId="38" xfId="0" applyNumberFormat="1" applyFont="1" applyFill="1" applyBorder="1" applyAlignment="1">
      <alignment horizontal="right" vertical="center"/>
    </xf>
    <xf numFmtId="171" fontId="2" fillId="3" borderId="69" xfId="0" applyNumberFormat="1" applyFont="1" applyFill="1" applyBorder="1" applyAlignment="1">
      <alignment horizontal="right" vertical="center"/>
    </xf>
    <xf numFmtId="171" fontId="2" fillId="3" borderId="68" xfId="0" applyNumberFormat="1" applyFont="1" applyFill="1" applyBorder="1" applyAlignment="1">
      <alignment horizontal="right" vertical="center"/>
    </xf>
    <xf numFmtId="171" fontId="2" fillId="3" borderId="43" xfId="0" applyNumberFormat="1" applyFont="1" applyFill="1" applyBorder="1" applyAlignment="1">
      <alignment horizontal="right" vertical="center"/>
    </xf>
    <xf numFmtId="171" fontId="2" fillId="44" borderId="27" xfId="0" applyNumberFormat="1" applyFont="1" applyFill="1" applyBorder="1" applyAlignment="1">
      <alignment horizontal="right" vertical="center"/>
    </xf>
    <xf numFmtId="171" fontId="2" fillId="44" borderId="79" xfId="0" applyNumberFormat="1" applyFont="1" applyFill="1" applyBorder="1" applyAlignment="1">
      <alignment horizontal="right" vertical="center"/>
    </xf>
    <xf numFmtId="171" fontId="2" fillId="44" borderId="38" xfId="0" applyNumberFormat="1" applyFont="1" applyFill="1" applyBorder="1" applyAlignment="1">
      <alignment horizontal="right" vertical="center"/>
    </xf>
    <xf numFmtId="171" fontId="2" fillId="3" borderId="77" xfId="0" applyNumberFormat="1" applyFont="1" applyFill="1" applyBorder="1" applyAlignment="1">
      <alignment horizontal="right" vertical="center"/>
    </xf>
    <xf numFmtId="171" fontId="2" fillId="3" borderId="53" xfId="0" applyNumberFormat="1" applyFont="1" applyFill="1" applyBorder="1" applyAlignment="1">
      <alignment horizontal="right" vertical="center"/>
    </xf>
    <xf numFmtId="171" fontId="2" fillId="3" borderId="39" xfId="0" applyNumberFormat="1" applyFont="1" applyFill="1" applyBorder="1" applyAlignment="1">
      <alignment horizontal="right" vertical="center"/>
    </xf>
    <xf numFmtId="171" fontId="2" fillId="3" borderId="94" xfId="0" applyNumberFormat="1" applyFont="1" applyFill="1" applyBorder="1" applyAlignment="1">
      <alignment horizontal="right" vertical="center"/>
    </xf>
    <xf numFmtId="171" fontId="2" fillId="3" borderId="91" xfId="0" applyNumberFormat="1" applyFont="1" applyFill="1" applyBorder="1" applyAlignment="1">
      <alignment horizontal="right" vertical="center"/>
    </xf>
    <xf numFmtId="171" fontId="2" fillId="3" borderId="86" xfId="0" applyNumberFormat="1" applyFont="1" applyFill="1" applyBorder="1" applyAlignment="1">
      <alignment horizontal="right" vertical="center"/>
    </xf>
    <xf numFmtId="171" fontId="2" fillId="3" borderId="49" xfId="0" applyNumberFormat="1" applyFont="1" applyFill="1" applyBorder="1" applyAlignment="1">
      <alignment horizontal="right" vertical="center"/>
    </xf>
    <xf numFmtId="171" fontId="2" fillId="3" borderId="48" xfId="0" applyNumberFormat="1" applyFont="1" applyFill="1" applyBorder="1" applyAlignment="1">
      <alignment horizontal="right" vertical="center"/>
    </xf>
    <xf numFmtId="171" fontId="2" fillId="3" borderId="4" xfId="0" applyNumberFormat="1" applyFont="1" applyFill="1" applyBorder="1" applyAlignment="1">
      <alignment horizontal="right" vertical="center"/>
    </xf>
    <xf numFmtId="171" fontId="77" fillId="3" borderId="97" xfId="0" applyNumberFormat="1" applyFont="1" applyFill="1" applyBorder="1" applyAlignment="1">
      <alignment horizontal="right" vertical="center"/>
    </xf>
    <xf numFmtId="171" fontId="81" fillId="3" borderId="78" xfId="0" applyNumberFormat="1" applyFont="1" applyFill="1" applyBorder="1" applyAlignment="1">
      <alignment horizontal="right" vertical="center"/>
    </xf>
    <xf numFmtId="0" fontId="74" fillId="0" borderId="39" xfId="0" applyFont="1" applyFill="1" applyBorder="1" applyAlignment="1">
      <alignment vertical="center" wrapText="1"/>
    </xf>
    <xf numFmtId="171" fontId="74" fillId="0" borderId="82" xfId="0" applyNumberFormat="1" applyFont="1" applyFill="1" applyBorder="1" applyAlignment="1">
      <alignment horizontal="right" vertical="center"/>
    </xf>
    <xf numFmtId="0" fontId="74" fillId="0" borderId="39" xfId="0" applyFont="1" applyFill="1" applyBorder="1" applyAlignment="1">
      <alignment horizontal="center" vertical="center"/>
    </xf>
    <xf numFmtId="0" fontId="74" fillId="0" borderId="3" xfId="0" applyFont="1" applyFill="1" applyBorder="1" applyAlignment="1">
      <alignment horizontal="center" vertical="center"/>
    </xf>
    <xf numFmtId="0" fontId="75" fillId="0" borderId="39" xfId="0" applyFont="1" applyFill="1" applyBorder="1" applyAlignment="1">
      <alignment horizontal="center" vertical="center"/>
    </xf>
    <xf numFmtId="0" fontId="49" fillId="0" borderId="53" xfId="0" applyFont="1" applyFill="1" applyBorder="1" applyAlignment="1">
      <alignment vertical="center"/>
    </xf>
    <xf numFmtId="0" fontId="75" fillId="0" borderId="85" xfId="0" applyFont="1" applyFill="1" applyBorder="1" applyAlignment="1">
      <alignment horizontal="center" vertical="center"/>
    </xf>
    <xf numFmtId="0" fontId="74" fillId="0" borderId="39" xfId="0" applyFont="1" applyFill="1" applyBorder="1" applyAlignment="1">
      <alignment horizontal="left" vertical="center" wrapText="1"/>
    </xf>
    <xf numFmtId="0" fontId="78" fillId="3" borderId="110" xfId="0" applyFont="1" applyFill="1" applyBorder="1" applyAlignment="1">
      <alignment vertical="center" wrapText="1" shrinkToFit="1"/>
    </xf>
    <xf numFmtId="0" fontId="78" fillId="3" borderId="115" xfId="0" applyFont="1" applyFill="1" applyBorder="1" applyAlignment="1">
      <alignment horizontal="center" vertical="center"/>
    </xf>
    <xf numFmtId="2" fontId="78" fillId="3" borderId="116" xfId="0" applyNumberFormat="1" applyFont="1" applyFill="1" applyBorder="1" applyAlignment="1">
      <alignment horizontal="center" vertical="center"/>
    </xf>
    <xf numFmtId="171" fontId="76" fillId="3" borderId="115" xfId="0" applyNumberFormat="1" applyFont="1" applyFill="1" applyBorder="1" applyAlignment="1">
      <alignment horizontal="right" vertical="center"/>
    </xf>
    <xf numFmtId="171" fontId="76" fillId="3" borderId="117" xfId="0" applyNumberFormat="1" applyFont="1" applyFill="1" applyBorder="1" applyAlignment="1">
      <alignment horizontal="right" vertical="center"/>
    </xf>
    <xf numFmtId="0" fontId="74" fillId="3" borderId="118" xfId="0" applyFont="1" applyFill="1" applyBorder="1" applyAlignment="1">
      <alignment horizontal="center" vertical="center"/>
    </xf>
    <xf numFmtId="0" fontId="55" fillId="44" borderId="105" xfId="0" applyFont="1" applyFill="1" applyBorder="1" applyAlignment="1">
      <alignment vertical="center" wrapText="1"/>
    </xf>
    <xf numFmtId="0" fontId="2" fillId="44" borderId="96" xfId="0" applyFont="1" applyFill="1" applyBorder="1" applyAlignment="1">
      <alignment horizontal="center" vertical="center" wrapText="1"/>
    </xf>
    <xf numFmtId="0" fontId="55" fillId="44" borderId="95" xfId="0" applyFont="1" applyFill="1" applyBorder="1" applyAlignment="1">
      <alignment vertical="center" wrapText="1"/>
    </xf>
    <xf numFmtId="0" fontId="62" fillId="0" borderId="39" xfId="0" applyFont="1" applyFill="1" applyBorder="1" applyAlignment="1">
      <alignment wrapText="1"/>
    </xf>
    <xf numFmtId="0" fontId="98" fillId="0" borderId="105" xfId="0" applyFont="1" applyBorder="1" applyAlignment="1">
      <alignment vertical="center" wrapText="1"/>
    </xf>
    <xf numFmtId="0" fontId="98" fillId="3" borderId="96" xfId="0" applyFont="1" applyFill="1" applyBorder="1" applyAlignment="1">
      <alignment horizontal="center" vertical="center" wrapText="1"/>
    </xf>
    <xf numFmtId="2" fontId="98" fillId="3" borderId="95" xfId="0" applyNumberFormat="1" applyFont="1" applyFill="1" applyBorder="1" applyAlignment="1">
      <alignment horizontal="center" vertical="center" wrapText="1"/>
    </xf>
    <xf numFmtId="0" fontId="98" fillId="3" borderId="105" xfId="0" applyFont="1" applyFill="1" applyBorder="1" applyAlignment="1" applyProtection="1">
      <alignment horizontal="left" vertical="center" wrapText="1"/>
      <protection locked="0"/>
    </xf>
    <xf numFmtId="0" fontId="55" fillId="3" borderId="105" xfId="0" applyFont="1" applyFill="1" applyBorder="1" applyAlignment="1" applyProtection="1">
      <alignment horizontal="right" vertical="center" wrapText="1"/>
      <protection locked="0"/>
    </xf>
    <xf numFmtId="0" fontId="62" fillId="0" borderId="96" xfId="0" applyFont="1" applyFill="1" applyBorder="1" applyAlignment="1">
      <alignment horizontal="center" vertical="center" wrapText="1"/>
    </xf>
    <xf numFmtId="177" fontId="62" fillId="0" borderId="95" xfId="0" applyNumberFormat="1" applyFont="1" applyFill="1" applyBorder="1" applyAlignment="1">
      <alignment wrapText="1"/>
    </xf>
    <xf numFmtId="2" fontId="62" fillId="0" borderId="95" xfId="0" applyNumberFormat="1" applyFont="1" applyFill="1" applyBorder="1" applyAlignment="1">
      <alignment horizontal="right" vertical="center" wrapText="1"/>
    </xf>
    <xf numFmtId="2" fontId="99" fillId="0" borderId="84" xfId="0" applyNumberFormat="1" applyFont="1" applyFill="1" applyBorder="1" applyAlignment="1">
      <alignment horizontal="right" vertical="center" wrapText="1"/>
    </xf>
    <xf numFmtId="171" fontId="62" fillId="2" borderId="96" xfId="0" applyNumberFormat="1" applyFont="1" applyFill="1" applyBorder="1" applyAlignment="1">
      <alignment horizontal="right" vertical="center" wrapText="1"/>
    </xf>
    <xf numFmtId="171" fontId="55" fillId="44" borderId="84" xfId="0" applyNumberFormat="1" applyFont="1" applyFill="1" applyBorder="1" applyAlignment="1">
      <alignment horizontal="right" vertical="center" wrapText="1"/>
    </xf>
    <xf numFmtId="171" fontId="62" fillId="44" borderId="39" xfId="0" applyNumberFormat="1" applyFont="1" applyFill="1" applyBorder="1" applyAlignment="1">
      <alignment horizontal="right" vertical="center" wrapText="1"/>
    </xf>
    <xf numFmtId="171" fontId="99" fillId="3" borderId="91" xfId="0" applyNumberFormat="1" applyFont="1" applyFill="1" applyBorder="1" applyAlignment="1">
      <alignment horizontal="right" vertical="center" wrapText="1"/>
    </xf>
    <xf numFmtId="171" fontId="62" fillId="0" borderId="96" xfId="0" applyNumberFormat="1" applyFont="1" applyFill="1" applyBorder="1" applyAlignment="1">
      <alignment horizontal="right" vertical="center" wrapText="1"/>
    </xf>
    <xf numFmtId="171" fontId="62" fillId="0" borderId="84" xfId="0" applyNumberFormat="1" applyFont="1" applyFill="1" applyBorder="1" applyAlignment="1">
      <alignment horizontal="right" vertical="center" wrapText="1"/>
    </xf>
    <xf numFmtId="171" fontId="62" fillId="0" borderId="39" xfId="0" applyNumberFormat="1" applyFont="1" applyFill="1" applyBorder="1" applyAlignment="1">
      <alignment horizontal="right" vertical="center" wrapText="1"/>
    </xf>
    <xf numFmtId="171" fontId="62" fillId="0" borderId="94" xfId="0" applyNumberFormat="1" applyFont="1" applyFill="1" applyBorder="1" applyAlignment="1">
      <alignment horizontal="right" vertical="center" wrapText="1"/>
    </xf>
    <xf numFmtId="171" fontId="2" fillId="0" borderId="91" xfId="0" applyNumberFormat="1" applyFont="1" applyFill="1" applyBorder="1" applyAlignment="1">
      <alignment horizontal="right" vertical="center" wrapText="1"/>
    </xf>
    <xf numFmtId="171" fontId="2" fillId="0" borderId="84" xfId="0" applyNumberFormat="1" applyFont="1" applyFill="1" applyBorder="1" applyAlignment="1">
      <alignment horizontal="right" vertical="center" wrapText="1"/>
    </xf>
    <xf numFmtId="171" fontId="61" fillId="0" borderId="39" xfId="0" applyNumberFormat="1" applyFont="1" applyFill="1" applyBorder="1" applyAlignment="1">
      <alignment horizontal="right" vertical="center" wrapText="1"/>
    </xf>
    <xf numFmtId="171" fontId="53" fillId="3" borderId="96" xfId="464" applyNumberFormat="1" applyFont="1" applyFill="1" applyBorder="1" applyAlignment="1">
      <alignment horizontal="right" vertical="center"/>
    </xf>
    <xf numFmtId="171" fontId="53" fillId="44" borderId="96" xfId="0" applyNumberFormat="1" applyFont="1" applyFill="1" applyBorder="1" applyAlignment="1">
      <alignment horizontal="right" vertical="center"/>
    </xf>
    <xf numFmtId="171" fontId="78" fillId="3" borderId="96" xfId="464" applyNumberFormat="1" applyFont="1" applyFill="1" applyBorder="1" applyAlignment="1">
      <alignment horizontal="right" vertical="center"/>
    </xf>
    <xf numFmtId="171" fontId="102" fillId="3" borderId="96" xfId="464" applyNumberFormat="1" applyFont="1" applyFill="1" applyBorder="1" applyAlignment="1">
      <alignment horizontal="right" vertical="center"/>
    </xf>
    <xf numFmtId="171" fontId="62" fillId="3" borderId="96" xfId="464" applyNumberFormat="1" applyFont="1" applyFill="1" applyBorder="1" applyAlignment="1">
      <alignment horizontal="right" vertical="center"/>
    </xf>
    <xf numFmtId="171" fontId="104" fillId="44" borderId="94" xfId="0" applyNumberFormat="1" applyFont="1" applyFill="1" applyBorder="1" applyAlignment="1">
      <alignment horizontal="right" vertical="center"/>
    </xf>
    <xf numFmtId="171" fontId="78" fillId="3" borderId="94" xfId="0" applyNumberFormat="1" applyFont="1" applyFill="1" applyBorder="1" applyAlignment="1">
      <alignment horizontal="right" vertical="center"/>
    </xf>
    <xf numFmtId="171" fontId="53" fillId="3" borderId="95" xfId="0" applyNumberFormat="1" applyFont="1" applyFill="1" applyBorder="1" applyAlignment="1">
      <alignment horizontal="right" vertical="center"/>
    </xf>
    <xf numFmtId="171" fontId="53" fillId="3" borderId="29" xfId="0" applyNumberFormat="1" applyFont="1" applyFill="1" applyBorder="1" applyAlignment="1">
      <alignment horizontal="right" vertical="center"/>
    </xf>
    <xf numFmtId="171" fontId="62" fillId="44" borderId="94" xfId="0" applyNumberFormat="1" applyFont="1" applyFill="1" applyBorder="1" applyAlignment="1">
      <alignment horizontal="right" vertical="center" wrapText="1"/>
    </xf>
    <xf numFmtId="171" fontId="98" fillId="0" borderId="94" xfId="0" applyNumberFormat="1" applyFont="1" applyFill="1" applyBorder="1" applyAlignment="1">
      <alignment horizontal="right" vertical="center" wrapText="1"/>
    </xf>
    <xf numFmtId="171" fontId="53" fillId="44" borderId="96" xfId="464" applyNumberFormat="1" applyFont="1" applyFill="1" applyBorder="1" applyAlignment="1">
      <alignment horizontal="right" vertical="center"/>
    </xf>
    <xf numFmtId="171" fontId="53" fillId="44" borderId="96" xfId="464" applyNumberFormat="1" applyFont="1" applyFill="1" applyBorder="1" applyAlignment="1">
      <alignment horizontal="right" vertical="center" wrapText="1"/>
    </xf>
    <xf numFmtId="171" fontId="53" fillId="3" borderId="96" xfId="464" applyNumberFormat="1" applyFont="1" applyFill="1" applyBorder="1" applyAlignment="1">
      <alignment horizontal="right" vertical="center" wrapText="1"/>
    </xf>
    <xf numFmtId="171" fontId="53" fillId="44" borderId="96" xfId="0" applyNumberFormat="1" applyFont="1" applyFill="1" applyBorder="1" applyAlignment="1">
      <alignment horizontal="right" vertical="center" wrapText="1"/>
    </xf>
    <xf numFmtId="171" fontId="78" fillId="3" borderId="96" xfId="464" applyNumberFormat="1" applyFont="1" applyFill="1" applyBorder="1" applyAlignment="1">
      <alignment horizontal="right" vertical="center" wrapText="1"/>
    </xf>
    <xf numFmtId="171" fontId="53" fillId="3" borderId="47" xfId="0" applyNumberFormat="1" applyFont="1" applyFill="1" applyBorder="1" applyAlignment="1">
      <alignment horizontal="right" vertical="center"/>
    </xf>
    <xf numFmtId="171" fontId="62" fillId="3" borderId="67" xfId="0" applyNumberFormat="1" applyFont="1" applyFill="1" applyBorder="1" applyAlignment="1">
      <alignment horizontal="right" vertical="center"/>
    </xf>
    <xf numFmtId="171" fontId="53" fillId="44" borderId="94" xfId="464" applyNumberFormat="1" applyFont="1" applyFill="1" applyBorder="1" applyAlignment="1">
      <alignment horizontal="right" vertical="center"/>
    </xf>
    <xf numFmtId="171" fontId="98" fillId="3" borderId="94" xfId="464" applyNumberFormat="1" applyFont="1" applyFill="1" applyBorder="1" applyAlignment="1">
      <alignment horizontal="right" vertical="center"/>
    </xf>
    <xf numFmtId="171" fontId="53" fillId="3" borderId="94" xfId="464" applyNumberFormat="1" applyFont="1" applyFill="1" applyBorder="1" applyAlignment="1">
      <alignment horizontal="right" vertical="center"/>
    </xf>
    <xf numFmtId="171" fontId="98" fillId="2" borderId="94" xfId="0" applyNumberFormat="1" applyFont="1" applyFill="1" applyBorder="1" applyAlignment="1">
      <alignment horizontal="right" vertical="center"/>
    </xf>
    <xf numFmtId="171" fontId="62" fillId="3" borderId="80" xfId="0" applyNumberFormat="1" applyFont="1" applyFill="1" applyBorder="1" applyAlignment="1">
      <alignment horizontal="right" vertical="center"/>
    </xf>
    <xf numFmtId="171" fontId="62" fillId="3" borderId="47" xfId="0" applyNumberFormat="1" applyFont="1" applyFill="1" applyBorder="1" applyAlignment="1">
      <alignment horizontal="right" vertical="center"/>
    </xf>
    <xf numFmtId="171" fontId="53" fillId="44" borderId="35" xfId="464" applyNumberFormat="1" applyFont="1" applyFill="1" applyBorder="1" applyAlignment="1">
      <alignment horizontal="right" vertical="center"/>
    </xf>
    <xf numFmtId="171" fontId="58" fillId="3" borderId="70" xfId="464" applyNumberFormat="1" applyFont="1" applyFill="1" applyBorder="1" applyAlignment="1">
      <alignment horizontal="right" vertical="center"/>
    </xf>
    <xf numFmtId="171" fontId="2" fillId="44" borderId="91" xfId="0" applyNumberFormat="1" applyFont="1" applyFill="1" applyBorder="1" applyAlignment="1">
      <alignment horizontal="right" vertical="center"/>
    </xf>
    <xf numFmtId="171" fontId="2" fillId="44" borderId="91" xfId="0" applyNumberFormat="1" applyFont="1" applyFill="1" applyBorder="1" applyAlignment="1">
      <alignment horizontal="right" vertical="center" wrapText="1"/>
    </xf>
    <xf numFmtId="0" fontId="55" fillId="44" borderId="39" xfId="0" applyFont="1" applyFill="1" applyBorder="1" applyAlignment="1">
      <alignment horizontal="center" vertical="center" wrapText="1"/>
    </xf>
    <xf numFmtId="171" fontId="78" fillId="3" borderId="96" xfId="0" applyNumberFormat="1" applyFont="1" applyFill="1" applyBorder="1" applyAlignment="1">
      <alignment horizontal="right" vertical="center"/>
    </xf>
    <xf numFmtId="0" fontId="105" fillId="3" borderId="0" xfId="0" applyFont="1" applyFill="1" applyAlignment="1"/>
    <xf numFmtId="0" fontId="105" fillId="3" borderId="0" xfId="0" applyFont="1" applyFill="1" applyAlignment="1">
      <alignment vertical="center"/>
    </xf>
    <xf numFmtId="0" fontId="90" fillId="3" borderId="0" xfId="0" applyFont="1" applyFill="1" applyAlignment="1">
      <alignment horizontal="left" vertical="center"/>
    </xf>
    <xf numFmtId="0" fontId="72" fillId="3" borderId="0" xfId="0" applyFont="1" applyFill="1" applyAlignment="1">
      <alignment horizontal="left"/>
    </xf>
    <xf numFmtId="0" fontId="66" fillId="3" borderId="0" xfId="0" applyFont="1" applyFill="1" applyAlignment="1">
      <alignment horizontal="center"/>
    </xf>
    <xf numFmtId="0" fontId="90" fillId="3" borderId="0" xfId="0" applyFont="1" applyFill="1" applyAlignment="1">
      <alignment horizontal="center"/>
    </xf>
    <xf numFmtId="0" fontId="65" fillId="3" borderId="45" xfId="0" applyFont="1" applyFill="1" applyBorder="1" applyAlignment="1">
      <alignment horizontal="center"/>
    </xf>
    <xf numFmtId="0" fontId="65" fillId="3" borderId="43" xfId="0" applyFont="1" applyFill="1" applyBorder="1" applyAlignment="1">
      <alignment horizontal="center" vertical="center" wrapText="1"/>
    </xf>
    <xf numFmtId="0" fontId="65" fillId="3" borderId="41" xfId="0" applyFont="1" applyFill="1" applyBorder="1" applyAlignment="1">
      <alignment horizontal="center" vertical="center" wrapText="1"/>
    </xf>
    <xf numFmtId="0" fontId="65" fillId="3" borderId="44" xfId="0" applyFont="1" applyFill="1" applyBorder="1" applyAlignment="1">
      <alignment horizontal="center" vertical="center" wrapText="1"/>
    </xf>
    <xf numFmtId="0" fontId="91" fillId="3" borderId="43" xfId="0" applyFont="1" applyFill="1" applyBorder="1" applyAlignment="1">
      <alignment horizontal="center" vertical="center" wrapText="1"/>
    </xf>
    <xf numFmtId="0" fontId="91" fillId="3" borderId="41" xfId="0" applyFont="1" applyFill="1" applyBorder="1" applyAlignment="1">
      <alignment horizontal="center" vertical="center" wrapText="1"/>
    </xf>
    <xf numFmtId="0" fontId="91" fillId="3" borderId="44" xfId="0" applyFont="1" applyFill="1" applyBorder="1" applyAlignment="1">
      <alignment horizontal="center" vertical="center" wrapText="1"/>
    </xf>
    <xf numFmtId="0" fontId="62" fillId="0" borderId="35" xfId="0" applyFont="1" applyBorder="1" applyAlignment="1">
      <alignment horizontal="center" vertical="center" wrapText="1"/>
    </xf>
    <xf numFmtId="0" fontId="62" fillId="0" borderId="3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171" fontId="2" fillId="0" borderId="27" xfId="0" applyNumberFormat="1" applyFont="1" applyBorder="1" applyAlignment="1">
      <alignment horizontal="center" vertical="center" wrapText="1"/>
    </xf>
    <xf numFmtId="171" fontId="2" fillId="0" borderId="28" xfId="0" applyNumberFormat="1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70" fillId="3" borderId="32" xfId="0" applyFont="1" applyFill="1" applyBorder="1" applyAlignment="1">
      <alignment horizontal="center" vertical="center" wrapText="1"/>
    </xf>
    <xf numFmtId="0" fontId="70" fillId="3" borderId="22" xfId="0" applyFont="1" applyFill="1" applyBorder="1" applyAlignment="1">
      <alignment horizontal="center" vertical="center" wrapText="1"/>
    </xf>
    <xf numFmtId="0" fontId="70" fillId="2" borderId="33" xfId="0" applyFont="1" applyFill="1" applyBorder="1" applyAlignment="1">
      <alignment horizontal="center" vertical="center" wrapText="1"/>
    </xf>
    <xf numFmtId="0" fontId="70" fillId="2" borderId="29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171" fontId="2" fillId="0" borderId="37" xfId="0" applyNumberFormat="1" applyFont="1" applyBorder="1" applyAlignment="1">
      <alignment horizontal="center" vertical="center"/>
    </xf>
    <xf numFmtId="171" fontId="2" fillId="0" borderId="36" xfId="0" applyNumberFormat="1" applyFont="1" applyBorder="1" applyAlignment="1">
      <alignment horizontal="center" vertical="center"/>
    </xf>
    <xf numFmtId="171" fontId="62" fillId="0" borderId="35" xfId="0" applyNumberFormat="1" applyFont="1" applyBorder="1" applyAlignment="1">
      <alignment horizontal="center" vertical="center" wrapText="1"/>
    </xf>
    <xf numFmtId="171" fontId="62" fillId="0" borderId="32" xfId="0" applyNumberFormat="1" applyFont="1" applyBorder="1" applyAlignment="1">
      <alignment horizontal="center" vertical="center" wrapText="1"/>
    </xf>
    <xf numFmtId="0" fontId="49" fillId="3" borderId="47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 wrapText="1"/>
    </xf>
    <xf numFmtId="0" fontId="49" fillId="3" borderId="49" xfId="0" applyFont="1" applyFill="1" applyBorder="1" applyAlignment="1">
      <alignment horizontal="center" vertical="center" wrapText="1"/>
    </xf>
    <xf numFmtId="0" fontId="49" fillId="3" borderId="42" xfId="0" applyFont="1" applyFill="1" applyBorder="1" applyAlignment="1">
      <alignment horizontal="center" vertical="center" wrapText="1"/>
    </xf>
    <xf numFmtId="0" fontId="49" fillId="3" borderId="45" xfId="0" applyFont="1" applyFill="1" applyBorder="1" applyAlignment="1">
      <alignment horizontal="center" vertical="center" wrapText="1"/>
    </xf>
    <xf numFmtId="0" fontId="49" fillId="3" borderId="46" xfId="0" applyFont="1" applyFill="1" applyBorder="1" applyAlignment="1">
      <alignment horizontal="center" vertical="center" wrapText="1"/>
    </xf>
    <xf numFmtId="0" fontId="2" fillId="3" borderId="68" xfId="0" applyFont="1" applyFill="1" applyBorder="1" applyAlignment="1">
      <alignment horizontal="center" vertical="center"/>
    </xf>
    <xf numFmtId="0" fontId="2" fillId="3" borderId="69" xfId="0" applyFont="1" applyFill="1" applyBorder="1" applyAlignment="1">
      <alignment horizontal="center" vertical="center"/>
    </xf>
    <xf numFmtId="0" fontId="88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71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86" fillId="3" borderId="0" xfId="0" applyFont="1" applyFill="1" applyBorder="1" applyAlignment="1">
      <alignment horizontal="left" vertical="center"/>
    </xf>
    <xf numFmtId="0" fontId="87" fillId="3" borderId="0" xfId="0" applyFont="1" applyFill="1" applyBorder="1" applyAlignment="1">
      <alignment horizontal="left" vertical="center"/>
    </xf>
    <xf numFmtId="0" fontId="63" fillId="3" borderId="0" xfId="0" applyFont="1" applyFill="1" applyBorder="1" applyAlignment="1">
      <alignment vertical="center"/>
    </xf>
    <xf numFmtId="0" fontId="82" fillId="3" borderId="0" xfId="0" applyFont="1" applyFill="1" applyBorder="1" applyAlignment="1">
      <alignment vertical="center"/>
    </xf>
  </cellXfs>
  <cellStyles count="468">
    <cellStyle name="0,0_x000d__x000a_NA_x000d__x000a_" xfId="1"/>
    <cellStyle name="0,0_x000d__x000a_NA_x000d__x000a_ 2" xfId="2"/>
    <cellStyle name="0,0_x000d__x000a_NA_x000d__x000a_ 3" xfId="3"/>
    <cellStyle name="0,0_x000d__x000a_NA_x000d__x000a_ 4" xfId="4"/>
    <cellStyle name="0,0_x000d__x000a_NA_x000d__x000a_ 5" xfId="5"/>
    <cellStyle name="0,0_x000d__x000a_NA_x000d__x000a_ 5 2" xfId="6"/>
    <cellStyle name="0,0_x000d__x000a_NA_x000d__x000a__Запрос на спеццены по оцинковке на Июль 2008" xfId="7"/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20% - Акцент1 2" xfId="14"/>
    <cellStyle name="20% - Акцент2 2" xfId="15"/>
    <cellStyle name="20% - Акцент3 2" xfId="16"/>
    <cellStyle name="20% - Акцент4 2" xfId="17"/>
    <cellStyle name="20% - Акцент5 2" xfId="18"/>
    <cellStyle name="20% - Акцент6 2" xfId="19"/>
    <cellStyle name="40% - Accent1" xfId="20"/>
    <cellStyle name="40% - Accent2" xfId="21"/>
    <cellStyle name="40% - Accent3" xfId="22"/>
    <cellStyle name="40% - Accent4" xfId="23"/>
    <cellStyle name="40% - Accent5" xfId="24"/>
    <cellStyle name="40% - Accent6" xfId="25"/>
    <cellStyle name="40% - Акцент1 2" xfId="26"/>
    <cellStyle name="40% - Акцент2 2" xfId="27"/>
    <cellStyle name="40% - Акцент3 2" xfId="28"/>
    <cellStyle name="40% - Акцент4 2" xfId="29"/>
    <cellStyle name="40% - Акцент5 2" xfId="30"/>
    <cellStyle name="40% - Акцент6 2" xfId="31"/>
    <cellStyle name="60% - Accent1" xfId="32"/>
    <cellStyle name="60% - Accent2" xfId="33"/>
    <cellStyle name="60% - Accent3" xfId="34"/>
    <cellStyle name="60% - Accent4" xfId="35"/>
    <cellStyle name="60% - Accent5" xfId="36"/>
    <cellStyle name="60% - Accent6" xfId="37"/>
    <cellStyle name="60% - Акцент1 2" xfId="38"/>
    <cellStyle name="60% - Акцент2 2" xfId="39"/>
    <cellStyle name="60% - Акцент3 2" xfId="40"/>
    <cellStyle name="60% - Акцент4 2" xfId="41"/>
    <cellStyle name="60% - Акцент5 2" xfId="42"/>
    <cellStyle name="60% - Акцент6 2" xfId="43"/>
    <cellStyle name="Accent1" xfId="44"/>
    <cellStyle name="Accent1 - 20%" xfId="45"/>
    <cellStyle name="Accent1 - 40%" xfId="46"/>
    <cellStyle name="Accent1 - 60%" xfId="47"/>
    <cellStyle name="Accent2" xfId="48"/>
    <cellStyle name="Accent2 - 20%" xfId="49"/>
    <cellStyle name="Accent2 - 40%" xfId="50"/>
    <cellStyle name="Accent2 - 60%" xfId="51"/>
    <cellStyle name="Accent3" xfId="52"/>
    <cellStyle name="Accent3 - 20%" xfId="53"/>
    <cellStyle name="Accent3 - 40%" xfId="54"/>
    <cellStyle name="Accent3 - 60%" xfId="55"/>
    <cellStyle name="Accent4" xfId="56"/>
    <cellStyle name="Accent4 - 20%" xfId="57"/>
    <cellStyle name="Accent4 - 40%" xfId="58"/>
    <cellStyle name="Accent4 - 60%" xfId="59"/>
    <cellStyle name="Accent5" xfId="60"/>
    <cellStyle name="Accent5 - 20%" xfId="61"/>
    <cellStyle name="Accent5 - 40%" xfId="62"/>
    <cellStyle name="Accent5 - 60%" xfId="63"/>
    <cellStyle name="Accent6" xfId="64"/>
    <cellStyle name="Accent6 - 20%" xfId="65"/>
    <cellStyle name="Accent6 - 40%" xfId="66"/>
    <cellStyle name="Accent6 - 60%" xfId="67"/>
    <cellStyle name="Bad" xfId="68"/>
    <cellStyle name="Calculation" xfId="69"/>
    <cellStyle name="Calculation 2" xfId="70"/>
    <cellStyle name="Calculation 3" xfId="71"/>
    <cellStyle name="Calculation 3 2" xfId="72"/>
    <cellStyle name="Check Cell" xfId="73"/>
    <cellStyle name="Currency_PRICE_UK" xfId="74"/>
    <cellStyle name="Emphasis 1" xfId="75"/>
    <cellStyle name="Emphasis 2" xfId="76"/>
    <cellStyle name="Emphasis 3" xfId="77"/>
    <cellStyle name="Euro" xfId="78"/>
    <cellStyle name="Euro 10" xfId="79"/>
    <cellStyle name="Euro 11" xfId="80"/>
    <cellStyle name="Euro 12" xfId="81"/>
    <cellStyle name="Euro 13" xfId="82"/>
    <cellStyle name="Euro 14" xfId="83"/>
    <cellStyle name="Euro 15" xfId="84"/>
    <cellStyle name="Euro 16" xfId="85"/>
    <cellStyle name="Euro 17" xfId="86"/>
    <cellStyle name="Euro 18" xfId="87"/>
    <cellStyle name="Euro 19" xfId="88"/>
    <cellStyle name="Euro 2" xfId="89"/>
    <cellStyle name="Euro 20" xfId="90"/>
    <cellStyle name="Euro 21" xfId="91"/>
    <cellStyle name="Euro 22" xfId="92"/>
    <cellStyle name="Euro 23" xfId="93"/>
    <cellStyle name="Euro 24" xfId="94"/>
    <cellStyle name="Euro 25" xfId="95"/>
    <cellStyle name="Euro 26" xfId="96"/>
    <cellStyle name="Euro 27" xfId="97"/>
    <cellStyle name="Euro 28" xfId="98"/>
    <cellStyle name="Euro 29" xfId="99"/>
    <cellStyle name="Euro 3" xfId="100"/>
    <cellStyle name="Euro 30" xfId="101"/>
    <cellStyle name="Euro 31" xfId="102"/>
    <cellStyle name="Euro 32" xfId="103"/>
    <cellStyle name="Euro 33" xfId="104"/>
    <cellStyle name="Euro 34" xfId="105"/>
    <cellStyle name="Euro 35" xfId="106"/>
    <cellStyle name="Euro 36" xfId="107"/>
    <cellStyle name="Euro 37" xfId="108"/>
    <cellStyle name="Euro 38" xfId="109"/>
    <cellStyle name="Euro 39" xfId="110"/>
    <cellStyle name="Euro 4" xfId="111"/>
    <cellStyle name="Euro 40" xfId="112"/>
    <cellStyle name="Euro 41" xfId="113"/>
    <cellStyle name="Euro 5" xfId="114"/>
    <cellStyle name="Euro 6" xfId="115"/>
    <cellStyle name="Euro 7" xfId="116"/>
    <cellStyle name="Euro 8" xfId="117"/>
    <cellStyle name="Euro 9" xfId="118"/>
    <cellStyle name="Excel Built-in Normal" xfId="119"/>
    <cellStyle name="Explanatory Text" xfId="120"/>
    <cellStyle name="Good" xfId="121"/>
    <cellStyle name="Heading 1" xfId="122"/>
    <cellStyle name="Heading 2" xfId="123"/>
    <cellStyle name="Heading 3" xfId="124"/>
    <cellStyle name="Heading 4" xfId="125"/>
    <cellStyle name="Input" xfId="126"/>
    <cellStyle name="Input 2" xfId="127"/>
    <cellStyle name="Input 3" xfId="128"/>
    <cellStyle name="Input 3 2" xfId="129"/>
    <cellStyle name="Linked Cell" xfId="130"/>
    <cellStyle name="Neutral" xfId="131"/>
    <cellStyle name="Normal 2" xfId="132"/>
    <cellStyle name="Note" xfId="133"/>
    <cellStyle name="Note 2" xfId="134"/>
    <cellStyle name="Note 2 2" xfId="135"/>
    <cellStyle name="Note 3" xfId="136"/>
    <cellStyle name="Note 3 2" xfId="137"/>
    <cellStyle name="Note 4" xfId="138"/>
    <cellStyle name="Note 4 2" xfId="139"/>
    <cellStyle name="Note 5" xfId="140"/>
    <cellStyle name="Output" xfId="141"/>
    <cellStyle name="Output 2" xfId="142"/>
    <cellStyle name="Output 2 2" xfId="143"/>
    <cellStyle name="Output 3" xfId="144"/>
    <cellStyle name="SAPBEXaggData" xfId="145"/>
    <cellStyle name="SAPBEXaggData 2" xfId="146"/>
    <cellStyle name="SAPBEXaggDataEmph" xfId="147"/>
    <cellStyle name="SAPBEXaggDataEmph 2" xfId="148"/>
    <cellStyle name="SAPBEXaggItem" xfId="149"/>
    <cellStyle name="SAPBEXaggItem 2" xfId="150"/>
    <cellStyle name="SAPBEXaggItemX" xfId="151"/>
    <cellStyle name="SAPBEXaggItemX 2" xfId="152"/>
    <cellStyle name="SAPBEXchaText" xfId="153"/>
    <cellStyle name="SAPBEXchaText 2" xfId="154"/>
    <cellStyle name="SAPBEXexcBad7" xfId="155"/>
    <cellStyle name="SAPBEXexcBad7 2" xfId="156"/>
    <cellStyle name="SAPBEXexcBad8" xfId="157"/>
    <cellStyle name="SAPBEXexcBad8 2" xfId="158"/>
    <cellStyle name="SAPBEXexcBad9" xfId="159"/>
    <cellStyle name="SAPBEXexcBad9 2" xfId="160"/>
    <cellStyle name="SAPBEXexcCritical4" xfId="161"/>
    <cellStyle name="SAPBEXexcCritical4 2" xfId="162"/>
    <cellStyle name="SAPBEXexcCritical5" xfId="163"/>
    <cellStyle name="SAPBEXexcCritical5 2" xfId="164"/>
    <cellStyle name="SAPBEXexcCritical6" xfId="165"/>
    <cellStyle name="SAPBEXexcCritical6 2" xfId="166"/>
    <cellStyle name="SAPBEXexcGood1" xfId="167"/>
    <cellStyle name="SAPBEXexcGood1 2" xfId="168"/>
    <cellStyle name="SAPBEXexcGood2" xfId="169"/>
    <cellStyle name="SAPBEXexcGood2 2" xfId="170"/>
    <cellStyle name="SAPBEXexcGood3" xfId="171"/>
    <cellStyle name="SAPBEXexcGood3 2" xfId="172"/>
    <cellStyle name="SAPBEXfilterDrill" xfId="173"/>
    <cellStyle name="SAPBEXfilterDrill 2" xfId="174"/>
    <cellStyle name="SAPBEXfilterItem" xfId="175"/>
    <cellStyle name="SAPBEXfilterItem 2" xfId="176"/>
    <cellStyle name="SAPBEXfilterText" xfId="177"/>
    <cellStyle name="SAPBEXfilterText 2" xfId="178"/>
    <cellStyle name="SAPBEXformats" xfId="179"/>
    <cellStyle name="SAPBEXformats 2" xfId="180"/>
    <cellStyle name="SAPBEXheaderItem" xfId="181"/>
    <cellStyle name="SAPBEXheaderItem 2" xfId="182"/>
    <cellStyle name="SAPBEXheaderText" xfId="183"/>
    <cellStyle name="SAPBEXheaderText 2" xfId="184"/>
    <cellStyle name="SAPBEXHLevel0" xfId="185"/>
    <cellStyle name="SAPBEXHLevel0 2" xfId="186"/>
    <cellStyle name="SAPBEXHLevel0X" xfId="187"/>
    <cellStyle name="SAPBEXHLevel0X 2" xfId="188"/>
    <cellStyle name="SAPBEXHLevel1" xfId="189"/>
    <cellStyle name="SAPBEXHLevel1 2" xfId="190"/>
    <cellStyle name="SAPBEXHLevel1X" xfId="191"/>
    <cellStyle name="SAPBEXHLevel1X 2" xfId="192"/>
    <cellStyle name="SAPBEXHLevel2" xfId="193"/>
    <cellStyle name="SAPBEXHLevel2 2" xfId="194"/>
    <cellStyle name="SAPBEXHLevel2X" xfId="195"/>
    <cellStyle name="SAPBEXHLevel2X 2" xfId="196"/>
    <cellStyle name="SAPBEXHLevel3" xfId="197"/>
    <cellStyle name="SAPBEXHLevel3 2" xfId="198"/>
    <cellStyle name="SAPBEXHLevel3X" xfId="199"/>
    <cellStyle name="SAPBEXHLevel3X 2" xfId="200"/>
    <cellStyle name="SAPBEXinputData" xfId="201"/>
    <cellStyle name="SAPBEXinputData 2" xfId="202"/>
    <cellStyle name="SAPBEXresData" xfId="203"/>
    <cellStyle name="SAPBEXresData 2" xfId="204"/>
    <cellStyle name="SAPBEXresDataEmph" xfId="205"/>
    <cellStyle name="SAPBEXresDataEmph 2" xfId="206"/>
    <cellStyle name="SAPBEXresItem" xfId="207"/>
    <cellStyle name="SAPBEXresItem 2" xfId="208"/>
    <cellStyle name="SAPBEXresItemX" xfId="209"/>
    <cellStyle name="SAPBEXresItemX 2" xfId="210"/>
    <cellStyle name="SAPBEXstdData" xfId="211"/>
    <cellStyle name="SAPBEXstdData 2" xfId="212"/>
    <cellStyle name="SAPBEXstdDataEmph" xfId="213"/>
    <cellStyle name="SAPBEXstdDataEmph 2" xfId="214"/>
    <cellStyle name="SAPBEXstdItem" xfId="215"/>
    <cellStyle name="SAPBEXstdItem 2" xfId="216"/>
    <cellStyle name="SAPBEXstdItem 2 2" xfId="217"/>
    <cellStyle name="SAPBEXstdItem 3" xfId="218"/>
    <cellStyle name="SAPBEXstdItemX" xfId="219"/>
    <cellStyle name="SAPBEXstdItemX 2" xfId="220"/>
    <cellStyle name="SAPBEXtitle" xfId="221"/>
    <cellStyle name="SAPBEXtitle 2" xfId="222"/>
    <cellStyle name="SAPBEXundefined" xfId="223"/>
    <cellStyle name="SAPBEXundefined 2" xfId="224"/>
    <cellStyle name="Sheet Title" xfId="225"/>
    <cellStyle name="Title" xfId="226"/>
    <cellStyle name="Total" xfId="227"/>
    <cellStyle name="Total 2" xfId="228"/>
    <cellStyle name="Total 2 2" xfId="229"/>
    <cellStyle name="Total 3" xfId="230"/>
    <cellStyle name="Warning Text" xfId="231"/>
    <cellStyle name="Акцент1 2" xfId="232"/>
    <cellStyle name="Акцент2 2" xfId="233"/>
    <cellStyle name="Акцент3 2" xfId="234"/>
    <cellStyle name="Акцент4 2" xfId="235"/>
    <cellStyle name="Акцент5 2" xfId="236"/>
    <cellStyle name="Акцент6 2" xfId="237"/>
    <cellStyle name="Ввод  2" xfId="238"/>
    <cellStyle name="Ввод  2 2" xfId="239"/>
    <cellStyle name="Ввод  2 3" xfId="240"/>
    <cellStyle name="Ввод  2 3 2" xfId="241"/>
    <cellStyle name="Вывод 2" xfId="242"/>
    <cellStyle name="Вывод 2 2" xfId="243"/>
    <cellStyle name="Вычисление 2" xfId="244"/>
    <cellStyle name="Вычисление 2 2" xfId="245"/>
    <cellStyle name="Вычисление 2 3" xfId="246"/>
    <cellStyle name="Вычисление 2 3 2" xfId="247"/>
    <cellStyle name="Гиперссылка 2" xfId="248"/>
    <cellStyle name="Гиперссылка 3" xfId="249"/>
    <cellStyle name="Денежный 2" xfId="250"/>
    <cellStyle name="Денежный 2 2" xfId="251"/>
    <cellStyle name="Денежный 2 2 2" xfId="252"/>
    <cellStyle name="Денежный 2 2 2 2" xfId="253"/>
    <cellStyle name="Денежный 3" xfId="254"/>
    <cellStyle name="Денежный 3 2" xfId="255"/>
    <cellStyle name="Денежный 4" xfId="256"/>
    <cellStyle name="Денежный 5" xfId="257"/>
    <cellStyle name="Денежный 5 2" xfId="258"/>
    <cellStyle name="Заголовок 1 2" xfId="259"/>
    <cellStyle name="Заголовок 2 2" xfId="260"/>
    <cellStyle name="Заголовок 3 2" xfId="261"/>
    <cellStyle name="Заголовок 4 2" xfId="262"/>
    <cellStyle name="Итог 2" xfId="263"/>
    <cellStyle name="Итог 2 2" xfId="264"/>
    <cellStyle name="Контрольная ячейка 2" xfId="265"/>
    <cellStyle name="Название 2" xfId="266"/>
    <cellStyle name="Нейтральный 2" xfId="267"/>
    <cellStyle name="Обычный" xfId="0" builtinId="0"/>
    <cellStyle name="Обычный 10" xfId="268"/>
    <cellStyle name="Обычный 11" xfId="269"/>
    <cellStyle name="Обычный 11 2" xfId="465"/>
    <cellStyle name="Обычный 12" xfId="270"/>
    <cellStyle name="Обычный 13" xfId="271"/>
    <cellStyle name="Обычный 14" xfId="272"/>
    <cellStyle name="Обычный 15" xfId="273"/>
    <cellStyle name="Обычный 16" xfId="274"/>
    <cellStyle name="Обычный 17" xfId="275"/>
    <cellStyle name="Обычный 17 2" xfId="276"/>
    <cellStyle name="Обычный 17 3" xfId="277"/>
    <cellStyle name="Обычный 17 3 2" xfId="278"/>
    <cellStyle name="Обычный 17 4" xfId="279"/>
    <cellStyle name="Обычный 18" xfId="280"/>
    <cellStyle name="Обычный 19" xfId="281"/>
    <cellStyle name="Обычный 2" xfId="282"/>
    <cellStyle name="Обычный 2 10" xfId="283"/>
    <cellStyle name="Обычный 2 11" xfId="284"/>
    <cellStyle name="Обычный 2 2" xfId="285"/>
    <cellStyle name="Обычный 2 2 2" xfId="286"/>
    <cellStyle name="Обычный 2 3" xfId="287"/>
    <cellStyle name="Обычный 2 3 2" xfId="288"/>
    <cellStyle name="Обычный 2 3 2 2" xfId="289"/>
    <cellStyle name="Обычный 2 3 2 2 2" xfId="290"/>
    <cellStyle name="Обычный 2 3 2 3" xfId="291"/>
    <cellStyle name="Обычный 2 3 3" xfId="292"/>
    <cellStyle name="Обычный 2 3 3 2" xfId="293"/>
    <cellStyle name="Обычный 2 3 3 2 2" xfId="294"/>
    <cellStyle name="Обычный 2 3 3 3" xfId="295"/>
    <cellStyle name="Обычный 2 3 4" xfId="296"/>
    <cellStyle name="Обычный 2 3 5" xfId="297"/>
    <cellStyle name="Обычный 2 3_!!Дорога объездная 10.12.2012" xfId="298"/>
    <cellStyle name="Обычный 2 4" xfId="299"/>
    <cellStyle name="Обычный 2 4 2" xfId="300"/>
    <cellStyle name="Обычный 2 4 2 2" xfId="301"/>
    <cellStyle name="Обычный 2 4 2 2 2" xfId="302"/>
    <cellStyle name="Обычный 2 4 2 2 2 2" xfId="303"/>
    <cellStyle name="Обычный 2 4 2 2 3" xfId="304"/>
    <cellStyle name="Обычный 2 4 3" xfId="305"/>
    <cellStyle name="Обычный 2 4 3 2" xfId="306"/>
    <cellStyle name="Обычный 2 4 3 2 2" xfId="307"/>
    <cellStyle name="Обычный 2 4 3 3" xfId="308"/>
    <cellStyle name="Обычный 2 4 4" xfId="309"/>
    <cellStyle name="Обычный 2 4_!!Дорога объездная 10.12.2012" xfId="310"/>
    <cellStyle name="Обычный 2 5" xfId="311"/>
    <cellStyle name="Обычный 2 5 2" xfId="312"/>
    <cellStyle name="Обычный 2 5 2 2" xfId="313"/>
    <cellStyle name="Обычный 2 5 2 2 2" xfId="314"/>
    <cellStyle name="Обычный 2 5 2 3" xfId="315"/>
    <cellStyle name="Обычный 2 5 3" xfId="316"/>
    <cellStyle name="Обычный 2 5 3 2" xfId="317"/>
    <cellStyle name="Обычный 2 5_Доп корпус  1 (2)" xfId="318"/>
    <cellStyle name="Обычный 2 6" xfId="319"/>
    <cellStyle name="Обычный 2 6 2" xfId="320"/>
    <cellStyle name="Обычный 2 6 2 2" xfId="321"/>
    <cellStyle name="Обычный 2 6 3" xfId="322"/>
    <cellStyle name="Обычный 2 7" xfId="323"/>
    <cellStyle name="Обычный 2 8" xfId="324"/>
    <cellStyle name="Обычный 2 9" xfId="325"/>
    <cellStyle name="Обычный 2_!!Дорога объездная 10.12.2012" xfId="326"/>
    <cellStyle name="Обычный 20" xfId="327"/>
    <cellStyle name="Обычный 20 2" xfId="328"/>
    <cellStyle name="Обычный 20 2 2" xfId="329"/>
    <cellStyle name="Обычный 20 3" xfId="330"/>
    <cellStyle name="Обычный 21" xfId="331"/>
    <cellStyle name="Обычный 22" xfId="332"/>
    <cellStyle name="Обычный 23" xfId="333"/>
    <cellStyle name="Обычный 23 2" xfId="334"/>
    <cellStyle name="Обычный 24" xfId="335"/>
    <cellStyle name="Обычный 24 2" xfId="336"/>
    <cellStyle name="Обычный 24 3" xfId="337"/>
    <cellStyle name="Обычный 25" xfId="338"/>
    <cellStyle name="Обычный 26" xfId="339"/>
    <cellStyle name="Обычный 26 2" xfId="340"/>
    <cellStyle name="Обычный 27" xfId="341"/>
    <cellStyle name="Обычный 27 2" xfId="342"/>
    <cellStyle name="Обычный 27 3" xfId="343"/>
    <cellStyle name="Обычный 28" xfId="344"/>
    <cellStyle name="Обычный 28 2" xfId="345"/>
    <cellStyle name="Обычный 28 3" xfId="346"/>
    <cellStyle name="Обычный 29" xfId="347"/>
    <cellStyle name="Обычный 29 2" xfId="348"/>
    <cellStyle name="Обычный 3" xfId="349"/>
    <cellStyle name="Обычный 3 2" xfId="350"/>
    <cellStyle name="Обычный 3 2 2" xfId="351"/>
    <cellStyle name="Обычный 3 2 3" xfId="352"/>
    <cellStyle name="Обычный 3 3" xfId="353"/>
    <cellStyle name="Обычный 3 3 2" xfId="354"/>
    <cellStyle name="Обычный 3 3 2 2" xfId="355"/>
    <cellStyle name="Обычный 3 3 3" xfId="356"/>
    <cellStyle name="Обычный 3 4" xfId="357"/>
    <cellStyle name="Обычный 3 4 2" xfId="358"/>
    <cellStyle name="Обычный 3 5" xfId="359"/>
    <cellStyle name="Обычный 30" xfId="360"/>
    <cellStyle name="Обычный 31" xfId="361"/>
    <cellStyle name="Обычный 31 2" xfId="362"/>
    <cellStyle name="Обычный 31 2 2" xfId="363"/>
    <cellStyle name="Обычный 31 3" xfId="364"/>
    <cellStyle name="Обычный 32" xfId="365"/>
    <cellStyle name="Обычный 33" xfId="366"/>
    <cellStyle name="Обычный 34" xfId="367"/>
    <cellStyle name="Обычный 35" xfId="368"/>
    <cellStyle name="Обычный 4" xfId="369"/>
    <cellStyle name="Обычный 4 2" xfId="370"/>
    <cellStyle name="Обычный 4 3" xfId="371"/>
    <cellStyle name="Обычный 4 4" xfId="372"/>
    <cellStyle name="Обычный 4_!!Дорога объездная 10.12.2012" xfId="373"/>
    <cellStyle name="Обычный 5" xfId="374"/>
    <cellStyle name="Обычный 5 2" xfId="375"/>
    <cellStyle name="Обычный 5 3" xfId="376"/>
    <cellStyle name="Обычный 5 4" xfId="377"/>
    <cellStyle name="Обычный 6" xfId="378"/>
    <cellStyle name="Обычный 6 2" xfId="379"/>
    <cellStyle name="Обычный 6 2 2" xfId="466"/>
    <cellStyle name="Обычный 6 3" xfId="380"/>
    <cellStyle name="Обычный 6 3 2" xfId="381"/>
    <cellStyle name="Обычный 6 4" xfId="382"/>
    <cellStyle name="Обычный 7" xfId="383"/>
    <cellStyle name="Обычный 7 2" xfId="384"/>
    <cellStyle name="Обычный 7 2 2" xfId="385"/>
    <cellStyle name="Обычный 7 3" xfId="386"/>
    <cellStyle name="Обычный 7 3 2" xfId="387"/>
    <cellStyle name="Обычный 7 4" xfId="388"/>
    <cellStyle name="Обычный 8" xfId="389"/>
    <cellStyle name="Обычный 8 2" xfId="390"/>
    <cellStyle name="Обычный 8 3" xfId="391"/>
    <cellStyle name="Обычный 8 3 2" xfId="392"/>
    <cellStyle name="Обычный 8 4" xfId="393"/>
    <cellStyle name="Обычный 9" xfId="394"/>
    <cellStyle name="Обычный 9 2" xfId="395"/>
    <cellStyle name="Плохой 2" xfId="396"/>
    <cellStyle name="Пояснение 2" xfId="397"/>
    <cellStyle name="Примечание 2" xfId="398"/>
    <cellStyle name="Примечание 2 2" xfId="399"/>
    <cellStyle name="Примечание 2 2 2" xfId="400"/>
    <cellStyle name="Примечание 2 3" xfId="401"/>
    <cellStyle name="Примечание 2 3 2" xfId="402"/>
    <cellStyle name="Примечание 2 4" xfId="403"/>
    <cellStyle name="Процентный 2" xfId="404"/>
    <cellStyle name="Процентный 2 2" xfId="405"/>
    <cellStyle name="Процентный 2 3" xfId="406"/>
    <cellStyle name="Процентный 2 3 2" xfId="407"/>
    <cellStyle name="Процентный 2 4" xfId="408"/>
    <cellStyle name="Процентный 3" xfId="409"/>
    <cellStyle name="Процентный 3 2" xfId="410"/>
    <cellStyle name="Процентный 4" xfId="411"/>
    <cellStyle name="Процентный 4 2" xfId="412"/>
    <cellStyle name="Процентный 5" xfId="413"/>
    <cellStyle name="Процентный 5 2" xfId="414"/>
    <cellStyle name="Процентный 6" xfId="415"/>
    <cellStyle name="Процентный 6 2" xfId="416"/>
    <cellStyle name="Процентный 7" xfId="417"/>
    <cellStyle name="Процентный 8" xfId="418"/>
    <cellStyle name="Процентный 8 2" xfId="419"/>
    <cellStyle name="Процентный 9" xfId="420"/>
    <cellStyle name="Связанная ячейка 2" xfId="421"/>
    <cellStyle name="Стиль 1" xfId="422"/>
    <cellStyle name="Текст предупреждения 2" xfId="423"/>
    <cellStyle name="Финансовый" xfId="464" builtinId="3"/>
    <cellStyle name="Финансовый 10" xfId="424"/>
    <cellStyle name="Финансовый 10 2" xfId="425"/>
    <cellStyle name="Финансовый 11" xfId="426"/>
    <cellStyle name="Финансовый 12" xfId="427"/>
    <cellStyle name="Финансовый 12 2" xfId="428"/>
    <cellStyle name="Финансовый 13" xfId="429"/>
    <cellStyle name="Финансовый 14" xfId="430"/>
    <cellStyle name="Финансовый 15" xfId="431"/>
    <cellStyle name="Финансовый 2" xfId="432"/>
    <cellStyle name="Финансовый 2 2" xfId="433"/>
    <cellStyle name="Финансовый 2 2 2" xfId="434"/>
    <cellStyle name="Финансовый 2 2 3" xfId="435"/>
    <cellStyle name="Финансовый 2 3" xfId="436"/>
    <cellStyle name="Финансовый 2 4" xfId="437"/>
    <cellStyle name="Финансовый 2 5" xfId="438"/>
    <cellStyle name="Финансовый 3" xfId="439"/>
    <cellStyle name="Финансовый 3 2" xfId="440"/>
    <cellStyle name="Финансовый 3 2 2" xfId="441"/>
    <cellStyle name="Финансовый 3 2 3" xfId="442"/>
    <cellStyle name="Финансовый 3 3" xfId="443"/>
    <cellStyle name="Финансовый 3 4" xfId="444"/>
    <cellStyle name="Финансовый 3 5" xfId="467"/>
    <cellStyle name="Финансовый 4" xfId="445"/>
    <cellStyle name="Финансовый 4 2" xfId="446"/>
    <cellStyle name="Финансовый 4 3" xfId="447"/>
    <cellStyle name="Финансовый 4 4" xfId="448"/>
    <cellStyle name="Финансовый 5" xfId="449"/>
    <cellStyle name="Финансовый 5 2" xfId="450"/>
    <cellStyle name="Финансовый 5 3" xfId="451"/>
    <cellStyle name="Финансовый 6" xfId="452"/>
    <cellStyle name="Финансовый 6 2" xfId="453"/>
    <cellStyle name="Финансовый 6 3" xfId="454"/>
    <cellStyle name="Финансовый 6 4" xfId="455"/>
    <cellStyle name="Финансовый 7" xfId="456"/>
    <cellStyle name="Финансовый 7 2" xfId="457"/>
    <cellStyle name="Финансовый 7 3" xfId="458"/>
    <cellStyle name="Финансовый 7 4" xfId="459"/>
    <cellStyle name="Финансовый 8" xfId="460"/>
    <cellStyle name="Финансовый 8 2" xfId="461"/>
    <cellStyle name="Финансовый 9" xfId="462"/>
    <cellStyle name="Хороший 2" xfId="463"/>
  </cellStyles>
  <dxfs count="0"/>
  <tableStyles count="0" defaultTableStyle="TableStyleMedium2" defaultPivotStyle="PivotStyleLight16"/>
  <colors>
    <mruColors>
      <color rgb="FFF5FBA5"/>
      <color rgb="FF5DF1ED"/>
      <color rgb="FFFAC2CF"/>
      <color rgb="FFF69CB1"/>
      <color rgb="FFF593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Users/nadin.SS/Desktop/&#1040;&#1088;&#1084;&#1089;&#1090;&#1088;&#1086;&#1085;&#1075;%20&#1050;&#1072;&#1088;&#1082;&#1072;&#1089;&#1099;%2001.01.11&#1075;-&#10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4;&#1077;&#1090;&#1080;&#1082;-&#1089;&#1077;&#1084;&#1080;&#1094;&#1074;&#1077;&#1090;\&#1084;&#1086;&#1080;%20&#1076;&#1086;&#1082;&#1091;&#1084;&#1077;&#1085;&#1090;&#1099;\Users\ACER\Desktop\&#1041;&#1072;&#1083;&#1072;&#1096;&#1080;&#1093;&#1072;\&#1050;&#1057;-3\&#1060;-3%20&#1080;&#1102;&#1083;&#11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!!!/Kronos/&#1062;&#1077;&#1085;&#1099;/&#1045;&#1076;&#1080;&#1085;&#1099;&#1077;%20&#1094;&#1077;&#1085;&#109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Users/nadin.SS/Desktop/&#1055;&#1086;&#1090;&#1086;&#1083;&#1086;&#1095;&#1085;&#1099;&#1077;%20&#1080;%20&#1089;&#1090;&#1077;&#1085;&#1086;&#1074;&#1099;&#1077;%20&#1087;&#1072;&#1085;&#1077;&#1083;&#1080;%20&#1086;&#1090;%2020.06.10%20&#1085;&#1072;%202011%20&#1075;&#1086;&#1076;%20&#1085;&#1086;&#1074;&#1099;&#1077;%20&#1089;&#1082;&#1080;&#1076;&#1082;&#108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!!!/Kronos/&#1062;&#1077;&#1085;&#1099;/&#1040;&#1083;&#1100;&#1076;&#1077;&#1082;&#1086;&#1088;/&#1040;&#1083;&#1100;&#1076;&#1077;&#1082;&#1086;&#1088;%20&#1051;&#1072;&#1084;&#1080;&#1085;&#1072;&#1090;%2015%20&#1089;&#1077;&#1085;&#1090;&#1103;&#1073;&#1088;&#1103;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ркасы и акссесуары"/>
    </sheetNames>
    <sheetDataSet>
      <sheetData sheetId="0">
        <row r="127">
          <cell r="I127">
            <v>0.77</v>
          </cell>
          <cell r="J127">
            <v>0.08</v>
          </cell>
          <cell r="K127">
            <v>0.83160000000000001</v>
          </cell>
        </row>
        <row r="135">
          <cell r="I135">
            <v>1.32</v>
          </cell>
          <cell r="J135">
            <v>0.08</v>
          </cell>
          <cell r="K135">
            <v>1.4256</v>
          </cell>
        </row>
        <row r="136">
          <cell r="J136">
            <v>0.08</v>
          </cell>
          <cell r="K136">
            <v>1.4256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Р с нач"/>
      <sheetName val="Июнь"/>
      <sheetName val="Копия январь"/>
      <sheetName val="Копия январь 2"/>
      <sheetName val="июль пр"/>
    </sheetNames>
    <sheetDataSet>
      <sheetData sheetId="0">
        <row r="36">
          <cell r="D36">
            <v>1</v>
          </cell>
        </row>
        <row r="37">
          <cell r="D37">
            <v>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ебестоимости "/>
      <sheetName val="Сс константы"/>
      <sheetName val="Прайс ЗАО"/>
      <sheetName val="Расчет ЗАО"/>
      <sheetName val="Прайс Питер"/>
      <sheetName val="Расчет Питер"/>
      <sheetName val="Прайс Альдекор"/>
      <sheetName val="Расчет Альдекор"/>
    </sheetNames>
    <sheetDataSet>
      <sheetData sheetId="0" refreshError="1"/>
      <sheetData sheetId="1" refreshError="1">
        <row r="4">
          <cell r="G4">
            <v>5.3767499999999995</v>
          </cell>
        </row>
        <row r="5">
          <cell r="G5">
            <v>5.6179499999999996</v>
          </cell>
        </row>
        <row r="6">
          <cell r="G6">
            <v>6.8842499999999998</v>
          </cell>
        </row>
        <row r="8">
          <cell r="G8">
            <v>7.3867499999999993</v>
          </cell>
        </row>
        <row r="9">
          <cell r="G9">
            <v>8.3515500000000014</v>
          </cell>
        </row>
        <row r="10">
          <cell r="G10">
            <v>9.5675999999999988</v>
          </cell>
        </row>
        <row r="11">
          <cell r="G11">
            <v>10.14045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BExRepositorySheet"/>
      <sheetName val="Ecophon"/>
      <sheetName val="Ecophon каркас"/>
    </sheetNames>
    <sheetDataSet>
      <sheetData sheetId="0" refreshError="1"/>
      <sheetData sheetId="1" refreshError="1"/>
      <sheetData sheetId="2">
        <row r="13">
          <cell r="T13">
            <v>0.4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льдекор прайс для Менеджеров"/>
      <sheetName val="Входные цены"/>
    </sheetNames>
    <sheetDataSet>
      <sheetData sheetId="0" refreshError="1"/>
      <sheetData sheetId="1" refreshError="1">
        <row r="11">
          <cell r="G11">
            <v>5.7270000000000003</v>
          </cell>
          <cell r="H11">
            <v>6.4740000000000002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0"/>
  </sheetPr>
  <dimension ref="A1:N22"/>
  <sheetViews>
    <sheetView zoomScale="93" zoomScaleNormal="93" workbookViewId="0">
      <pane ySplit="1" topLeftCell="A2" activePane="bottomLeft" state="frozen"/>
      <selection pane="bottomLeft" activeCell="D13" sqref="D13"/>
    </sheetView>
  </sheetViews>
  <sheetFormatPr defaultRowHeight="15" outlineLevelCol="4"/>
  <cols>
    <col min="1" max="1" width="3" customWidth="1"/>
    <col min="2" max="2" width="35.42578125" customWidth="1"/>
    <col min="3" max="3" width="15.42578125" customWidth="1" outlineLevel="4"/>
    <col min="4" max="4" width="17.7109375" customWidth="1" outlineLevel="3"/>
    <col min="5" max="5" width="14.42578125" customWidth="1" outlineLevel="2"/>
    <col min="6" max="6" width="13" customWidth="1"/>
    <col min="7" max="13" width="8.7109375" customWidth="1"/>
  </cols>
  <sheetData>
    <row r="1" spans="1:14" s="404" customFormat="1" ht="39.75" customHeight="1">
      <c r="A1" s="403" t="s">
        <v>184</v>
      </c>
      <c r="B1" s="403"/>
      <c r="C1" s="356" t="s">
        <v>126</v>
      </c>
      <c r="D1" s="356" t="s">
        <v>112</v>
      </c>
      <c r="E1" s="356" t="s">
        <v>47</v>
      </c>
      <c r="F1" s="357" t="s">
        <v>48</v>
      </c>
    </row>
    <row r="2" spans="1:14" s="404" customFormat="1" ht="15.75">
      <c r="A2" s="405"/>
      <c r="B2" s="406" t="s">
        <v>8</v>
      </c>
      <c r="C2" s="407">
        <f>11.65+11.93+5.51+11.76+2.8</f>
        <v>43.649999999999991</v>
      </c>
      <c r="D2" s="407">
        <v>34.79</v>
      </c>
      <c r="E2" s="407">
        <f>20</f>
        <v>20</v>
      </c>
      <c r="F2" s="408">
        <f>SUM(C2:E2)</f>
        <v>98.44</v>
      </c>
    </row>
    <row r="3" spans="1:14" s="404" customFormat="1" ht="15.75">
      <c r="A3" s="409"/>
      <c r="B3" s="406" t="s">
        <v>8</v>
      </c>
      <c r="C3" s="410">
        <f>0.72*2+1.08</f>
        <v>2.52</v>
      </c>
      <c r="D3" s="411"/>
      <c r="E3" s="407"/>
      <c r="F3" s="408">
        <f>SUM(C3:E3)</f>
        <v>2.52</v>
      </c>
    </row>
    <row r="4" spans="1:14" s="404" customFormat="1" ht="6" customHeight="1">
      <c r="A4" s="412"/>
      <c r="B4" s="413"/>
      <c r="C4" s="414"/>
      <c r="D4" s="414"/>
      <c r="E4" s="414"/>
      <c r="F4" s="415"/>
    </row>
    <row r="5" spans="1:14" s="404" customFormat="1" ht="14.25" customHeight="1">
      <c r="A5" s="416"/>
      <c r="B5" s="417" t="s">
        <v>9</v>
      </c>
      <c r="C5" s="418"/>
      <c r="D5" s="418"/>
      <c r="E5" s="418">
        <f>20</f>
        <v>20</v>
      </c>
      <c r="F5" s="419">
        <f>SUM(C5:E5)</f>
        <v>20</v>
      </c>
      <c r="N5" s="407">
        <f>19.1+12.37+4.97</f>
        <v>36.44</v>
      </c>
    </row>
    <row r="6" spans="1:14" s="404" customFormat="1" ht="14.25" customHeight="1">
      <c r="A6" s="416"/>
      <c r="B6" s="417" t="s">
        <v>68</v>
      </c>
      <c r="C6" s="420">
        <f>2.8</f>
        <v>2.8</v>
      </c>
      <c r="D6" s="418">
        <f>18.72+4.24</f>
        <v>22.96</v>
      </c>
      <c r="E6" s="418"/>
      <c r="F6" s="419">
        <f>SUM(C6:E6)</f>
        <v>25.76</v>
      </c>
    </row>
    <row r="7" spans="1:14" s="404" customFormat="1" ht="14.25" customHeight="1">
      <c r="A7" s="416"/>
      <c r="B7" s="417" t="s">
        <v>69</v>
      </c>
      <c r="C7" s="418">
        <f>12.53</f>
        <v>12.53</v>
      </c>
      <c r="D7" s="418">
        <v>2.2999999999999998</v>
      </c>
      <c r="E7" s="418"/>
      <c r="F7" s="419">
        <f>SUM(C7:E7)</f>
        <v>14.829999999999998</v>
      </c>
      <c r="K7" s="404">
        <v>19.100000000000001</v>
      </c>
    </row>
    <row r="8" spans="1:14" s="404" customFormat="1" ht="14.25" customHeight="1">
      <c r="A8" s="416"/>
      <c r="B8" s="417" t="s">
        <v>70</v>
      </c>
      <c r="C8" s="418">
        <f>11.65</f>
        <v>11.65</v>
      </c>
      <c r="D8" s="418"/>
      <c r="E8" s="418"/>
      <c r="F8" s="419">
        <f>SUM(C8:E8)</f>
        <v>11.65</v>
      </c>
    </row>
    <row r="9" spans="1:14" s="404" customFormat="1" ht="14.25" customHeight="1">
      <c r="A9" s="416"/>
      <c r="B9" s="417" t="s">
        <v>71</v>
      </c>
      <c r="C9" s="418">
        <f>5.51</f>
        <v>5.51</v>
      </c>
      <c r="D9" s="418"/>
      <c r="E9" s="418"/>
      <c r="F9" s="419">
        <f>SUM(C9:E9)</f>
        <v>5.51</v>
      </c>
    </row>
    <row r="10" spans="1:14" s="404" customFormat="1" ht="6" customHeight="1">
      <c r="A10" s="421"/>
      <c r="B10" s="413"/>
      <c r="C10" s="414"/>
      <c r="D10" s="414"/>
      <c r="E10" s="414"/>
      <c r="F10" s="415"/>
    </row>
    <row r="11" spans="1:14" s="404" customFormat="1" ht="15.75">
      <c r="A11" s="422"/>
      <c r="B11" s="423" t="s">
        <v>55</v>
      </c>
      <c r="C11" s="424">
        <f>C12+C13</f>
        <v>98.05</v>
      </c>
      <c r="D11" s="424">
        <f>D12+D13</f>
        <v>110.9</v>
      </c>
      <c r="E11" s="424">
        <f>60</f>
        <v>60</v>
      </c>
      <c r="F11" s="425">
        <f>SUM(C11:E11)</f>
        <v>268.95</v>
      </c>
    </row>
    <row r="12" spans="1:14" s="404" customFormat="1" ht="15.75">
      <c r="A12" s="422"/>
      <c r="B12" s="423" t="s">
        <v>56</v>
      </c>
      <c r="C12" s="424">
        <f>1.75+8.82+14.92+2.18+1.51+2.83</f>
        <v>32.010000000000005</v>
      </c>
      <c r="D12" s="424">
        <f>5.62+3.9+2.06</f>
        <v>11.58</v>
      </c>
      <c r="E12" s="424"/>
      <c r="F12" s="425">
        <f>SUM(C12:E12)</f>
        <v>43.59</v>
      </c>
    </row>
    <row r="13" spans="1:14" s="404" customFormat="1" ht="15.75">
      <c r="A13" s="422"/>
      <c r="B13" s="423" t="s">
        <v>57</v>
      </c>
      <c r="C13" s="424">
        <f>14.3+16.33+12.42+22.99</f>
        <v>66.039999999999992</v>
      </c>
      <c r="D13" s="424">
        <f>54.36+29.23+15.73</f>
        <v>99.320000000000007</v>
      </c>
      <c r="E13" s="424"/>
      <c r="F13" s="425">
        <f>SUM(C13:E13)</f>
        <v>165.36</v>
      </c>
    </row>
    <row r="14" spans="1:14" s="404" customFormat="1" ht="15.75">
      <c r="A14" s="704"/>
      <c r="B14" s="423" t="s">
        <v>239</v>
      </c>
      <c r="C14" s="705"/>
      <c r="D14" s="705">
        <v>3.9</v>
      </c>
      <c r="E14" s="705"/>
      <c r="F14" s="706"/>
    </row>
    <row r="15" spans="1:14" s="404" customFormat="1" ht="15.75">
      <c r="C15" s="426"/>
      <c r="D15" s="426"/>
      <c r="E15" s="426"/>
      <c r="F15" s="427"/>
    </row>
    <row r="16" spans="1:14" s="404" customFormat="1">
      <c r="B16" s="428" t="s">
        <v>180</v>
      </c>
      <c r="C16" s="429">
        <f>11.76</f>
        <v>11.76</v>
      </c>
    </row>
    <row r="17" spans="2:3" s="404" customFormat="1" ht="30">
      <c r="B17" s="428" t="s">
        <v>181</v>
      </c>
      <c r="C17" s="429">
        <f>2.68+4.05</f>
        <v>6.73</v>
      </c>
    </row>
    <row r="18" spans="2:3" s="404" customFormat="1">
      <c r="B18" s="428" t="s">
        <v>187</v>
      </c>
      <c r="C18" s="429">
        <v>11.76</v>
      </c>
    </row>
    <row r="19" spans="2:3" s="404" customFormat="1" ht="30">
      <c r="B19" s="428" t="s">
        <v>185</v>
      </c>
      <c r="C19" s="429">
        <f>6.44+9.09</f>
        <v>15.530000000000001</v>
      </c>
    </row>
    <row r="20" spans="2:3" s="404" customFormat="1">
      <c r="B20" s="428" t="s">
        <v>182</v>
      </c>
      <c r="C20" s="429">
        <v>30.05</v>
      </c>
    </row>
    <row r="21" spans="2:3" s="404" customFormat="1" ht="30">
      <c r="B21" s="428" t="s">
        <v>183</v>
      </c>
      <c r="C21" s="429">
        <f>12.89+19.24</f>
        <v>32.129999999999995</v>
      </c>
    </row>
    <row r="22" spans="2:3">
      <c r="B22" s="428" t="s">
        <v>186</v>
      </c>
      <c r="C22" s="430">
        <v>12.94</v>
      </c>
    </row>
  </sheetData>
  <pageMargins left="0" right="0" top="0" bottom="0" header="0" footer="0.31496062992125984"/>
  <pageSetup paperSize="9" scale="4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240"/>
  <sheetViews>
    <sheetView tabSelected="1" zoomScale="89" zoomScaleNormal="89" zoomScaleSheetLayoutView="74" workbookViewId="0">
      <selection activeCell="B3" sqref="B3"/>
    </sheetView>
  </sheetViews>
  <sheetFormatPr defaultRowHeight="18.75" outlineLevelRow="1"/>
  <cols>
    <col min="1" max="1" width="6" style="55" customWidth="1"/>
    <col min="2" max="2" width="71.140625" style="498" customWidth="1"/>
    <col min="3" max="3" width="12" style="498" customWidth="1"/>
    <col min="4" max="4" width="12" style="664" customWidth="1"/>
    <col min="5" max="7" width="11.85546875" style="664" customWidth="1"/>
    <col min="8" max="8" width="12.140625" style="30" customWidth="1"/>
    <col min="9" max="9" width="17.7109375" style="33" customWidth="1"/>
    <col min="10" max="10" width="20.7109375" style="4" customWidth="1"/>
    <col min="11" max="11" width="17.7109375" style="499" customWidth="1"/>
    <col min="12" max="12" width="20" style="499" customWidth="1"/>
    <col min="13" max="13" width="20.5703125" style="25" customWidth="1"/>
    <col min="14" max="14" width="9.140625" style="498"/>
    <col min="15" max="15" width="14.140625" style="498" customWidth="1"/>
    <col min="16" max="221" width="9.140625" style="498"/>
    <col min="222" max="222" width="4.7109375" style="498" customWidth="1"/>
    <col min="223" max="223" width="49.42578125" style="498" customWidth="1"/>
    <col min="224" max="225" width="9.140625" style="498" customWidth="1"/>
    <col min="226" max="229" width="12.5703125" style="498" customWidth="1"/>
    <col min="230" max="230" width="13.85546875" style="498" customWidth="1"/>
    <col min="231" max="477" width="9.140625" style="498"/>
    <col min="478" max="478" width="4.7109375" style="498" customWidth="1"/>
    <col min="479" max="479" width="49.42578125" style="498" customWidth="1"/>
    <col min="480" max="481" width="9.140625" style="498" customWidth="1"/>
    <col min="482" max="485" width="12.5703125" style="498" customWidth="1"/>
    <col min="486" max="486" width="13.85546875" style="498" customWidth="1"/>
    <col min="487" max="733" width="9.140625" style="498"/>
    <col min="734" max="734" width="4.7109375" style="498" customWidth="1"/>
    <col min="735" max="735" width="49.42578125" style="498" customWidth="1"/>
    <col min="736" max="737" width="9.140625" style="498" customWidth="1"/>
    <col min="738" max="741" width="12.5703125" style="498" customWidth="1"/>
    <col min="742" max="742" width="13.85546875" style="498" customWidth="1"/>
    <col min="743" max="989" width="9.140625" style="498"/>
    <col min="990" max="990" width="4.7109375" style="498" customWidth="1"/>
    <col min="991" max="991" width="49.42578125" style="498" customWidth="1"/>
    <col min="992" max="993" width="9.140625" style="498" customWidth="1"/>
    <col min="994" max="997" width="12.5703125" style="498" customWidth="1"/>
    <col min="998" max="998" width="13.85546875" style="498" customWidth="1"/>
    <col min="999" max="1245" width="9.140625" style="498"/>
    <col min="1246" max="1246" width="4.7109375" style="498" customWidth="1"/>
    <col min="1247" max="1247" width="49.42578125" style="498" customWidth="1"/>
    <col min="1248" max="1249" width="9.140625" style="498" customWidth="1"/>
    <col min="1250" max="1253" width="12.5703125" style="498" customWidth="1"/>
    <col min="1254" max="1254" width="13.85546875" style="498" customWidth="1"/>
    <col min="1255" max="1501" width="9.140625" style="498"/>
    <col min="1502" max="1502" width="4.7109375" style="498" customWidth="1"/>
    <col min="1503" max="1503" width="49.42578125" style="498" customWidth="1"/>
    <col min="1504" max="1505" width="9.140625" style="498" customWidth="1"/>
    <col min="1506" max="1509" width="12.5703125" style="498" customWidth="1"/>
    <col min="1510" max="1510" width="13.85546875" style="498" customWidth="1"/>
    <col min="1511" max="1757" width="9.140625" style="498"/>
    <col min="1758" max="1758" width="4.7109375" style="498" customWidth="1"/>
    <col min="1759" max="1759" width="49.42578125" style="498" customWidth="1"/>
    <col min="1760" max="1761" width="9.140625" style="498" customWidth="1"/>
    <col min="1762" max="1765" width="12.5703125" style="498" customWidth="1"/>
    <col min="1766" max="1766" width="13.85546875" style="498" customWidth="1"/>
    <col min="1767" max="2013" width="9.140625" style="498"/>
    <col min="2014" max="2014" width="4.7109375" style="498" customWidth="1"/>
    <col min="2015" max="2015" width="49.42578125" style="498" customWidth="1"/>
    <col min="2016" max="2017" width="9.140625" style="498" customWidth="1"/>
    <col min="2018" max="2021" width="12.5703125" style="498" customWidth="1"/>
    <col min="2022" max="2022" width="13.85546875" style="498" customWidth="1"/>
    <col min="2023" max="2269" width="9.140625" style="498"/>
    <col min="2270" max="2270" width="4.7109375" style="498" customWidth="1"/>
    <col min="2271" max="2271" width="49.42578125" style="498" customWidth="1"/>
    <col min="2272" max="2273" width="9.140625" style="498" customWidth="1"/>
    <col min="2274" max="2277" width="12.5703125" style="498" customWidth="1"/>
    <col min="2278" max="2278" width="13.85546875" style="498" customWidth="1"/>
    <col min="2279" max="2525" width="9.140625" style="498"/>
    <col min="2526" max="2526" width="4.7109375" style="498" customWidth="1"/>
    <col min="2527" max="2527" width="49.42578125" style="498" customWidth="1"/>
    <col min="2528" max="2529" width="9.140625" style="498" customWidth="1"/>
    <col min="2530" max="2533" width="12.5703125" style="498" customWidth="1"/>
    <col min="2534" max="2534" width="13.85546875" style="498" customWidth="1"/>
    <col min="2535" max="2781" width="9.140625" style="498"/>
    <col min="2782" max="2782" width="4.7109375" style="498" customWidth="1"/>
    <col min="2783" max="2783" width="49.42578125" style="498" customWidth="1"/>
    <col min="2784" max="2785" width="9.140625" style="498" customWidth="1"/>
    <col min="2786" max="2789" width="12.5703125" style="498" customWidth="1"/>
    <col min="2790" max="2790" width="13.85546875" style="498" customWidth="1"/>
    <col min="2791" max="3037" width="9.140625" style="498"/>
    <col min="3038" max="3038" width="4.7109375" style="498" customWidth="1"/>
    <col min="3039" max="3039" width="49.42578125" style="498" customWidth="1"/>
    <col min="3040" max="3041" width="9.140625" style="498" customWidth="1"/>
    <col min="3042" max="3045" width="12.5703125" style="498" customWidth="1"/>
    <col min="3046" max="3046" width="13.85546875" style="498" customWidth="1"/>
    <col min="3047" max="3293" width="9.140625" style="498"/>
    <col min="3294" max="3294" width="4.7109375" style="498" customWidth="1"/>
    <col min="3295" max="3295" width="49.42578125" style="498" customWidth="1"/>
    <col min="3296" max="3297" width="9.140625" style="498" customWidth="1"/>
    <col min="3298" max="3301" width="12.5703125" style="498" customWidth="1"/>
    <col min="3302" max="3302" width="13.85546875" style="498" customWidth="1"/>
    <col min="3303" max="3549" width="9.140625" style="498"/>
    <col min="3550" max="3550" width="4.7109375" style="498" customWidth="1"/>
    <col min="3551" max="3551" width="49.42578125" style="498" customWidth="1"/>
    <col min="3552" max="3553" width="9.140625" style="498" customWidth="1"/>
    <col min="3554" max="3557" width="12.5703125" style="498" customWidth="1"/>
    <col min="3558" max="3558" width="13.85546875" style="498" customWidth="1"/>
    <col min="3559" max="3805" width="9.140625" style="498"/>
    <col min="3806" max="3806" width="4.7109375" style="498" customWidth="1"/>
    <col min="3807" max="3807" width="49.42578125" style="498" customWidth="1"/>
    <col min="3808" max="3809" width="9.140625" style="498" customWidth="1"/>
    <col min="3810" max="3813" width="12.5703125" style="498" customWidth="1"/>
    <col min="3814" max="3814" width="13.85546875" style="498" customWidth="1"/>
    <col min="3815" max="4061" width="9.140625" style="498"/>
    <col min="4062" max="4062" width="4.7109375" style="498" customWidth="1"/>
    <col min="4063" max="4063" width="49.42578125" style="498" customWidth="1"/>
    <col min="4064" max="4065" width="9.140625" style="498" customWidth="1"/>
    <col min="4066" max="4069" width="12.5703125" style="498" customWidth="1"/>
    <col min="4070" max="4070" width="13.85546875" style="498" customWidth="1"/>
    <col min="4071" max="4317" width="9.140625" style="498"/>
    <col min="4318" max="4318" width="4.7109375" style="498" customWidth="1"/>
    <col min="4319" max="4319" width="49.42578125" style="498" customWidth="1"/>
    <col min="4320" max="4321" width="9.140625" style="498" customWidth="1"/>
    <col min="4322" max="4325" width="12.5703125" style="498" customWidth="1"/>
    <col min="4326" max="4326" width="13.85546875" style="498" customWidth="1"/>
    <col min="4327" max="4573" width="9.140625" style="498"/>
    <col min="4574" max="4574" width="4.7109375" style="498" customWidth="1"/>
    <col min="4575" max="4575" width="49.42578125" style="498" customWidth="1"/>
    <col min="4576" max="4577" width="9.140625" style="498" customWidth="1"/>
    <col min="4578" max="4581" width="12.5703125" style="498" customWidth="1"/>
    <col min="4582" max="4582" width="13.85546875" style="498" customWidth="1"/>
    <col min="4583" max="4829" width="9.140625" style="498"/>
    <col min="4830" max="4830" width="4.7109375" style="498" customWidth="1"/>
    <col min="4831" max="4831" width="49.42578125" style="498" customWidth="1"/>
    <col min="4832" max="4833" width="9.140625" style="498" customWidth="1"/>
    <col min="4834" max="4837" width="12.5703125" style="498" customWidth="1"/>
    <col min="4838" max="4838" width="13.85546875" style="498" customWidth="1"/>
    <col min="4839" max="5085" width="9.140625" style="498"/>
    <col min="5086" max="5086" width="4.7109375" style="498" customWidth="1"/>
    <col min="5087" max="5087" width="49.42578125" style="498" customWidth="1"/>
    <col min="5088" max="5089" width="9.140625" style="498" customWidth="1"/>
    <col min="5090" max="5093" width="12.5703125" style="498" customWidth="1"/>
    <col min="5094" max="5094" width="13.85546875" style="498" customWidth="1"/>
    <col min="5095" max="5341" width="9.140625" style="498"/>
    <col min="5342" max="5342" width="4.7109375" style="498" customWidth="1"/>
    <col min="5343" max="5343" width="49.42578125" style="498" customWidth="1"/>
    <col min="5344" max="5345" width="9.140625" style="498" customWidth="1"/>
    <col min="5346" max="5349" width="12.5703125" style="498" customWidth="1"/>
    <col min="5350" max="5350" width="13.85546875" style="498" customWidth="1"/>
    <col min="5351" max="5597" width="9.140625" style="498"/>
    <col min="5598" max="5598" width="4.7109375" style="498" customWidth="1"/>
    <col min="5599" max="5599" width="49.42578125" style="498" customWidth="1"/>
    <col min="5600" max="5601" width="9.140625" style="498" customWidth="1"/>
    <col min="5602" max="5605" width="12.5703125" style="498" customWidth="1"/>
    <col min="5606" max="5606" width="13.85546875" style="498" customWidth="1"/>
    <col min="5607" max="5853" width="9.140625" style="498"/>
    <col min="5854" max="5854" width="4.7109375" style="498" customWidth="1"/>
    <col min="5855" max="5855" width="49.42578125" style="498" customWidth="1"/>
    <col min="5856" max="5857" width="9.140625" style="498" customWidth="1"/>
    <col min="5858" max="5861" width="12.5703125" style="498" customWidth="1"/>
    <col min="5862" max="5862" width="13.85546875" style="498" customWidth="1"/>
    <col min="5863" max="6109" width="9.140625" style="498"/>
    <col min="6110" max="6110" width="4.7109375" style="498" customWidth="1"/>
    <col min="6111" max="6111" width="49.42578125" style="498" customWidth="1"/>
    <col min="6112" max="6113" width="9.140625" style="498" customWidth="1"/>
    <col min="6114" max="6117" width="12.5703125" style="498" customWidth="1"/>
    <col min="6118" max="6118" width="13.85546875" style="498" customWidth="1"/>
    <col min="6119" max="6365" width="9.140625" style="498"/>
    <col min="6366" max="6366" width="4.7109375" style="498" customWidth="1"/>
    <col min="6367" max="6367" width="49.42578125" style="498" customWidth="1"/>
    <col min="6368" max="6369" width="9.140625" style="498" customWidth="1"/>
    <col min="6370" max="6373" width="12.5703125" style="498" customWidth="1"/>
    <col min="6374" max="6374" width="13.85546875" style="498" customWidth="1"/>
    <col min="6375" max="6621" width="9.140625" style="498"/>
    <col min="6622" max="6622" width="4.7109375" style="498" customWidth="1"/>
    <col min="6623" max="6623" width="49.42578125" style="498" customWidth="1"/>
    <col min="6624" max="6625" width="9.140625" style="498" customWidth="1"/>
    <col min="6626" max="6629" width="12.5703125" style="498" customWidth="1"/>
    <col min="6630" max="6630" width="13.85546875" style="498" customWidth="1"/>
    <col min="6631" max="6877" width="9.140625" style="498"/>
    <col min="6878" max="6878" width="4.7109375" style="498" customWidth="1"/>
    <col min="6879" max="6879" width="49.42578125" style="498" customWidth="1"/>
    <col min="6880" max="6881" width="9.140625" style="498" customWidth="1"/>
    <col min="6882" max="6885" width="12.5703125" style="498" customWidth="1"/>
    <col min="6886" max="6886" width="13.85546875" style="498" customWidth="1"/>
    <col min="6887" max="7133" width="9.140625" style="498"/>
    <col min="7134" max="7134" width="4.7109375" style="498" customWidth="1"/>
    <col min="7135" max="7135" width="49.42578125" style="498" customWidth="1"/>
    <col min="7136" max="7137" width="9.140625" style="498" customWidth="1"/>
    <col min="7138" max="7141" width="12.5703125" style="498" customWidth="1"/>
    <col min="7142" max="7142" width="13.85546875" style="498" customWidth="1"/>
    <col min="7143" max="7389" width="9.140625" style="498"/>
    <col min="7390" max="7390" width="4.7109375" style="498" customWidth="1"/>
    <col min="7391" max="7391" width="49.42578125" style="498" customWidth="1"/>
    <col min="7392" max="7393" width="9.140625" style="498" customWidth="1"/>
    <col min="7394" max="7397" width="12.5703125" style="498" customWidth="1"/>
    <col min="7398" max="7398" width="13.85546875" style="498" customWidth="1"/>
    <col min="7399" max="7645" width="9.140625" style="498"/>
    <col min="7646" max="7646" width="4.7109375" style="498" customWidth="1"/>
    <col min="7647" max="7647" width="49.42578125" style="498" customWidth="1"/>
    <col min="7648" max="7649" width="9.140625" style="498" customWidth="1"/>
    <col min="7650" max="7653" width="12.5703125" style="498" customWidth="1"/>
    <col min="7654" max="7654" width="13.85546875" style="498" customWidth="1"/>
    <col min="7655" max="7901" width="9.140625" style="498"/>
    <col min="7902" max="7902" width="4.7109375" style="498" customWidth="1"/>
    <col min="7903" max="7903" width="49.42578125" style="498" customWidth="1"/>
    <col min="7904" max="7905" width="9.140625" style="498" customWidth="1"/>
    <col min="7906" max="7909" width="12.5703125" style="498" customWidth="1"/>
    <col min="7910" max="7910" width="13.85546875" style="498" customWidth="1"/>
    <col min="7911" max="8157" width="9.140625" style="498"/>
    <col min="8158" max="8158" width="4.7109375" style="498" customWidth="1"/>
    <col min="8159" max="8159" width="49.42578125" style="498" customWidth="1"/>
    <col min="8160" max="8161" width="9.140625" style="498" customWidth="1"/>
    <col min="8162" max="8165" width="12.5703125" style="498" customWidth="1"/>
    <col min="8166" max="8166" width="13.85546875" style="498" customWidth="1"/>
    <col min="8167" max="8413" width="9.140625" style="498"/>
    <col min="8414" max="8414" width="4.7109375" style="498" customWidth="1"/>
    <col min="8415" max="8415" width="49.42578125" style="498" customWidth="1"/>
    <col min="8416" max="8417" width="9.140625" style="498" customWidth="1"/>
    <col min="8418" max="8421" width="12.5703125" style="498" customWidth="1"/>
    <col min="8422" max="8422" width="13.85546875" style="498" customWidth="1"/>
    <col min="8423" max="8669" width="9.140625" style="498"/>
    <col min="8670" max="8670" width="4.7109375" style="498" customWidth="1"/>
    <col min="8671" max="8671" width="49.42578125" style="498" customWidth="1"/>
    <col min="8672" max="8673" width="9.140625" style="498" customWidth="1"/>
    <col min="8674" max="8677" width="12.5703125" style="498" customWidth="1"/>
    <col min="8678" max="8678" width="13.85546875" style="498" customWidth="1"/>
    <col min="8679" max="8925" width="9.140625" style="498"/>
    <col min="8926" max="8926" width="4.7109375" style="498" customWidth="1"/>
    <col min="8927" max="8927" width="49.42578125" style="498" customWidth="1"/>
    <col min="8928" max="8929" width="9.140625" style="498" customWidth="1"/>
    <col min="8930" max="8933" width="12.5703125" style="498" customWidth="1"/>
    <col min="8934" max="8934" width="13.85546875" style="498" customWidth="1"/>
    <col min="8935" max="9181" width="9.140625" style="498"/>
    <col min="9182" max="9182" width="4.7109375" style="498" customWidth="1"/>
    <col min="9183" max="9183" width="49.42578125" style="498" customWidth="1"/>
    <col min="9184" max="9185" width="9.140625" style="498" customWidth="1"/>
    <col min="9186" max="9189" width="12.5703125" style="498" customWidth="1"/>
    <col min="9190" max="9190" width="13.85546875" style="498" customWidth="1"/>
    <col min="9191" max="9437" width="9.140625" style="498"/>
    <col min="9438" max="9438" width="4.7109375" style="498" customWidth="1"/>
    <col min="9439" max="9439" width="49.42578125" style="498" customWidth="1"/>
    <col min="9440" max="9441" width="9.140625" style="498" customWidth="1"/>
    <col min="9442" max="9445" width="12.5703125" style="498" customWidth="1"/>
    <col min="9446" max="9446" width="13.85546875" style="498" customWidth="1"/>
    <col min="9447" max="9693" width="9.140625" style="498"/>
    <col min="9694" max="9694" width="4.7109375" style="498" customWidth="1"/>
    <col min="9695" max="9695" width="49.42578125" style="498" customWidth="1"/>
    <col min="9696" max="9697" width="9.140625" style="498" customWidth="1"/>
    <col min="9698" max="9701" width="12.5703125" style="498" customWidth="1"/>
    <col min="9702" max="9702" width="13.85546875" style="498" customWidth="1"/>
    <col min="9703" max="9949" width="9.140625" style="498"/>
    <col min="9950" max="9950" width="4.7109375" style="498" customWidth="1"/>
    <col min="9951" max="9951" width="49.42578125" style="498" customWidth="1"/>
    <col min="9952" max="9953" width="9.140625" style="498" customWidth="1"/>
    <col min="9954" max="9957" width="12.5703125" style="498" customWidth="1"/>
    <col min="9958" max="9958" width="13.85546875" style="498" customWidth="1"/>
    <col min="9959" max="10205" width="9.140625" style="498"/>
    <col min="10206" max="10206" width="4.7109375" style="498" customWidth="1"/>
    <col min="10207" max="10207" width="49.42578125" style="498" customWidth="1"/>
    <col min="10208" max="10209" width="9.140625" style="498" customWidth="1"/>
    <col min="10210" max="10213" width="12.5703125" style="498" customWidth="1"/>
    <col min="10214" max="10214" width="13.85546875" style="498" customWidth="1"/>
    <col min="10215" max="10461" width="9.140625" style="498"/>
    <col min="10462" max="10462" width="4.7109375" style="498" customWidth="1"/>
    <col min="10463" max="10463" width="49.42578125" style="498" customWidth="1"/>
    <col min="10464" max="10465" width="9.140625" style="498" customWidth="1"/>
    <col min="10466" max="10469" width="12.5703125" style="498" customWidth="1"/>
    <col min="10470" max="10470" width="13.85546875" style="498" customWidth="1"/>
    <col min="10471" max="10717" width="9.140625" style="498"/>
    <col min="10718" max="10718" width="4.7109375" style="498" customWidth="1"/>
    <col min="10719" max="10719" width="49.42578125" style="498" customWidth="1"/>
    <col min="10720" max="10721" width="9.140625" style="498" customWidth="1"/>
    <col min="10722" max="10725" width="12.5703125" style="498" customWidth="1"/>
    <col min="10726" max="10726" width="13.85546875" style="498" customWidth="1"/>
    <col min="10727" max="10973" width="9.140625" style="498"/>
    <col min="10974" max="10974" width="4.7109375" style="498" customWidth="1"/>
    <col min="10975" max="10975" width="49.42578125" style="498" customWidth="1"/>
    <col min="10976" max="10977" width="9.140625" style="498" customWidth="1"/>
    <col min="10978" max="10981" width="12.5703125" style="498" customWidth="1"/>
    <col min="10982" max="10982" width="13.85546875" style="498" customWidth="1"/>
    <col min="10983" max="11229" width="9.140625" style="498"/>
    <col min="11230" max="11230" width="4.7109375" style="498" customWidth="1"/>
    <col min="11231" max="11231" width="49.42578125" style="498" customWidth="1"/>
    <col min="11232" max="11233" width="9.140625" style="498" customWidth="1"/>
    <col min="11234" max="11237" width="12.5703125" style="498" customWidth="1"/>
    <col min="11238" max="11238" width="13.85546875" style="498" customWidth="1"/>
    <col min="11239" max="11485" width="9.140625" style="498"/>
    <col min="11486" max="11486" width="4.7109375" style="498" customWidth="1"/>
    <col min="11487" max="11487" width="49.42578125" style="498" customWidth="1"/>
    <col min="11488" max="11489" width="9.140625" style="498" customWidth="1"/>
    <col min="11490" max="11493" width="12.5703125" style="498" customWidth="1"/>
    <col min="11494" max="11494" width="13.85546875" style="498" customWidth="1"/>
    <col min="11495" max="11741" width="9.140625" style="498"/>
    <col min="11742" max="11742" width="4.7109375" style="498" customWidth="1"/>
    <col min="11743" max="11743" width="49.42578125" style="498" customWidth="1"/>
    <col min="11744" max="11745" width="9.140625" style="498" customWidth="1"/>
    <col min="11746" max="11749" width="12.5703125" style="498" customWidth="1"/>
    <col min="11750" max="11750" width="13.85546875" style="498" customWidth="1"/>
    <col min="11751" max="11997" width="9.140625" style="498"/>
    <col min="11998" max="11998" width="4.7109375" style="498" customWidth="1"/>
    <col min="11999" max="11999" width="49.42578125" style="498" customWidth="1"/>
    <col min="12000" max="12001" width="9.140625" style="498" customWidth="1"/>
    <col min="12002" max="12005" width="12.5703125" style="498" customWidth="1"/>
    <col min="12006" max="12006" width="13.85546875" style="498" customWidth="1"/>
    <col min="12007" max="12253" width="9.140625" style="498"/>
    <col min="12254" max="12254" width="4.7109375" style="498" customWidth="1"/>
    <col min="12255" max="12255" width="49.42578125" style="498" customWidth="1"/>
    <col min="12256" max="12257" width="9.140625" style="498" customWidth="1"/>
    <col min="12258" max="12261" width="12.5703125" style="498" customWidth="1"/>
    <col min="12262" max="12262" width="13.85546875" style="498" customWidth="1"/>
    <col min="12263" max="12509" width="9.140625" style="498"/>
    <col min="12510" max="12510" width="4.7109375" style="498" customWidth="1"/>
    <col min="12511" max="12511" width="49.42578125" style="498" customWidth="1"/>
    <col min="12512" max="12513" width="9.140625" style="498" customWidth="1"/>
    <col min="12514" max="12517" width="12.5703125" style="498" customWidth="1"/>
    <col min="12518" max="12518" width="13.85546875" style="498" customWidth="1"/>
    <col min="12519" max="12765" width="9.140625" style="498"/>
    <col min="12766" max="12766" width="4.7109375" style="498" customWidth="1"/>
    <col min="12767" max="12767" width="49.42578125" style="498" customWidth="1"/>
    <col min="12768" max="12769" width="9.140625" style="498" customWidth="1"/>
    <col min="12770" max="12773" width="12.5703125" style="498" customWidth="1"/>
    <col min="12774" max="12774" width="13.85546875" style="498" customWidth="1"/>
    <col min="12775" max="13021" width="9.140625" style="498"/>
    <col min="13022" max="13022" width="4.7109375" style="498" customWidth="1"/>
    <col min="13023" max="13023" width="49.42578125" style="498" customWidth="1"/>
    <col min="13024" max="13025" width="9.140625" style="498" customWidth="1"/>
    <col min="13026" max="13029" width="12.5703125" style="498" customWidth="1"/>
    <col min="13030" max="13030" width="13.85546875" style="498" customWidth="1"/>
    <col min="13031" max="13277" width="9.140625" style="498"/>
    <col min="13278" max="13278" width="4.7109375" style="498" customWidth="1"/>
    <col min="13279" max="13279" width="49.42578125" style="498" customWidth="1"/>
    <col min="13280" max="13281" width="9.140625" style="498" customWidth="1"/>
    <col min="13282" max="13285" width="12.5703125" style="498" customWidth="1"/>
    <col min="13286" max="13286" width="13.85546875" style="498" customWidth="1"/>
    <col min="13287" max="13533" width="9.140625" style="498"/>
    <col min="13534" max="13534" width="4.7109375" style="498" customWidth="1"/>
    <col min="13535" max="13535" width="49.42578125" style="498" customWidth="1"/>
    <col min="13536" max="13537" width="9.140625" style="498" customWidth="1"/>
    <col min="13538" max="13541" width="12.5703125" style="498" customWidth="1"/>
    <col min="13542" max="13542" width="13.85546875" style="498" customWidth="1"/>
    <col min="13543" max="13789" width="9.140625" style="498"/>
    <col min="13790" max="13790" width="4.7109375" style="498" customWidth="1"/>
    <col min="13791" max="13791" width="49.42578125" style="498" customWidth="1"/>
    <col min="13792" max="13793" width="9.140625" style="498" customWidth="1"/>
    <col min="13794" max="13797" width="12.5703125" style="498" customWidth="1"/>
    <col min="13798" max="13798" width="13.85546875" style="498" customWidth="1"/>
    <col min="13799" max="14045" width="9.140625" style="498"/>
    <col min="14046" max="14046" width="4.7109375" style="498" customWidth="1"/>
    <col min="14047" max="14047" width="49.42578125" style="498" customWidth="1"/>
    <col min="14048" max="14049" width="9.140625" style="498" customWidth="1"/>
    <col min="14050" max="14053" width="12.5703125" style="498" customWidth="1"/>
    <col min="14054" max="14054" width="13.85546875" style="498" customWidth="1"/>
    <col min="14055" max="14301" width="9.140625" style="498"/>
    <col min="14302" max="14302" width="4.7109375" style="498" customWidth="1"/>
    <col min="14303" max="14303" width="49.42578125" style="498" customWidth="1"/>
    <col min="14304" max="14305" width="9.140625" style="498" customWidth="1"/>
    <col min="14306" max="14309" width="12.5703125" style="498" customWidth="1"/>
    <col min="14310" max="14310" width="13.85546875" style="498" customWidth="1"/>
    <col min="14311" max="14557" width="9.140625" style="498"/>
    <col min="14558" max="14558" width="4.7109375" style="498" customWidth="1"/>
    <col min="14559" max="14559" width="49.42578125" style="498" customWidth="1"/>
    <col min="14560" max="14561" width="9.140625" style="498" customWidth="1"/>
    <col min="14562" max="14565" width="12.5703125" style="498" customWidth="1"/>
    <col min="14566" max="14566" width="13.85546875" style="498" customWidth="1"/>
    <col min="14567" max="14813" width="9.140625" style="498"/>
    <col min="14814" max="14814" width="4.7109375" style="498" customWidth="1"/>
    <col min="14815" max="14815" width="49.42578125" style="498" customWidth="1"/>
    <col min="14816" max="14817" width="9.140625" style="498" customWidth="1"/>
    <col min="14818" max="14821" width="12.5703125" style="498" customWidth="1"/>
    <col min="14822" max="14822" width="13.85546875" style="498" customWidth="1"/>
    <col min="14823" max="15069" width="9.140625" style="498"/>
    <col min="15070" max="15070" width="4.7109375" style="498" customWidth="1"/>
    <col min="15071" max="15071" width="49.42578125" style="498" customWidth="1"/>
    <col min="15072" max="15073" width="9.140625" style="498" customWidth="1"/>
    <col min="15074" max="15077" width="12.5703125" style="498" customWidth="1"/>
    <col min="15078" max="15078" width="13.85546875" style="498" customWidth="1"/>
    <col min="15079" max="15325" width="9.140625" style="498"/>
    <col min="15326" max="15326" width="4.7109375" style="498" customWidth="1"/>
    <col min="15327" max="15327" width="49.42578125" style="498" customWidth="1"/>
    <col min="15328" max="15329" width="9.140625" style="498" customWidth="1"/>
    <col min="15330" max="15333" width="12.5703125" style="498" customWidth="1"/>
    <col min="15334" max="15334" width="13.85546875" style="498" customWidth="1"/>
    <col min="15335" max="15581" width="9.140625" style="498"/>
    <col min="15582" max="15582" width="4.7109375" style="498" customWidth="1"/>
    <col min="15583" max="15583" width="49.42578125" style="498" customWidth="1"/>
    <col min="15584" max="15585" width="9.140625" style="498" customWidth="1"/>
    <col min="15586" max="15589" width="12.5703125" style="498" customWidth="1"/>
    <col min="15590" max="15590" width="13.85546875" style="498" customWidth="1"/>
    <col min="15591" max="15837" width="9.140625" style="498"/>
    <col min="15838" max="15838" width="4.7109375" style="498" customWidth="1"/>
    <col min="15839" max="15839" width="49.42578125" style="498" customWidth="1"/>
    <col min="15840" max="15841" width="9.140625" style="498" customWidth="1"/>
    <col min="15842" max="15845" width="12.5703125" style="498" customWidth="1"/>
    <col min="15846" max="15846" width="13.85546875" style="498" customWidth="1"/>
    <col min="15847" max="16093" width="9.140625" style="498"/>
    <col min="16094" max="16094" width="4.7109375" style="498" customWidth="1"/>
    <col min="16095" max="16095" width="49.42578125" style="498" customWidth="1"/>
    <col min="16096" max="16097" width="9.140625" style="498" customWidth="1"/>
    <col min="16098" max="16101" width="12.5703125" style="498" customWidth="1"/>
    <col min="16102" max="16102" width="13.85546875" style="498" customWidth="1"/>
    <col min="16103" max="16384" width="9.140625" style="498"/>
  </cols>
  <sheetData>
    <row r="1" spans="1:15" ht="22.5" outlineLevel="1">
      <c r="A1" s="925" t="s">
        <v>253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</row>
    <row r="2" spans="1:15" ht="22.5" outlineLevel="1">
      <c r="A2" s="926" t="s">
        <v>251</v>
      </c>
      <c r="B2" s="370"/>
      <c r="C2" s="370"/>
      <c r="D2" s="370"/>
      <c r="E2" s="370"/>
      <c r="F2" s="370"/>
      <c r="G2" s="370"/>
      <c r="H2" s="370"/>
      <c r="I2" s="31"/>
      <c r="J2" s="10"/>
      <c r="K2" s="22"/>
      <c r="L2" s="22"/>
      <c r="M2" s="26"/>
    </row>
    <row r="3" spans="1:15" ht="22.5" outlineLevel="1">
      <c r="A3" s="926" t="s">
        <v>252</v>
      </c>
      <c r="B3" s="370"/>
      <c r="C3" s="370"/>
      <c r="D3" s="370"/>
      <c r="E3" s="370"/>
      <c r="F3" s="370"/>
      <c r="G3" s="370"/>
      <c r="H3" s="370"/>
      <c r="I3" s="31"/>
      <c r="J3" s="10"/>
      <c r="K3" s="22"/>
      <c r="L3" s="22"/>
      <c r="M3" s="26"/>
    </row>
    <row r="4" spans="1:15" ht="18" customHeight="1" thickBot="1">
      <c r="A4" s="371"/>
      <c r="B4" s="371"/>
      <c r="C4" s="13"/>
      <c r="D4" s="27"/>
      <c r="E4" s="27"/>
      <c r="F4" s="27"/>
      <c r="G4" s="27"/>
      <c r="H4" s="58"/>
      <c r="I4" s="32"/>
      <c r="J4" s="59"/>
    </row>
    <row r="5" spans="1:15" s="671" customFormat="1" ht="95.25" customHeight="1">
      <c r="A5" s="441" t="s">
        <v>2</v>
      </c>
      <c r="B5" s="444" t="s">
        <v>16</v>
      </c>
      <c r="C5" s="64" t="s">
        <v>4</v>
      </c>
      <c r="D5" s="60" t="s">
        <v>26</v>
      </c>
      <c r="E5" s="61" t="s">
        <v>113</v>
      </c>
      <c r="F5" s="61" t="s">
        <v>112</v>
      </c>
      <c r="G5" s="61" t="s">
        <v>47</v>
      </c>
      <c r="H5" s="65" t="s">
        <v>48</v>
      </c>
      <c r="I5" s="666" t="s">
        <v>25</v>
      </c>
      <c r="J5" s="667" t="s">
        <v>27</v>
      </c>
      <c r="K5" s="668" t="s">
        <v>25</v>
      </c>
      <c r="L5" s="669" t="s">
        <v>27</v>
      </c>
      <c r="M5" s="670" t="s">
        <v>31</v>
      </c>
    </row>
    <row r="6" spans="1:15" s="679" customFormat="1" ht="28.5" customHeight="1">
      <c r="A6" s="442"/>
      <c r="B6" s="445"/>
      <c r="C6" s="672" t="s">
        <v>20</v>
      </c>
      <c r="D6" s="673"/>
      <c r="E6" s="62">
        <f>E7*('площади '!C2+'площади '!C16+'площади '!C17)</f>
        <v>124.27999999999997</v>
      </c>
      <c r="F6" s="62">
        <f>'площади '!D2*F7</f>
        <v>1008.91</v>
      </c>
      <c r="G6" s="62">
        <f>20*G7</f>
        <v>620</v>
      </c>
      <c r="H6" s="66">
        <f>E6+F6+G6</f>
        <v>1753.19</v>
      </c>
      <c r="I6" s="674"/>
      <c r="J6" s="675"/>
      <c r="K6" s="676"/>
      <c r="L6" s="677"/>
      <c r="M6" s="678"/>
    </row>
    <row r="7" spans="1:15" s="679" customFormat="1" ht="17.25" customHeight="1" thickBot="1">
      <c r="A7" s="443"/>
      <c r="B7" s="446"/>
      <c r="C7" s="691" t="s">
        <v>111</v>
      </c>
      <c r="D7" s="680"/>
      <c r="E7" s="63">
        <v>2</v>
      </c>
      <c r="F7" s="63">
        <v>29</v>
      </c>
      <c r="G7" s="63">
        <v>31</v>
      </c>
      <c r="H7" s="345"/>
      <c r="I7" s="681" t="s">
        <v>28</v>
      </c>
      <c r="J7" s="682"/>
      <c r="K7" s="683" t="s">
        <v>29</v>
      </c>
      <c r="L7" s="684"/>
      <c r="M7" s="685"/>
    </row>
    <row r="8" spans="1:15" s="671" customFormat="1" ht="18.75" customHeight="1" thickBot="1">
      <c r="A8" s="686"/>
      <c r="B8" s="686"/>
      <c r="C8" s="687" t="s">
        <v>146</v>
      </c>
      <c r="D8" s="688"/>
      <c r="E8" s="688"/>
      <c r="F8" s="688"/>
      <c r="G8" s="688"/>
      <c r="H8" s="689"/>
      <c r="I8" s="687"/>
      <c r="J8" s="689"/>
      <c r="K8" s="447"/>
      <c r="L8" s="448"/>
      <c r="M8" s="690"/>
    </row>
    <row r="9" spans="1:15" ht="17.25" customHeight="1" thickBot="1">
      <c r="A9" s="500"/>
      <c r="B9" s="463"/>
      <c r="C9" s="464" t="s">
        <v>6</v>
      </c>
      <c r="D9" s="464"/>
      <c r="E9" s="464"/>
      <c r="F9" s="464"/>
      <c r="G9" s="464"/>
      <c r="H9" s="464"/>
      <c r="I9" s="464"/>
      <c r="J9" s="501"/>
      <c r="K9" s="502"/>
      <c r="L9" s="503"/>
      <c r="M9" s="504"/>
    </row>
    <row r="10" spans="1:15" ht="35.25" customHeight="1">
      <c r="A10" s="385">
        <v>1</v>
      </c>
      <c r="B10" s="465" t="s">
        <v>194</v>
      </c>
      <c r="C10" s="505" t="s">
        <v>10</v>
      </c>
      <c r="D10" s="506"/>
      <c r="E10" s="506">
        <f>E7*1</f>
        <v>2</v>
      </c>
      <c r="F10" s="506">
        <f>F7*1</f>
        <v>29</v>
      </c>
      <c r="G10" s="506">
        <f>G7*1</f>
        <v>31</v>
      </c>
      <c r="H10" s="714">
        <f>SUM(E10:G10)</f>
        <v>62</v>
      </c>
      <c r="I10" s="507"/>
      <c r="J10" s="508"/>
      <c r="K10" s="723">
        <v>1500</v>
      </c>
      <c r="L10" s="724"/>
      <c r="M10" s="793"/>
    </row>
    <row r="11" spans="1:15" ht="17.25" customHeight="1">
      <c r="A11" s="617"/>
      <c r="B11" s="478" t="s">
        <v>195</v>
      </c>
      <c r="C11" s="509" t="s">
        <v>3</v>
      </c>
      <c r="D11" s="510">
        <f>50</f>
        <v>50</v>
      </c>
      <c r="E11" s="707">
        <f>D11*E10</f>
        <v>100</v>
      </c>
      <c r="F11" s="707">
        <f>D11*F10</f>
        <v>1450</v>
      </c>
      <c r="G11" s="707">
        <f>D11*G10</f>
        <v>1550</v>
      </c>
      <c r="H11" s="715">
        <f>SUM(E11:G11)</f>
        <v>3100</v>
      </c>
      <c r="I11" s="511">
        <f>2.2</f>
        <v>2.2000000000000002</v>
      </c>
      <c r="J11" s="512">
        <f>H11*I11</f>
        <v>6820.0000000000009</v>
      </c>
      <c r="K11" s="785"/>
      <c r="L11" s="786"/>
      <c r="M11" s="794"/>
    </row>
    <row r="12" spans="1:15" ht="17.25" customHeight="1">
      <c r="A12" s="391"/>
      <c r="B12" s="479" t="s">
        <v>30</v>
      </c>
      <c r="C12" s="513"/>
      <c r="D12" s="514"/>
      <c r="E12" s="708"/>
      <c r="F12" s="708"/>
      <c r="G12" s="708"/>
      <c r="H12" s="716"/>
      <c r="I12" s="895"/>
      <c r="J12" s="515">
        <f>SUM(J11)</f>
        <v>6820.0000000000009</v>
      </c>
      <c r="K12" s="725"/>
      <c r="L12" s="726">
        <f>K10*H10</f>
        <v>93000</v>
      </c>
      <c r="M12" s="469">
        <f>J12+L12</f>
        <v>99820</v>
      </c>
      <c r="O12" s="498">
        <v>99820</v>
      </c>
    </row>
    <row r="13" spans="1:15" ht="33.75" customHeight="1">
      <c r="A13" s="516">
        <v>2</v>
      </c>
      <c r="B13" s="359" t="s">
        <v>247</v>
      </c>
      <c r="C13" s="517" t="s">
        <v>0</v>
      </c>
      <c r="D13" s="518"/>
      <c r="E13" s="518">
        <f>('площади '!C2)*E7</f>
        <v>87.299999999999983</v>
      </c>
      <c r="F13" s="518">
        <f>('площади '!D2+4.24)*F7</f>
        <v>1131.8700000000001</v>
      </c>
      <c r="G13" s="518">
        <f>G7*0</f>
        <v>0</v>
      </c>
      <c r="H13" s="519">
        <f>E13+F13+G13</f>
        <v>1219.17</v>
      </c>
      <c r="I13" s="520"/>
      <c r="J13" s="521"/>
      <c r="K13" s="727">
        <f>580</f>
        <v>580</v>
      </c>
      <c r="L13" s="728"/>
      <c r="M13" s="795"/>
    </row>
    <row r="14" spans="1:15" ht="18.75" customHeight="1">
      <c r="A14" s="859"/>
      <c r="B14" s="483" t="s">
        <v>158</v>
      </c>
      <c r="C14" s="522" t="s">
        <v>3</v>
      </c>
      <c r="D14" s="523">
        <v>0.25</v>
      </c>
      <c r="E14" s="523">
        <f>E13*D14</f>
        <v>21.824999999999996</v>
      </c>
      <c r="F14" s="523">
        <f>F13*D14</f>
        <v>282.96750000000003</v>
      </c>
      <c r="G14" s="523">
        <f>G13*D14</f>
        <v>0</v>
      </c>
      <c r="H14" s="715">
        <f>SUM(E14:G14)</f>
        <v>304.79250000000002</v>
      </c>
      <c r="I14" s="787">
        <v>33</v>
      </c>
      <c r="J14" s="524">
        <f>H14*I14</f>
        <v>10058.1525</v>
      </c>
      <c r="K14" s="729"/>
      <c r="L14" s="730"/>
      <c r="M14" s="796"/>
    </row>
    <row r="15" spans="1:15" ht="18.75" customHeight="1">
      <c r="A15" s="332"/>
      <c r="B15" s="481" t="s">
        <v>144</v>
      </c>
      <c r="C15" s="522" t="s">
        <v>3</v>
      </c>
      <c r="D15" s="523">
        <f>12</f>
        <v>12</v>
      </c>
      <c r="E15" s="523">
        <f>E13*D15</f>
        <v>1047.5999999999999</v>
      </c>
      <c r="F15" s="523">
        <f>F13*D15</f>
        <v>13582.440000000002</v>
      </c>
      <c r="G15" s="523">
        <f>G13*D15</f>
        <v>0</v>
      </c>
      <c r="H15" s="715">
        <f t="shared" ref="H15:H18" si="0">SUM(E15:G15)</f>
        <v>14630.040000000003</v>
      </c>
      <c r="I15" s="525">
        <f>6.28</f>
        <v>6.28</v>
      </c>
      <c r="J15" s="524">
        <f>H15*I15</f>
        <v>91876.651200000022</v>
      </c>
      <c r="K15" s="729"/>
      <c r="L15" s="730"/>
      <c r="M15" s="796"/>
    </row>
    <row r="16" spans="1:15" ht="18.75" customHeight="1">
      <c r="A16" s="332"/>
      <c r="B16" s="481" t="s">
        <v>145</v>
      </c>
      <c r="C16" s="522" t="s">
        <v>3</v>
      </c>
      <c r="D16" s="523">
        <v>0.25</v>
      </c>
      <c r="E16" s="523">
        <f>E13*D16</f>
        <v>21.824999999999996</v>
      </c>
      <c r="F16" s="523">
        <f>F13*D16</f>
        <v>282.96750000000003</v>
      </c>
      <c r="G16" s="523">
        <f>G13*D16</f>
        <v>0</v>
      </c>
      <c r="H16" s="715">
        <f t="shared" si="0"/>
        <v>304.79250000000002</v>
      </c>
      <c r="I16" s="525">
        <f>24.85</f>
        <v>24.85</v>
      </c>
      <c r="J16" s="524">
        <f>H16*I16</f>
        <v>7574.0936250000013</v>
      </c>
      <c r="K16" s="729"/>
      <c r="L16" s="730"/>
      <c r="M16" s="796"/>
    </row>
    <row r="17" spans="1:15" ht="18.75" customHeight="1">
      <c r="A17" s="526"/>
      <c r="B17" s="377" t="s">
        <v>50</v>
      </c>
      <c r="C17" s="522" t="s">
        <v>0</v>
      </c>
      <c r="D17" s="523">
        <v>1.07</v>
      </c>
      <c r="E17" s="523">
        <f>(E13-E18)*D17</f>
        <v>87.640703999999999</v>
      </c>
      <c r="F17" s="523">
        <f>F13*D17</f>
        <v>1211.1009000000001</v>
      </c>
      <c r="G17" s="523">
        <f>G13*D17</f>
        <v>0</v>
      </c>
      <c r="H17" s="715">
        <f t="shared" si="0"/>
        <v>1298.7416040000001</v>
      </c>
      <c r="I17" s="525">
        <f>530</f>
        <v>530</v>
      </c>
      <c r="J17" s="524">
        <f t="shared" ref="J17:J18" si="1">H17*I17</f>
        <v>688333.05012000003</v>
      </c>
      <c r="K17" s="731"/>
      <c r="L17" s="732"/>
      <c r="M17" s="797"/>
    </row>
    <row r="18" spans="1:15" ht="37.5" customHeight="1">
      <c r="A18" s="526"/>
      <c r="B18" s="377" t="s">
        <v>106</v>
      </c>
      <c r="C18" s="522" t="s">
        <v>0</v>
      </c>
      <c r="D18" s="523">
        <v>1.07</v>
      </c>
      <c r="E18" s="523">
        <f>'площади '!C3*E7*D18</f>
        <v>5.3928000000000003</v>
      </c>
      <c r="F18" s="523">
        <f>0*F7</f>
        <v>0</v>
      </c>
      <c r="G18" s="523">
        <f>G13*D18</f>
        <v>0</v>
      </c>
      <c r="H18" s="715">
        <f t="shared" si="0"/>
        <v>5.3928000000000003</v>
      </c>
      <c r="I18" s="525">
        <v>1200</v>
      </c>
      <c r="J18" s="524">
        <f t="shared" si="1"/>
        <v>6471.3600000000006</v>
      </c>
      <c r="K18" s="731"/>
      <c r="L18" s="732"/>
      <c r="M18" s="797"/>
    </row>
    <row r="19" spans="1:15" ht="18.75" customHeight="1">
      <c r="A19" s="526"/>
      <c r="B19" s="482" t="s">
        <v>30</v>
      </c>
      <c r="C19" s="527"/>
      <c r="D19" s="528"/>
      <c r="E19" s="528"/>
      <c r="F19" s="528"/>
      <c r="G19" s="528"/>
      <c r="H19" s="529"/>
      <c r="I19" s="530"/>
      <c r="J19" s="531">
        <f>SUM(J14:J18)</f>
        <v>804313.30744500004</v>
      </c>
      <c r="K19" s="788"/>
      <c r="L19" s="733">
        <f>K13*H13</f>
        <v>707118.60000000009</v>
      </c>
      <c r="M19" s="108">
        <f>J19+L19</f>
        <v>1511431.907445</v>
      </c>
      <c r="O19" s="498">
        <v>1511431.91</v>
      </c>
    </row>
    <row r="20" spans="1:15" ht="37.5" customHeight="1">
      <c r="A20" s="532">
        <v>3</v>
      </c>
      <c r="B20" s="365" t="s">
        <v>199</v>
      </c>
      <c r="C20" s="533" t="s">
        <v>0</v>
      </c>
      <c r="D20" s="534"/>
      <c r="E20" s="535">
        <f>E7*'площади '!C16</f>
        <v>23.52</v>
      </c>
      <c r="F20" s="535">
        <f>F7*0</f>
        <v>0</v>
      </c>
      <c r="G20" s="535">
        <f>G7*0</f>
        <v>0</v>
      </c>
      <c r="H20" s="519">
        <f>E20+F20+G20</f>
        <v>23.52</v>
      </c>
      <c r="I20" s="573"/>
      <c r="J20" s="536"/>
      <c r="K20" s="734">
        <v>90</v>
      </c>
      <c r="L20" s="789"/>
      <c r="M20" s="798"/>
    </row>
    <row r="21" spans="1:15" ht="18.75" customHeight="1">
      <c r="A21" s="860"/>
      <c r="B21" s="483" t="s">
        <v>143</v>
      </c>
      <c r="C21" s="496" t="s">
        <v>3</v>
      </c>
      <c r="D21" s="537">
        <v>0.15</v>
      </c>
      <c r="E21" s="537">
        <f>E20*D21</f>
        <v>3.528</v>
      </c>
      <c r="F21" s="537">
        <f>D21*F20</f>
        <v>0</v>
      </c>
      <c r="G21" s="537">
        <f>D21*G20</f>
        <v>0</v>
      </c>
      <c r="H21" s="715">
        <f>SUM(E21:G21)</f>
        <v>3.528</v>
      </c>
      <c r="I21" s="702">
        <f>21.5</f>
        <v>21.5</v>
      </c>
      <c r="J21" s="538">
        <f>H21*I21</f>
        <v>75.852000000000004</v>
      </c>
      <c r="K21" s="738"/>
      <c r="L21" s="742"/>
      <c r="M21" s="539"/>
    </row>
    <row r="22" spans="1:15" ht="18.75" customHeight="1">
      <c r="A22" s="540"/>
      <c r="B22" s="483" t="s">
        <v>154</v>
      </c>
      <c r="C22" s="496" t="s">
        <v>3</v>
      </c>
      <c r="D22" s="537">
        <v>4</v>
      </c>
      <c r="E22" s="537">
        <f>E20*D22</f>
        <v>94.08</v>
      </c>
      <c r="F22" s="537">
        <f>D22*F20</f>
        <v>0</v>
      </c>
      <c r="G22" s="537">
        <f>D22*G20</f>
        <v>0</v>
      </c>
      <c r="H22" s="715">
        <f>SUM(E22:G22)</f>
        <v>94.08</v>
      </c>
      <c r="I22" s="702">
        <f>9.9</f>
        <v>9.9</v>
      </c>
      <c r="J22" s="538">
        <f>H22*I22</f>
        <v>931.39200000000005</v>
      </c>
      <c r="K22" s="738"/>
      <c r="L22" s="742"/>
      <c r="M22" s="539"/>
    </row>
    <row r="23" spans="1:15" ht="18.75" customHeight="1">
      <c r="A23" s="541"/>
      <c r="B23" s="482" t="s">
        <v>30</v>
      </c>
      <c r="C23" s="542"/>
      <c r="D23" s="543"/>
      <c r="E23" s="543"/>
      <c r="F23" s="544"/>
      <c r="G23" s="544"/>
      <c r="H23" s="545"/>
      <c r="I23" s="895"/>
      <c r="J23" s="515">
        <f>SUM(J21:J22)</f>
        <v>1007.244</v>
      </c>
      <c r="K23" s="740"/>
      <c r="L23" s="602">
        <f>K20*H20</f>
        <v>2116.8000000000002</v>
      </c>
      <c r="M23" s="475">
        <f>J23+L23</f>
        <v>3124.0440000000003</v>
      </c>
      <c r="O23" s="498">
        <v>3124</v>
      </c>
    </row>
    <row r="24" spans="1:15" ht="18.75" customHeight="1">
      <c r="A24" s="516">
        <v>4</v>
      </c>
      <c r="B24" s="359" t="s">
        <v>200</v>
      </c>
      <c r="C24" s="505" t="s">
        <v>0</v>
      </c>
      <c r="D24" s="506"/>
      <c r="E24" s="506">
        <f>E7*'площади '!C16</f>
        <v>23.52</v>
      </c>
      <c r="F24" s="506">
        <f>F7*0</f>
        <v>0</v>
      </c>
      <c r="G24" s="506">
        <f>G7*0</f>
        <v>0</v>
      </c>
      <c r="H24" s="519">
        <f>E24+F24+G24</f>
        <v>23.52</v>
      </c>
      <c r="I24" s="896"/>
      <c r="J24" s="508"/>
      <c r="K24" s="723">
        <v>120</v>
      </c>
      <c r="L24" s="735"/>
      <c r="M24" s="793"/>
    </row>
    <row r="25" spans="1:15" ht="18.75" customHeight="1">
      <c r="A25" s="859"/>
      <c r="B25" s="243" t="s">
        <v>196</v>
      </c>
      <c r="C25" s="546" t="s">
        <v>0</v>
      </c>
      <c r="D25" s="547">
        <v>1.08</v>
      </c>
      <c r="E25" s="547">
        <f>(E24*1)*D25</f>
        <v>25.401600000000002</v>
      </c>
      <c r="F25" s="547">
        <f t="shared" ref="F25:G25" si="2">(F24*1)*E25</f>
        <v>0</v>
      </c>
      <c r="G25" s="547">
        <f t="shared" si="2"/>
        <v>0</v>
      </c>
      <c r="H25" s="717">
        <f>SUM(E25:G25)</f>
        <v>25.401600000000002</v>
      </c>
      <c r="I25" s="897">
        <v>57.3</v>
      </c>
      <c r="J25" s="548">
        <f>H25*I25</f>
        <v>1455.5116800000001</v>
      </c>
      <c r="K25" s="736"/>
      <c r="L25" s="737"/>
      <c r="M25" s="799"/>
    </row>
    <row r="26" spans="1:15" ht="18.75" customHeight="1">
      <c r="A26" s="332"/>
      <c r="B26" s="203" t="s">
        <v>197</v>
      </c>
      <c r="C26" s="546" t="s">
        <v>10</v>
      </c>
      <c r="D26" s="547">
        <v>1</v>
      </c>
      <c r="E26" s="547">
        <f>0.05*E24</f>
        <v>1.1759999999999999</v>
      </c>
      <c r="F26" s="547">
        <f>0.05*F24</f>
        <v>0</v>
      </c>
      <c r="G26" s="547">
        <f t="shared" ref="G26" si="3">0.05*G24</f>
        <v>0</v>
      </c>
      <c r="H26" s="717">
        <f t="shared" ref="H26:H27" si="4">SUM(E26:G26)</f>
        <v>1.1759999999999999</v>
      </c>
      <c r="I26" s="897">
        <v>50</v>
      </c>
      <c r="J26" s="548">
        <f>H26*I26</f>
        <v>58.8</v>
      </c>
      <c r="K26" s="736"/>
      <c r="L26" s="737"/>
      <c r="M26" s="799"/>
    </row>
    <row r="27" spans="1:15" ht="18.75" customHeight="1">
      <c r="A27" s="526"/>
      <c r="B27" s="484" t="s">
        <v>198</v>
      </c>
      <c r="C27" s="546" t="s">
        <v>0</v>
      </c>
      <c r="D27" s="547">
        <v>1.06</v>
      </c>
      <c r="E27" s="547">
        <f>E24*D27</f>
        <v>24.9312</v>
      </c>
      <c r="F27" s="547">
        <f t="shared" ref="F27:G27" si="5">F24*E27</f>
        <v>0</v>
      </c>
      <c r="G27" s="547">
        <f t="shared" si="5"/>
        <v>0</v>
      </c>
      <c r="H27" s="717">
        <f t="shared" si="4"/>
        <v>24.9312</v>
      </c>
      <c r="I27" s="897">
        <v>280</v>
      </c>
      <c r="J27" s="548">
        <f>H27*I27</f>
        <v>6980.7359999999999</v>
      </c>
      <c r="K27" s="736"/>
      <c r="L27" s="737"/>
      <c r="M27" s="799"/>
    </row>
    <row r="28" spans="1:15" ht="18.75" customHeight="1">
      <c r="A28" s="541"/>
      <c r="B28" s="479" t="s">
        <v>30</v>
      </c>
      <c r="C28" s="549"/>
      <c r="D28" s="550"/>
      <c r="E28" s="550"/>
      <c r="F28" s="544"/>
      <c r="G28" s="544"/>
      <c r="H28" s="545"/>
      <c r="I28" s="898"/>
      <c r="J28" s="515">
        <f>SUM(J25:J27)</f>
        <v>8495.0476799999997</v>
      </c>
      <c r="K28" s="740"/>
      <c r="L28" s="602">
        <f>K24*H24</f>
        <v>2822.4</v>
      </c>
      <c r="M28" s="475">
        <f>J28+L28</f>
        <v>11317.447679999999</v>
      </c>
      <c r="O28" s="498">
        <v>11317</v>
      </c>
    </row>
    <row r="29" spans="1:15" ht="18.75" customHeight="1">
      <c r="A29" s="516">
        <v>5</v>
      </c>
      <c r="B29" s="360" t="s">
        <v>201</v>
      </c>
      <c r="C29" s="551" t="s">
        <v>11</v>
      </c>
      <c r="D29" s="534"/>
      <c r="E29" s="552">
        <f>E7*'площади '!C16</f>
        <v>23.52</v>
      </c>
      <c r="F29" s="534">
        <f>F7*0</f>
        <v>0</v>
      </c>
      <c r="G29" s="534">
        <f>G7*0</f>
        <v>0</v>
      </c>
      <c r="H29" s="553">
        <f>E29+F29+G29</f>
        <v>23.52</v>
      </c>
      <c r="I29" s="554"/>
      <c r="J29" s="555"/>
      <c r="K29" s="554">
        <f>90+120</f>
        <v>210</v>
      </c>
      <c r="L29" s="728"/>
      <c r="M29" s="795"/>
    </row>
    <row r="30" spans="1:15" s="557" customFormat="1" ht="18.75" customHeight="1">
      <c r="A30" s="859"/>
      <c r="B30" s="431" t="s">
        <v>159</v>
      </c>
      <c r="C30" s="432" t="s">
        <v>11</v>
      </c>
      <c r="D30" s="433">
        <v>1.1000000000000001</v>
      </c>
      <c r="E30" s="433">
        <f>D30*E29</f>
        <v>25.872</v>
      </c>
      <c r="F30" s="556">
        <f>F29*D30</f>
        <v>0</v>
      </c>
      <c r="G30" s="556">
        <f>G29*D30</f>
        <v>0</v>
      </c>
      <c r="H30" s="717">
        <f>SUM(E30:G30)</f>
        <v>25.872</v>
      </c>
      <c r="I30" s="803">
        <v>33.25</v>
      </c>
      <c r="J30" s="800">
        <f t="shared" ref="J30:J35" si="6">H30*I30</f>
        <v>860.24400000000003</v>
      </c>
      <c r="K30" s="801"/>
      <c r="L30" s="602"/>
      <c r="M30" s="802"/>
    </row>
    <row r="31" spans="1:15" s="557" customFormat="1" ht="18.75" customHeight="1">
      <c r="A31" s="332"/>
      <c r="B31" s="431" t="s">
        <v>160</v>
      </c>
      <c r="C31" s="432" t="s">
        <v>10</v>
      </c>
      <c r="D31" s="433">
        <v>1</v>
      </c>
      <c r="E31" s="433">
        <v>4</v>
      </c>
      <c r="F31" s="556">
        <f>F29*D31</f>
        <v>0</v>
      </c>
      <c r="G31" s="556">
        <f>G29*D31</f>
        <v>0</v>
      </c>
      <c r="H31" s="717">
        <f t="shared" ref="H31:H36" si="7">SUM(E31:G31)</f>
        <v>4</v>
      </c>
      <c r="I31" s="803">
        <v>6.18</v>
      </c>
      <c r="J31" s="800">
        <f t="shared" si="6"/>
        <v>24.72</v>
      </c>
      <c r="K31" s="801"/>
      <c r="L31" s="602"/>
      <c r="M31" s="802"/>
    </row>
    <row r="32" spans="1:15" s="557" customFormat="1" ht="18.75" customHeight="1">
      <c r="A32" s="332"/>
      <c r="B32" s="431" t="s">
        <v>161</v>
      </c>
      <c r="C32" s="432" t="s">
        <v>10</v>
      </c>
      <c r="D32" s="433">
        <v>1</v>
      </c>
      <c r="E32" s="433">
        <v>0</v>
      </c>
      <c r="F32" s="556">
        <f>F29*D32</f>
        <v>0</v>
      </c>
      <c r="G32" s="556">
        <f>G29*D32</f>
        <v>0</v>
      </c>
      <c r="H32" s="717">
        <f t="shared" si="7"/>
        <v>0</v>
      </c>
      <c r="I32" s="803">
        <v>6.18</v>
      </c>
      <c r="J32" s="800">
        <f t="shared" si="6"/>
        <v>0</v>
      </c>
      <c r="K32" s="801"/>
      <c r="L32" s="602"/>
      <c r="M32" s="802"/>
    </row>
    <row r="33" spans="1:15" s="557" customFormat="1" ht="18.75" customHeight="1">
      <c r="A33" s="332"/>
      <c r="B33" s="431" t="s">
        <v>162</v>
      </c>
      <c r="C33" s="432" t="s">
        <v>151</v>
      </c>
      <c r="D33" s="433">
        <v>1</v>
      </c>
      <c r="E33" s="433">
        <v>2</v>
      </c>
      <c r="F33" s="556">
        <f>F29*D33</f>
        <v>0</v>
      </c>
      <c r="G33" s="556">
        <f>G29*D33</f>
        <v>0</v>
      </c>
      <c r="H33" s="717">
        <f t="shared" si="7"/>
        <v>2</v>
      </c>
      <c r="I33" s="803">
        <f>5.23*2</f>
        <v>10.46</v>
      </c>
      <c r="J33" s="800">
        <f t="shared" si="6"/>
        <v>20.92</v>
      </c>
      <c r="K33" s="801"/>
      <c r="L33" s="602"/>
      <c r="M33" s="802"/>
    </row>
    <row r="34" spans="1:15" s="557" customFormat="1" ht="18.75" customHeight="1">
      <c r="A34" s="526"/>
      <c r="B34" s="431" t="s">
        <v>163</v>
      </c>
      <c r="C34" s="432" t="s">
        <v>10</v>
      </c>
      <c r="D34" s="433">
        <v>1</v>
      </c>
      <c r="E34" s="433">
        <v>4</v>
      </c>
      <c r="F34" s="556">
        <f>F29*D34</f>
        <v>0</v>
      </c>
      <c r="G34" s="556">
        <f>G29*D34</f>
        <v>0</v>
      </c>
      <c r="H34" s="717">
        <f t="shared" si="7"/>
        <v>4</v>
      </c>
      <c r="I34" s="803">
        <v>5.23</v>
      </c>
      <c r="J34" s="800">
        <f t="shared" si="6"/>
        <v>20.92</v>
      </c>
      <c r="K34" s="804"/>
      <c r="L34" s="805"/>
      <c r="M34" s="797"/>
    </row>
    <row r="35" spans="1:15" s="557" customFormat="1" ht="18.75" customHeight="1">
      <c r="A35" s="332"/>
      <c r="B35" s="434" t="s">
        <v>188</v>
      </c>
      <c r="C35" s="432" t="s">
        <v>10</v>
      </c>
      <c r="D35" s="433">
        <v>3.6</v>
      </c>
      <c r="E35" s="433">
        <f>D35*E30</f>
        <v>93.139200000000002</v>
      </c>
      <c r="F35" s="556">
        <f>F29*D35</f>
        <v>0</v>
      </c>
      <c r="G35" s="556">
        <f>G29*D35</f>
        <v>0</v>
      </c>
      <c r="H35" s="717">
        <f t="shared" si="7"/>
        <v>93.139200000000002</v>
      </c>
      <c r="I35" s="596">
        <f>0.5</f>
        <v>0.5</v>
      </c>
      <c r="J35" s="800">
        <f t="shared" si="6"/>
        <v>46.569600000000001</v>
      </c>
      <c r="K35" s="801"/>
      <c r="L35" s="602"/>
      <c r="M35" s="802"/>
    </row>
    <row r="36" spans="1:15" s="557" customFormat="1" ht="18.75" customHeight="1">
      <c r="A36" s="332"/>
      <c r="B36" s="477" t="s">
        <v>202</v>
      </c>
      <c r="C36" s="432" t="s">
        <v>10</v>
      </c>
      <c r="D36" s="433">
        <v>1</v>
      </c>
      <c r="E36" s="433">
        <f>E7*2</f>
        <v>4</v>
      </c>
      <c r="F36" s="556">
        <f>F30*D36</f>
        <v>0</v>
      </c>
      <c r="G36" s="556">
        <f>G30*D36</f>
        <v>0</v>
      </c>
      <c r="H36" s="717">
        <f t="shared" si="7"/>
        <v>4</v>
      </c>
      <c r="I36" s="803">
        <v>180</v>
      </c>
      <c r="J36" s="548">
        <f>H36*I36</f>
        <v>720</v>
      </c>
      <c r="K36" s="801"/>
      <c r="L36" s="602"/>
      <c r="M36" s="802"/>
    </row>
    <row r="37" spans="1:15" s="557" customFormat="1" ht="18.75" customHeight="1">
      <c r="A37" s="526"/>
      <c r="B37" s="482" t="s">
        <v>30</v>
      </c>
      <c r="C37" s="558"/>
      <c r="D37" s="559"/>
      <c r="E37" s="559"/>
      <c r="F37" s="559"/>
      <c r="G37" s="559"/>
      <c r="H37" s="560"/>
      <c r="I37" s="806"/>
      <c r="J37" s="807">
        <f>SUM(J30:J36)</f>
        <v>1693.3735999999999</v>
      </c>
      <c r="K37" s="725"/>
      <c r="L37" s="808">
        <f>K29*H29</f>
        <v>4939.2</v>
      </c>
      <c r="M37" s="108">
        <f>J37+L37</f>
        <v>6632.5735999999997</v>
      </c>
      <c r="O37" s="557">
        <v>6632</v>
      </c>
    </row>
    <row r="38" spans="1:15" s="557" customFormat="1" ht="37.5" customHeight="1">
      <c r="A38" s="516">
        <v>6</v>
      </c>
      <c r="B38" s="365" t="s">
        <v>204</v>
      </c>
      <c r="C38" s="505" t="s">
        <v>0</v>
      </c>
      <c r="D38" s="506"/>
      <c r="E38" s="552">
        <f>E7*'площади '!C17</f>
        <v>13.46</v>
      </c>
      <c r="F38" s="534">
        <f>F7*0</f>
        <v>0</v>
      </c>
      <c r="G38" s="534">
        <f>G7*0</f>
        <v>0</v>
      </c>
      <c r="H38" s="553">
        <f>E38+F38+G38</f>
        <v>13.46</v>
      </c>
      <c r="I38" s="896"/>
      <c r="J38" s="508"/>
      <c r="K38" s="723">
        <v>40</v>
      </c>
      <c r="L38" s="735"/>
      <c r="M38" s="793"/>
    </row>
    <row r="39" spans="1:15" s="557" customFormat="1" ht="18.75" customHeight="1">
      <c r="A39" s="861"/>
      <c r="B39" s="258" t="s">
        <v>203</v>
      </c>
      <c r="C39" s="496" t="s">
        <v>3</v>
      </c>
      <c r="D39" s="537">
        <f>1.2</f>
        <v>1.2</v>
      </c>
      <c r="E39" s="537">
        <f>E38*D39</f>
        <v>16.152000000000001</v>
      </c>
      <c r="F39" s="537">
        <f>D39*F38</f>
        <v>0</v>
      </c>
      <c r="G39" s="537">
        <f>D39*G38</f>
        <v>0</v>
      </c>
      <c r="H39" s="715">
        <f>SUM(E39:G39)</f>
        <v>16.152000000000001</v>
      </c>
      <c r="I39" s="702">
        <v>150</v>
      </c>
      <c r="J39" s="538">
        <f>H39*I39</f>
        <v>2422.8000000000002</v>
      </c>
      <c r="K39" s="738"/>
      <c r="L39" s="739"/>
      <c r="M39" s="809"/>
    </row>
    <row r="40" spans="1:15" s="557" customFormat="1" ht="18.75" customHeight="1">
      <c r="A40" s="541"/>
      <c r="B40" s="479" t="s">
        <v>30</v>
      </c>
      <c r="C40" s="542"/>
      <c r="D40" s="543"/>
      <c r="E40" s="561"/>
      <c r="F40" s="544"/>
      <c r="G40" s="544"/>
      <c r="H40" s="562"/>
      <c r="I40" s="895"/>
      <c r="J40" s="515">
        <f>SUM(J39)</f>
        <v>2422.8000000000002</v>
      </c>
      <c r="K40" s="740"/>
      <c r="L40" s="741">
        <f>K38*H38</f>
        <v>538.40000000000009</v>
      </c>
      <c r="M40" s="475">
        <f>J40+L40</f>
        <v>2961.2000000000003</v>
      </c>
      <c r="O40" s="557">
        <v>2961</v>
      </c>
    </row>
    <row r="41" spans="1:15" s="557" customFormat="1" ht="38.25" customHeight="1">
      <c r="A41" s="516">
        <v>7</v>
      </c>
      <c r="B41" s="494" t="s">
        <v>207</v>
      </c>
      <c r="C41" s="505" t="s">
        <v>0</v>
      </c>
      <c r="D41" s="506"/>
      <c r="E41" s="506">
        <f>E7*'площади '!C17</f>
        <v>13.46</v>
      </c>
      <c r="F41" s="534">
        <f>F7*0</f>
        <v>0</v>
      </c>
      <c r="G41" s="534">
        <f>G7*0</f>
        <v>0</v>
      </c>
      <c r="H41" s="553">
        <f>E41+F41+G41</f>
        <v>13.46</v>
      </c>
      <c r="I41" s="896"/>
      <c r="J41" s="508"/>
      <c r="K41" s="723">
        <v>440</v>
      </c>
      <c r="L41" s="555"/>
      <c r="M41" s="492"/>
    </row>
    <row r="42" spans="1:15" s="557" customFormat="1" ht="18.75" customHeight="1">
      <c r="A42" s="860"/>
      <c r="B42" s="483" t="s">
        <v>158</v>
      </c>
      <c r="C42" s="496" t="s">
        <v>3</v>
      </c>
      <c r="D42" s="537">
        <v>0.25</v>
      </c>
      <c r="E42" s="523">
        <f>E41*D42</f>
        <v>3.3650000000000002</v>
      </c>
      <c r="F42" s="523">
        <f>F41*D42</f>
        <v>0</v>
      </c>
      <c r="G42" s="523">
        <f>G41*D42</f>
        <v>0</v>
      </c>
      <c r="H42" s="715">
        <f>SUM(E42:G42)</f>
        <v>3.3650000000000002</v>
      </c>
      <c r="I42" s="702">
        <v>33</v>
      </c>
      <c r="J42" s="538">
        <f>H42*I42</f>
        <v>111.045</v>
      </c>
      <c r="K42" s="738"/>
      <c r="L42" s="742"/>
      <c r="M42" s="475"/>
    </row>
    <row r="43" spans="1:15" s="557" customFormat="1" ht="18.75" customHeight="1">
      <c r="A43" s="540"/>
      <c r="B43" s="483" t="s">
        <v>144</v>
      </c>
      <c r="C43" s="496" t="s">
        <v>3</v>
      </c>
      <c r="D43" s="537">
        <v>12</v>
      </c>
      <c r="E43" s="523">
        <f>E41*D43</f>
        <v>161.52000000000001</v>
      </c>
      <c r="F43" s="523">
        <f>F41*D43</f>
        <v>0</v>
      </c>
      <c r="G43" s="523">
        <f>G41*D43</f>
        <v>0</v>
      </c>
      <c r="H43" s="715">
        <f t="shared" ref="H43:H45" si="8">SUM(E43:G43)</f>
        <v>161.52000000000001</v>
      </c>
      <c r="I43" s="702">
        <v>6.28</v>
      </c>
      <c r="J43" s="538">
        <f>H43*I43</f>
        <v>1014.3456000000001</v>
      </c>
      <c r="K43" s="738"/>
      <c r="L43" s="742"/>
      <c r="M43" s="493"/>
    </row>
    <row r="44" spans="1:15" s="557" customFormat="1" ht="18.75" customHeight="1">
      <c r="A44" s="332"/>
      <c r="B44" s="377" t="s">
        <v>205</v>
      </c>
      <c r="C44" s="496" t="s">
        <v>3</v>
      </c>
      <c r="D44" s="537">
        <v>0.25</v>
      </c>
      <c r="E44" s="523">
        <f>E41*D44</f>
        <v>3.3650000000000002</v>
      </c>
      <c r="F44" s="523">
        <f>F41*D44</f>
        <v>0</v>
      </c>
      <c r="G44" s="523">
        <f>G41*D44</f>
        <v>0</v>
      </c>
      <c r="H44" s="715">
        <f t="shared" si="8"/>
        <v>3.3650000000000002</v>
      </c>
      <c r="I44" s="702">
        <v>24.85</v>
      </c>
      <c r="J44" s="538">
        <f>H44*I44</f>
        <v>83.620250000000013</v>
      </c>
      <c r="K44" s="738"/>
      <c r="L44" s="742"/>
      <c r="M44" s="493"/>
    </row>
    <row r="45" spans="1:15" s="557" customFormat="1" ht="18.75" customHeight="1">
      <c r="A45" s="526"/>
      <c r="B45" s="480" t="s">
        <v>206</v>
      </c>
      <c r="C45" s="496" t="s">
        <v>0</v>
      </c>
      <c r="D45" s="537">
        <v>1.07</v>
      </c>
      <c r="E45" s="523">
        <f>E41*D45</f>
        <v>14.402200000000002</v>
      </c>
      <c r="F45" s="523">
        <f>F41*D45</f>
        <v>0</v>
      </c>
      <c r="G45" s="523">
        <f>G41*D45</f>
        <v>0</v>
      </c>
      <c r="H45" s="715">
        <f t="shared" si="8"/>
        <v>14.402200000000002</v>
      </c>
      <c r="I45" s="702">
        <v>277</v>
      </c>
      <c r="J45" s="538">
        <f>H45*I45</f>
        <v>3989.4094000000005</v>
      </c>
      <c r="K45" s="738"/>
      <c r="L45" s="742"/>
      <c r="M45" s="493"/>
    </row>
    <row r="46" spans="1:15" s="557" customFormat="1" ht="18.75" customHeight="1">
      <c r="A46" s="526"/>
      <c r="B46" s="479" t="s">
        <v>30</v>
      </c>
      <c r="C46" s="563"/>
      <c r="D46" s="561"/>
      <c r="E46" s="561"/>
      <c r="F46" s="544"/>
      <c r="G46" s="544"/>
      <c r="H46" s="562"/>
      <c r="I46" s="899"/>
      <c r="J46" s="564">
        <f>SUM(J42:J45)</f>
        <v>5198.420250000001</v>
      </c>
      <c r="K46" s="740"/>
      <c r="L46" s="602">
        <f>K41*H41</f>
        <v>5922.4000000000005</v>
      </c>
      <c r="M46" s="475">
        <f>J46+L46</f>
        <v>11120.820250000001</v>
      </c>
      <c r="O46" s="557">
        <v>11120</v>
      </c>
    </row>
    <row r="47" spans="1:15" s="557" customFormat="1" ht="22.5" customHeight="1">
      <c r="A47" s="516">
        <v>8</v>
      </c>
      <c r="B47" s="439" t="s">
        <v>230</v>
      </c>
      <c r="C47" s="565" t="s">
        <v>11</v>
      </c>
      <c r="D47" s="506"/>
      <c r="E47" s="506">
        <f>1.3*E7</f>
        <v>2.6</v>
      </c>
      <c r="F47" s="534">
        <f>F7*0</f>
        <v>0</v>
      </c>
      <c r="G47" s="534">
        <f>G7*0</f>
        <v>0</v>
      </c>
      <c r="H47" s="553">
        <f>E47+F47+G47</f>
        <v>2.6</v>
      </c>
      <c r="I47" s="900"/>
      <c r="J47" s="921"/>
      <c r="K47" s="810">
        <v>100</v>
      </c>
      <c r="L47" s="811"/>
      <c r="M47" s="812"/>
    </row>
    <row r="48" spans="1:15" s="557" customFormat="1" ht="18.75" customHeight="1">
      <c r="A48" s="861"/>
      <c r="B48" s="455" t="s">
        <v>101</v>
      </c>
      <c r="C48" s="566" t="s">
        <v>13</v>
      </c>
      <c r="D48" s="510">
        <v>1</v>
      </c>
      <c r="E48" s="510">
        <f>E47*D48</f>
        <v>2.6</v>
      </c>
      <c r="F48" s="567">
        <f>F47*D48</f>
        <v>0</v>
      </c>
      <c r="G48" s="567">
        <f>G47*D48</f>
        <v>0</v>
      </c>
      <c r="H48" s="568">
        <f>E48+F48+G48</f>
        <v>2.6</v>
      </c>
      <c r="I48" s="575">
        <v>180</v>
      </c>
      <c r="J48" s="813">
        <f>I48*H48</f>
        <v>468</v>
      </c>
      <c r="K48" s="738"/>
      <c r="L48" s="814"/>
      <c r="M48" s="815"/>
    </row>
    <row r="49" spans="1:15" s="557" customFormat="1" ht="18.75" customHeight="1">
      <c r="A49" s="526"/>
      <c r="B49" s="458" t="s">
        <v>208</v>
      </c>
      <c r="C49" s="432" t="s">
        <v>11</v>
      </c>
      <c r="D49" s="547">
        <v>1</v>
      </c>
      <c r="E49" s="547">
        <f>D49*E47</f>
        <v>2.6</v>
      </c>
      <c r="F49" s="567">
        <f>F47*D49</f>
        <v>0</v>
      </c>
      <c r="G49" s="567">
        <f>G47*D49</f>
        <v>0</v>
      </c>
      <c r="H49" s="568">
        <f>E49+F49+G49</f>
        <v>2.6</v>
      </c>
      <c r="I49" s="901">
        <v>115</v>
      </c>
      <c r="J49" s="800">
        <f>I49*H49</f>
        <v>299</v>
      </c>
      <c r="K49" s="736"/>
      <c r="L49" s="816"/>
      <c r="M49" s="815"/>
    </row>
    <row r="50" spans="1:15" s="557" customFormat="1" ht="18.75" customHeight="1">
      <c r="A50" s="569"/>
      <c r="B50" s="456" t="s">
        <v>30</v>
      </c>
      <c r="C50" s="570"/>
      <c r="D50" s="713"/>
      <c r="E50" s="712"/>
      <c r="F50" s="561"/>
      <c r="G50" s="561"/>
      <c r="H50" s="562"/>
      <c r="I50" s="902"/>
      <c r="J50" s="817">
        <f>SUM(J48:J49)</f>
        <v>767</v>
      </c>
      <c r="K50" s="818"/>
      <c r="L50" s="818">
        <f>K47*H47</f>
        <v>260</v>
      </c>
      <c r="M50" s="469">
        <f>L50+J50</f>
        <v>1027</v>
      </c>
      <c r="O50" s="557">
        <v>1027</v>
      </c>
    </row>
    <row r="51" spans="1:15" ht="15.75" customHeight="1" thickBot="1">
      <c r="A51" s="435"/>
      <c r="B51" s="118"/>
      <c r="C51" s="435" t="s">
        <v>7</v>
      </c>
      <c r="D51" s="709"/>
      <c r="E51" s="709"/>
      <c r="F51" s="709"/>
      <c r="G51" s="709"/>
      <c r="H51" s="718"/>
      <c r="I51" s="903"/>
      <c r="J51" s="819"/>
      <c r="K51" s="819"/>
      <c r="L51" s="819"/>
      <c r="M51" s="820"/>
    </row>
    <row r="52" spans="1:15" s="557" customFormat="1" ht="15.75" customHeight="1">
      <c r="A52" s="571">
        <v>9</v>
      </c>
      <c r="B52" s="365" t="s">
        <v>157</v>
      </c>
      <c r="C52" s="551" t="s">
        <v>0</v>
      </c>
      <c r="D52" s="534"/>
      <c r="E52" s="534">
        <f>0*E7</f>
        <v>0</v>
      </c>
      <c r="F52" s="534">
        <f>F7*'площади '!D14</f>
        <v>113.1</v>
      </c>
      <c r="G52" s="534">
        <f t="shared" ref="G52" si="9">0*G7</f>
        <v>0</v>
      </c>
      <c r="H52" s="572">
        <f>E52+F52+G52</f>
        <v>113.1</v>
      </c>
      <c r="I52" s="573"/>
      <c r="J52" s="536"/>
      <c r="K52" s="743">
        <f>580</f>
        <v>580</v>
      </c>
      <c r="L52" s="744"/>
      <c r="M52" s="821"/>
    </row>
    <row r="53" spans="1:15" s="557" customFormat="1" ht="15.75" customHeight="1">
      <c r="A53" s="862"/>
      <c r="B53" s="258" t="s">
        <v>235</v>
      </c>
      <c r="C53" s="396" t="s">
        <v>0</v>
      </c>
      <c r="D53" s="567">
        <v>2.0499999999999998</v>
      </c>
      <c r="E53" s="567">
        <f>D53*E52</f>
        <v>0</v>
      </c>
      <c r="F53" s="567">
        <f>D53*F52</f>
        <v>231.85499999999996</v>
      </c>
      <c r="G53" s="567">
        <f>D53*G52</f>
        <v>0</v>
      </c>
      <c r="H53" s="574">
        <f>E53+F53+G53</f>
        <v>231.85499999999996</v>
      </c>
      <c r="I53" s="575">
        <v>116.15</v>
      </c>
      <c r="J53" s="538">
        <f>H53*I53</f>
        <v>26929.958249999996</v>
      </c>
      <c r="K53" s="745"/>
      <c r="L53" s="822"/>
      <c r="M53" s="823"/>
    </row>
    <row r="54" spans="1:15" s="557" customFormat="1" ht="15.75" customHeight="1">
      <c r="A54" s="577"/>
      <c r="B54" s="480" t="s">
        <v>164</v>
      </c>
      <c r="C54" s="396" t="s">
        <v>11</v>
      </c>
      <c r="D54" s="567">
        <v>0.75</v>
      </c>
      <c r="E54" s="567">
        <f>D54*E52</f>
        <v>0</v>
      </c>
      <c r="F54" s="567">
        <f>D54*F52</f>
        <v>84.824999999999989</v>
      </c>
      <c r="G54" s="567">
        <f>D54*G52</f>
        <v>0</v>
      </c>
      <c r="H54" s="574">
        <f t="shared" ref="H54:H60" si="10">E54+F54+G54</f>
        <v>84.824999999999989</v>
      </c>
      <c r="I54" s="575">
        <v>12.41</v>
      </c>
      <c r="J54" s="538">
        <f t="shared" ref="J54:J60" si="11">H54*I54</f>
        <v>1052.6782499999999</v>
      </c>
      <c r="K54" s="745"/>
      <c r="L54" s="824"/>
      <c r="M54" s="823"/>
    </row>
    <row r="55" spans="1:15" s="557" customFormat="1" ht="15.75" customHeight="1">
      <c r="A55" s="577"/>
      <c r="B55" s="480" t="s">
        <v>165</v>
      </c>
      <c r="C55" s="396" t="s">
        <v>11</v>
      </c>
      <c r="D55" s="567">
        <v>2</v>
      </c>
      <c r="E55" s="567">
        <f>D55*E52</f>
        <v>0</v>
      </c>
      <c r="F55" s="567">
        <f>D55*F52</f>
        <v>226.2</v>
      </c>
      <c r="G55" s="567">
        <f>D55*G52</f>
        <v>0</v>
      </c>
      <c r="H55" s="574">
        <f t="shared" si="10"/>
        <v>226.2</v>
      </c>
      <c r="I55" s="575">
        <f>20.3</f>
        <v>20.3</v>
      </c>
      <c r="J55" s="538">
        <f t="shared" si="11"/>
        <v>4591.8599999999997</v>
      </c>
      <c r="K55" s="745"/>
      <c r="L55" s="824"/>
      <c r="M55" s="823"/>
    </row>
    <row r="56" spans="1:15" s="557" customFormat="1" ht="15.75" customHeight="1">
      <c r="A56" s="577"/>
      <c r="B56" s="480" t="s">
        <v>166</v>
      </c>
      <c r="C56" s="396" t="s">
        <v>11</v>
      </c>
      <c r="D56" s="578">
        <v>0.75</v>
      </c>
      <c r="E56" s="567">
        <f>D56*E52</f>
        <v>0</v>
      </c>
      <c r="F56" s="567">
        <f>D56*F52</f>
        <v>84.824999999999989</v>
      </c>
      <c r="G56" s="567">
        <f>D56*G52</f>
        <v>0</v>
      </c>
      <c r="H56" s="574">
        <f t="shared" si="10"/>
        <v>84.824999999999989</v>
      </c>
      <c r="I56" s="579">
        <f>21.43</f>
        <v>21.43</v>
      </c>
      <c r="J56" s="538">
        <f t="shared" si="11"/>
        <v>1817.7997499999997</v>
      </c>
      <c r="K56" s="580"/>
      <c r="L56" s="824"/>
      <c r="M56" s="823"/>
    </row>
    <row r="57" spans="1:15" s="557" customFormat="1" ht="15.75" customHeight="1">
      <c r="A57" s="577"/>
      <c r="B57" s="258" t="s">
        <v>75</v>
      </c>
      <c r="C57" s="396" t="s">
        <v>10</v>
      </c>
      <c r="D57" s="567">
        <v>5</v>
      </c>
      <c r="E57" s="567">
        <f>D57*E52</f>
        <v>0</v>
      </c>
      <c r="F57" s="567">
        <f>D57*F52</f>
        <v>565.5</v>
      </c>
      <c r="G57" s="567">
        <f>D57*G52</f>
        <v>0</v>
      </c>
      <c r="H57" s="574">
        <f t="shared" si="10"/>
        <v>565.5</v>
      </c>
      <c r="I57" s="575">
        <f>0.5</f>
        <v>0.5</v>
      </c>
      <c r="J57" s="538">
        <f t="shared" si="11"/>
        <v>282.75</v>
      </c>
      <c r="K57" s="745"/>
      <c r="L57" s="824"/>
      <c r="M57" s="823"/>
    </row>
    <row r="58" spans="1:15" s="557" customFormat="1" ht="15.75" customHeight="1">
      <c r="A58" s="577"/>
      <c r="B58" s="110" t="s">
        <v>167</v>
      </c>
      <c r="C58" s="396" t="s">
        <v>10</v>
      </c>
      <c r="D58" s="567">
        <v>15</v>
      </c>
      <c r="E58" s="567">
        <f>D58*E52</f>
        <v>0</v>
      </c>
      <c r="F58" s="567">
        <f>D58*F52</f>
        <v>1696.5</v>
      </c>
      <c r="G58" s="567">
        <f>D58*G52</f>
        <v>0</v>
      </c>
      <c r="H58" s="574">
        <f t="shared" si="10"/>
        <v>1696.5</v>
      </c>
      <c r="I58" s="581">
        <f>231.25/1000</f>
        <v>0.23125000000000001</v>
      </c>
      <c r="J58" s="538">
        <f t="shared" si="11"/>
        <v>392.31562500000001</v>
      </c>
      <c r="K58" s="745"/>
      <c r="L58" s="824"/>
      <c r="M58" s="823"/>
    </row>
    <row r="59" spans="1:15" s="557" customFormat="1" ht="16.5" customHeight="1">
      <c r="A59" s="577"/>
      <c r="B59" s="258" t="s">
        <v>168</v>
      </c>
      <c r="C59" s="396" t="s">
        <v>10</v>
      </c>
      <c r="D59" s="567">
        <v>30</v>
      </c>
      <c r="E59" s="567">
        <f>D59*E52</f>
        <v>0</v>
      </c>
      <c r="F59" s="567">
        <f>D59*F52</f>
        <v>3393</v>
      </c>
      <c r="G59" s="567">
        <f>D59*G52</f>
        <v>0</v>
      </c>
      <c r="H59" s="574">
        <f t="shared" si="10"/>
        <v>3393</v>
      </c>
      <c r="I59" s="581">
        <f>200.08/1000</f>
        <v>0.20008000000000001</v>
      </c>
      <c r="J59" s="538">
        <f t="shared" si="11"/>
        <v>678.87144000000001</v>
      </c>
      <c r="K59" s="745"/>
      <c r="L59" s="824"/>
      <c r="M59" s="823"/>
    </row>
    <row r="60" spans="1:15" s="557" customFormat="1" ht="15.75" customHeight="1">
      <c r="A60" s="576"/>
      <c r="B60" s="213" t="s">
        <v>66</v>
      </c>
      <c r="C60" s="396" t="s">
        <v>10</v>
      </c>
      <c r="D60" s="567">
        <v>1</v>
      </c>
      <c r="E60" s="567">
        <f>D60*E52</f>
        <v>0</v>
      </c>
      <c r="F60" s="567">
        <f>2*F7</f>
        <v>58</v>
      </c>
      <c r="G60" s="567">
        <f>D60*G52</f>
        <v>0</v>
      </c>
      <c r="H60" s="574">
        <f t="shared" si="10"/>
        <v>58</v>
      </c>
      <c r="I60" s="575">
        <f>25.4</f>
        <v>25.4</v>
      </c>
      <c r="J60" s="538">
        <f t="shared" si="11"/>
        <v>1473.1999999999998</v>
      </c>
      <c r="K60" s="825"/>
      <c r="L60" s="822"/>
      <c r="M60" s="823"/>
    </row>
    <row r="61" spans="1:15" s="557" customFormat="1" ht="15.75" customHeight="1">
      <c r="A61" s="391"/>
      <c r="B61" s="479" t="s">
        <v>30</v>
      </c>
      <c r="C61" s="582"/>
      <c r="D61" s="583"/>
      <c r="E61" s="583"/>
      <c r="F61" s="583"/>
      <c r="G61" s="583"/>
      <c r="H61" s="584"/>
      <c r="I61" s="585"/>
      <c r="J61" s="586">
        <f>SUM(J53:J60)</f>
        <v>37219.433315000002</v>
      </c>
      <c r="K61" s="746"/>
      <c r="L61" s="747">
        <f>H52*K52</f>
        <v>65598</v>
      </c>
      <c r="M61" s="108">
        <f>J61+L61</f>
        <v>102817.433315</v>
      </c>
      <c r="O61" s="557">
        <v>102817</v>
      </c>
    </row>
    <row r="62" spans="1:15" s="557" customFormat="1" ht="15.75" customHeight="1">
      <c r="A62" s="571">
        <v>10</v>
      </c>
      <c r="B62" s="365" t="s">
        <v>236</v>
      </c>
      <c r="C62" s="551" t="s">
        <v>0</v>
      </c>
      <c r="D62" s="534"/>
      <c r="E62" s="534">
        <f>0*E16</f>
        <v>0</v>
      </c>
      <c r="F62" s="534">
        <f>1.1*F7</f>
        <v>31.900000000000002</v>
      </c>
      <c r="G62" s="534">
        <f t="shared" ref="G62" si="12">0*G16</f>
        <v>0</v>
      </c>
      <c r="H62" s="519">
        <f>E62+F62+G62</f>
        <v>31.900000000000002</v>
      </c>
      <c r="I62" s="573"/>
      <c r="J62" s="536"/>
      <c r="K62" s="743">
        <f>580</f>
        <v>580</v>
      </c>
      <c r="L62" s="744"/>
      <c r="M62" s="821"/>
    </row>
    <row r="63" spans="1:15" s="557" customFormat="1" ht="15.75" customHeight="1">
      <c r="A63" s="862"/>
      <c r="B63" s="258" t="s">
        <v>235</v>
      </c>
      <c r="C63" s="396" t="s">
        <v>0</v>
      </c>
      <c r="D63" s="567">
        <v>2.0499999999999998</v>
      </c>
      <c r="E63" s="567">
        <f>D63*E62</f>
        <v>0</v>
      </c>
      <c r="F63" s="567">
        <f>D63*F62</f>
        <v>65.394999999999996</v>
      </c>
      <c r="G63" s="567">
        <f>D63*G62</f>
        <v>0</v>
      </c>
      <c r="H63" s="574">
        <f>E63+F63+G63</f>
        <v>65.394999999999996</v>
      </c>
      <c r="I63" s="575">
        <v>116.15</v>
      </c>
      <c r="J63" s="538">
        <f>H63*I63</f>
        <v>7595.62925</v>
      </c>
      <c r="K63" s="825"/>
      <c r="L63" s="822"/>
      <c r="M63" s="823"/>
    </row>
    <row r="64" spans="1:15" s="557" customFormat="1" ht="15.75" customHeight="1">
      <c r="A64" s="577"/>
      <c r="B64" s="857" t="s">
        <v>164</v>
      </c>
      <c r="C64" s="396" t="s">
        <v>11</v>
      </c>
      <c r="D64" s="567">
        <v>0.75</v>
      </c>
      <c r="E64" s="567">
        <f>D64*E62</f>
        <v>0</v>
      </c>
      <c r="F64" s="567">
        <f>D64*F62</f>
        <v>23.925000000000001</v>
      </c>
      <c r="G64" s="567">
        <f>D64*G62</f>
        <v>0</v>
      </c>
      <c r="H64" s="574">
        <f t="shared" ref="H64:H69" si="13">E64+F64+G64</f>
        <v>23.925000000000001</v>
      </c>
      <c r="I64" s="858">
        <v>12.41</v>
      </c>
      <c r="J64" s="538">
        <f t="shared" ref="J64:J69" si="14">H64*I64</f>
        <v>296.90924999999999</v>
      </c>
      <c r="K64" s="826"/>
      <c r="L64" s="824"/>
      <c r="M64" s="823"/>
    </row>
    <row r="65" spans="1:15" s="557" customFormat="1" ht="15.75" customHeight="1">
      <c r="A65" s="577"/>
      <c r="B65" s="857" t="s">
        <v>165</v>
      </c>
      <c r="C65" s="396" t="s">
        <v>11</v>
      </c>
      <c r="D65" s="567">
        <v>2</v>
      </c>
      <c r="E65" s="567">
        <f>D65*E62</f>
        <v>0</v>
      </c>
      <c r="F65" s="567">
        <f>D65*F62</f>
        <v>63.800000000000004</v>
      </c>
      <c r="G65" s="567">
        <f>D65*G62</f>
        <v>0</v>
      </c>
      <c r="H65" s="574">
        <f t="shared" si="13"/>
        <v>63.800000000000004</v>
      </c>
      <c r="I65" s="575">
        <v>20.3</v>
      </c>
      <c r="J65" s="538">
        <f t="shared" si="14"/>
        <v>1295.1400000000001</v>
      </c>
      <c r="K65" s="826"/>
      <c r="L65" s="824"/>
      <c r="M65" s="823"/>
    </row>
    <row r="66" spans="1:15" s="557" customFormat="1" ht="15.75" customHeight="1">
      <c r="A66" s="577"/>
      <c r="B66" s="258" t="s">
        <v>75</v>
      </c>
      <c r="C66" s="396" t="s">
        <v>10</v>
      </c>
      <c r="D66" s="567">
        <v>5</v>
      </c>
      <c r="E66" s="567">
        <f>D66*E62</f>
        <v>0</v>
      </c>
      <c r="F66" s="567">
        <f>D66*F62</f>
        <v>159.5</v>
      </c>
      <c r="G66" s="567">
        <f>D66*G62</f>
        <v>0</v>
      </c>
      <c r="H66" s="574">
        <f t="shared" si="13"/>
        <v>159.5</v>
      </c>
      <c r="I66" s="575">
        <f>0.5</f>
        <v>0.5</v>
      </c>
      <c r="J66" s="538">
        <f t="shared" si="14"/>
        <v>79.75</v>
      </c>
      <c r="K66" s="826"/>
      <c r="L66" s="824"/>
      <c r="M66" s="823"/>
    </row>
    <row r="67" spans="1:15" s="557" customFormat="1" ht="15.75" customHeight="1">
      <c r="A67" s="577"/>
      <c r="B67" s="110" t="s">
        <v>167</v>
      </c>
      <c r="C67" s="396" t="s">
        <v>10</v>
      </c>
      <c r="D67" s="567">
        <v>15</v>
      </c>
      <c r="E67" s="567">
        <f>D67*E62</f>
        <v>0</v>
      </c>
      <c r="F67" s="567">
        <f>D67*F62</f>
        <v>478.50000000000006</v>
      </c>
      <c r="G67" s="567">
        <f>D67*G62</f>
        <v>0</v>
      </c>
      <c r="H67" s="574">
        <f t="shared" si="13"/>
        <v>478.50000000000006</v>
      </c>
      <c r="I67" s="581">
        <f>231.25/1000</f>
        <v>0.23125000000000001</v>
      </c>
      <c r="J67" s="538">
        <f t="shared" si="14"/>
        <v>110.65312500000002</v>
      </c>
      <c r="K67" s="826"/>
      <c r="L67" s="824"/>
      <c r="M67" s="823"/>
    </row>
    <row r="68" spans="1:15" s="557" customFormat="1" ht="15.75" customHeight="1">
      <c r="A68" s="577"/>
      <c r="B68" s="258" t="s">
        <v>168</v>
      </c>
      <c r="C68" s="396" t="s">
        <v>10</v>
      </c>
      <c r="D68" s="567">
        <v>30</v>
      </c>
      <c r="E68" s="567">
        <f>D68*E62</f>
        <v>0</v>
      </c>
      <c r="F68" s="567">
        <f>D68*F62</f>
        <v>957.00000000000011</v>
      </c>
      <c r="G68" s="567">
        <f>D68*G62</f>
        <v>0</v>
      </c>
      <c r="H68" s="574">
        <f t="shared" si="13"/>
        <v>957.00000000000011</v>
      </c>
      <c r="I68" s="581">
        <f>200.08/1000</f>
        <v>0.20008000000000001</v>
      </c>
      <c r="J68" s="538">
        <f t="shared" si="14"/>
        <v>191.47656000000003</v>
      </c>
      <c r="K68" s="826"/>
      <c r="L68" s="824"/>
      <c r="M68" s="823"/>
    </row>
    <row r="69" spans="1:15" s="557" customFormat="1" ht="15.75" customHeight="1">
      <c r="A69" s="576"/>
      <c r="B69" s="213" t="s">
        <v>66</v>
      </c>
      <c r="C69" s="396" t="s">
        <v>10</v>
      </c>
      <c r="D69" s="567">
        <v>1</v>
      </c>
      <c r="E69" s="567">
        <f>D69*E62</f>
        <v>0</v>
      </c>
      <c r="F69" s="567">
        <f>D69*F62</f>
        <v>31.900000000000002</v>
      </c>
      <c r="G69" s="567">
        <f>D69*G62</f>
        <v>0</v>
      </c>
      <c r="H69" s="574">
        <f t="shared" si="13"/>
        <v>31.900000000000002</v>
      </c>
      <c r="I69" s="575">
        <f>25.4</f>
        <v>25.4</v>
      </c>
      <c r="J69" s="538">
        <f t="shared" si="14"/>
        <v>810.26</v>
      </c>
      <c r="K69" s="826"/>
      <c r="L69" s="824"/>
      <c r="M69" s="823"/>
    </row>
    <row r="70" spans="1:15" s="557" customFormat="1" ht="15.75" customHeight="1">
      <c r="A70" s="391"/>
      <c r="B70" s="479" t="s">
        <v>30</v>
      </c>
      <c r="C70" s="582"/>
      <c r="D70" s="583"/>
      <c r="E70" s="583"/>
      <c r="F70" s="583"/>
      <c r="G70" s="583"/>
      <c r="H70" s="584"/>
      <c r="I70" s="585"/>
      <c r="J70" s="586">
        <f>SUM(J63:J69)</f>
        <v>10379.818185</v>
      </c>
      <c r="K70" s="746"/>
      <c r="L70" s="747">
        <f>H62*K62</f>
        <v>18502</v>
      </c>
      <c r="M70" s="108">
        <f>J70+L70</f>
        <v>28881.818185</v>
      </c>
      <c r="O70" s="557">
        <v>28881</v>
      </c>
    </row>
    <row r="71" spans="1:15" s="557" customFormat="1" ht="32.25" customHeight="1">
      <c r="A71" s="923">
        <v>11</v>
      </c>
      <c r="B71" s="871" t="s">
        <v>248</v>
      </c>
      <c r="C71" s="872" t="s">
        <v>0</v>
      </c>
      <c r="D71" s="873"/>
      <c r="E71" s="534">
        <f>0*E7</f>
        <v>0</v>
      </c>
      <c r="F71" s="534">
        <f>2.87*F7</f>
        <v>83.23</v>
      </c>
      <c r="G71" s="534">
        <f>0*G7</f>
        <v>0</v>
      </c>
      <c r="H71" s="519">
        <f>E71+F71+G71</f>
        <v>83.23</v>
      </c>
      <c r="I71" s="904"/>
      <c r="J71" s="922"/>
      <c r="K71" s="884">
        <v>480</v>
      </c>
      <c r="L71" s="885"/>
      <c r="M71" s="886"/>
    </row>
    <row r="72" spans="1:15" s="557" customFormat="1" ht="15.75" customHeight="1">
      <c r="A72" s="874"/>
      <c r="B72" s="875" t="s">
        <v>235</v>
      </c>
      <c r="C72" s="876" t="s">
        <v>0</v>
      </c>
      <c r="D72" s="877">
        <v>2</v>
      </c>
      <c r="E72" s="567">
        <f>D72*E71</f>
        <v>0</v>
      </c>
      <c r="F72" s="567">
        <f>D72*F71</f>
        <v>166.46</v>
      </c>
      <c r="G72" s="567">
        <f>D72*G71</f>
        <v>0</v>
      </c>
      <c r="H72" s="574">
        <f>E72+F72+G72</f>
        <v>166.46</v>
      </c>
      <c r="I72" s="905">
        <v>116.15</v>
      </c>
      <c r="J72" s="887">
        <f>H72*I72</f>
        <v>19334.329000000002</v>
      </c>
      <c r="K72" s="888"/>
      <c r="L72" s="889"/>
      <c r="M72" s="890"/>
    </row>
    <row r="73" spans="1:15" s="557" customFormat="1" ht="15.75" customHeight="1">
      <c r="A73" s="874"/>
      <c r="B73" s="480" t="s">
        <v>166</v>
      </c>
      <c r="C73" s="876" t="s">
        <v>241</v>
      </c>
      <c r="D73" s="877">
        <v>0.7</v>
      </c>
      <c r="E73" s="567">
        <f>D73*E71</f>
        <v>0</v>
      </c>
      <c r="F73" s="567">
        <f>D73*F71</f>
        <v>58.260999999999996</v>
      </c>
      <c r="G73" s="567">
        <f>D73*G71</f>
        <v>0</v>
      </c>
      <c r="H73" s="574">
        <f t="shared" ref="H73:H78" si="15">E73+F73+G73</f>
        <v>58.260999999999996</v>
      </c>
      <c r="I73" s="575">
        <f>12.41</f>
        <v>12.41</v>
      </c>
      <c r="J73" s="887">
        <f t="shared" ref="J73:J78" si="16">H73*I73</f>
        <v>723.01900999999998</v>
      </c>
      <c r="K73" s="888"/>
      <c r="L73" s="889"/>
      <c r="M73" s="890"/>
    </row>
    <row r="74" spans="1:15" s="557" customFormat="1" ht="15.75" customHeight="1">
      <c r="A74" s="874"/>
      <c r="B74" s="875" t="s">
        <v>245</v>
      </c>
      <c r="C74" s="876" t="s">
        <v>241</v>
      </c>
      <c r="D74" s="877">
        <v>2</v>
      </c>
      <c r="E74" s="567">
        <f>D74*E71</f>
        <v>0</v>
      </c>
      <c r="F74" s="567">
        <f>D74*F71</f>
        <v>166.46</v>
      </c>
      <c r="G74" s="567">
        <f>D74*G71</f>
        <v>0</v>
      </c>
      <c r="H74" s="574">
        <f t="shared" si="15"/>
        <v>166.46</v>
      </c>
      <c r="I74" s="575">
        <v>27.52</v>
      </c>
      <c r="J74" s="887">
        <f t="shared" si="16"/>
        <v>4580.9791999999998</v>
      </c>
      <c r="K74" s="888"/>
      <c r="L74" s="889"/>
      <c r="M74" s="890"/>
    </row>
    <row r="75" spans="1:15" s="557" customFormat="1" ht="15.75" customHeight="1">
      <c r="A75" s="874"/>
      <c r="B75" s="878" t="s">
        <v>188</v>
      </c>
      <c r="C75" s="876" t="s">
        <v>10</v>
      </c>
      <c r="D75" s="877">
        <v>5</v>
      </c>
      <c r="E75" s="567">
        <f>D75*E71</f>
        <v>0</v>
      </c>
      <c r="F75" s="567">
        <f>D75*F71</f>
        <v>416.15000000000003</v>
      </c>
      <c r="G75" s="567">
        <f>D75*G71</f>
        <v>0</v>
      </c>
      <c r="H75" s="574">
        <f t="shared" si="15"/>
        <v>416.15000000000003</v>
      </c>
      <c r="I75" s="905">
        <v>0.5</v>
      </c>
      <c r="J75" s="887">
        <f t="shared" si="16"/>
        <v>208.07500000000002</v>
      </c>
      <c r="K75" s="888"/>
      <c r="L75" s="889"/>
      <c r="M75" s="890"/>
    </row>
    <row r="76" spans="1:15" s="557" customFormat="1" ht="15.75" customHeight="1">
      <c r="A76" s="874"/>
      <c r="B76" s="878" t="s">
        <v>242</v>
      </c>
      <c r="C76" s="876" t="s">
        <v>10</v>
      </c>
      <c r="D76" s="877">
        <v>15</v>
      </c>
      <c r="E76" s="567">
        <f>D76*E71</f>
        <v>0</v>
      </c>
      <c r="F76" s="567">
        <f>D76*F71</f>
        <v>1248.45</v>
      </c>
      <c r="G76" s="567">
        <f>D76*G71</f>
        <v>0</v>
      </c>
      <c r="H76" s="574">
        <f t="shared" si="15"/>
        <v>1248.45</v>
      </c>
      <c r="I76" s="905">
        <v>0.24</v>
      </c>
      <c r="J76" s="887">
        <f t="shared" si="16"/>
        <v>299.62799999999999</v>
      </c>
      <c r="K76" s="888"/>
      <c r="L76" s="889"/>
      <c r="M76" s="890"/>
    </row>
    <row r="77" spans="1:15" s="557" customFormat="1" ht="15.75" customHeight="1">
      <c r="A77" s="874"/>
      <c r="B77" s="878" t="s">
        <v>243</v>
      </c>
      <c r="C77" s="876" t="s">
        <v>10</v>
      </c>
      <c r="D77" s="877">
        <v>15</v>
      </c>
      <c r="E77" s="567">
        <f>D77*E71</f>
        <v>0</v>
      </c>
      <c r="F77" s="567">
        <f>D77*F71</f>
        <v>1248.45</v>
      </c>
      <c r="G77" s="567">
        <f>D77*G71</f>
        <v>0</v>
      </c>
      <c r="H77" s="574">
        <f t="shared" si="15"/>
        <v>1248.45</v>
      </c>
      <c r="I77" s="905">
        <v>0.2</v>
      </c>
      <c r="J77" s="887">
        <f t="shared" si="16"/>
        <v>249.69000000000003</v>
      </c>
      <c r="K77" s="888"/>
      <c r="L77" s="889"/>
      <c r="M77" s="890"/>
    </row>
    <row r="78" spans="1:15" s="557" customFormat="1" ht="15.75" customHeight="1">
      <c r="A78" s="874"/>
      <c r="B78" s="878" t="s">
        <v>244</v>
      </c>
      <c r="C78" s="876" t="s">
        <v>10</v>
      </c>
      <c r="D78" s="877">
        <v>30</v>
      </c>
      <c r="E78" s="567">
        <f>D78*E71</f>
        <v>0</v>
      </c>
      <c r="F78" s="567">
        <f>D78*F71</f>
        <v>2496.9</v>
      </c>
      <c r="G78" s="567">
        <f>D78*G71</f>
        <v>0</v>
      </c>
      <c r="H78" s="574">
        <f t="shared" si="15"/>
        <v>2496.9</v>
      </c>
      <c r="I78" s="905">
        <v>2.5</v>
      </c>
      <c r="J78" s="887">
        <f t="shared" si="16"/>
        <v>6242.25</v>
      </c>
      <c r="K78" s="888"/>
      <c r="L78" s="889"/>
      <c r="M78" s="890"/>
    </row>
    <row r="79" spans="1:15" s="557" customFormat="1" ht="15.75" customHeight="1">
      <c r="A79" s="874"/>
      <c r="B79" s="879" t="s">
        <v>30</v>
      </c>
      <c r="C79" s="880"/>
      <c r="D79" s="881"/>
      <c r="E79" s="882"/>
      <c r="F79" s="882"/>
      <c r="G79" s="882"/>
      <c r="H79" s="883"/>
      <c r="I79" s="891"/>
      <c r="J79" s="892">
        <f>SUM(J72:J78)</f>
        <v>31637.970210000003</v>
      </c>
      <c r="K79" s="888"/>
      <c r="L79" s="893">
        <f>K71*H71</f>
        <v>39950.400000000001</v>
      </c>
      <c r="M79" s="894">
        <f>J79+L79</f>
        <v>71588.370210000008</v>
      </c>
      <c r="O79" s="557">
        <v>71588</v>
      </c>
    </row>
    <row r="80" spans="1:15" ht="18" customHeight="1">
      <c r="A80" s="571">
        <v>12</v>
      </c>
      <c r="B80" s="365" t="s">
        <v>129</v>
      </c>
      <c r="C80" s="551" t="s">
        <v>0</v>
      </c>
      <c r="D80" s="534"/>
      <c r="E80" s="534">
        <f>E7*('площади '!C13+'площади '!C20+'площади '!C12+'площади '!C21)</f>
        <v>320.45999999999998</v>
      </c>
      <c r="F80" s="534">
        <f>('площади '!D12+'площади '!D13)*F7</f>
        <v>3216.1000000000004</v>
      </c>
      <c r="G80" s="534">
        <f>G7*60</f>
        <v>1860</v>
      </c>
      <c r="H80" s="572">
        <f>E80+F80+G80</f>
        <v>5396.56</v>
      </c>
      <c r="I80" s="573"/>
      <c r="J80" s="536"/>
      <c r="K80" s="743">
        <f>170</f>
        <v>170</v>
      </c>
      <c r="L80" s="744"/>
      <c r="M80" s="821"/>
    </row>
    <row r="81" spans="1:15" ht="18.75" customHeight="1">
      <c r="A81" s="863"/>
      <c r="B81" s="483" t="s">
        <v>158</v>
      </c>
      <c r="C81" s="396" t="s">
        <v>3</v>
      </c>
      <c r="D81" s="567">
        <v>0.25</v>
      </c>
      <c r="E81" s="567">
        <f>E80*D81</f>
        <v>80.114999999999995</v>
      </c>
      <c r="F81" s="567">
        <f>F80*D81</f>
        <v>804.02500000000009</v>
      </c>
      <c r="G81" s="567">
        <f>G80*D81</f>
        <v>465</v>
      </c>
      <c r="H81" s="574">
        <f>E81+F81+G81</f>
        <v>1349.14</v>
      </c>
      <c r="I81" s="575">
        <v>33</v>
      </c>
      <c r="J81" s="538">
        <f>H81*I81</f>
        <v>44521.62</v>
      </c>
      <c r="K81" s="745"/>
      <c r="L81" s="748"/>
      <c r="M81" s="796"/>
    </row>
    <row r="82" spans="1:15" ht="18.75" customHeight="1">
      <c r="A82" s="383"/>
      <c r="B82" s="377" t="s">
        <v>147</v>
      </c>
      <c r="C82" s="396" t="s">
        <v>3</v>
      </c>
      <c r="D82" s="567">
        <f>5</f>
        <v>5</v>
      </c>
      <c r="E82" s="567">
        <f>E80*D82</f>
        <v>1602.3</v>
      </c>
      <c r="F82" s="567">
        <f>F80*D82</f>
        <v>16080.500000000002</v>
      </c>
      <c r="G82" s="567">
        <f>G80*D82</f>
        <v>9300</v>
      </c>
      <c r="H82" s="574">
        <f t="shared" ref="H82:H83" si="17">E82+F82+G82</f>
        <v>26982.800000000003</v>
      </c>
      <c r="I82" s="575">
        <f>10.92</f>
        <v>10.92</v>
      </c>
      <c r="J82" s="538">
        <f t="shared" ref="J82" si="18">H82*I82</f>
        <v>294652.17600000004</v>
      </c>
      <c r="K82" s="745"/>
      <c r="L82" s="748"/>
      <c r="M82" s="796"/>
    </row>
    <row r="83" spans="1:15" ht="18.75" customHeight="1">
      <c r="A83" s="383"/>
      <c r="B83" s="213" t="s">
        <v>66</v>
      </c>
      <c r="C83" s="396" t="s">
        <v>10</v>
      </c>
      <c r="D83" s="567">
        <v>1</v>
      </c>
      <c r="E83" s="567">
        <f>20*E7</f>
        <v>40</v>
      </c>
      <c r="F83" s="567">
        <f>5*F7</f>
        <v>145</v>
      </c>
      <c r="G83" s="567">
        <f>15*G7</f>
        <v>465</v>
      </c>
      <c r="H83" s="574">
        <f t="shared" si="17"/>
        <v>650</v>
      </c>
      <c r="I83" s="575">
        <f>25.4</f>
        <v>25.4</v>
      </c>
      <c r="J83" s="538">
        <f>H83*I83</f>
        <v>16510</v>
      </c>
      <c r="K83" s="745"/>
      <c r="L83" s="748"/>
      <c r="M83" s="796"/>
    </row>
    <row r="84" spans="1:15" ht="18.75" customHeight="1">
      <c r="A84" s="391"/>
      <c r="B84" s="479" t="s">
        <v>30</v>
      </c>
      <c r="C84" s="582"/>
      <c r="D84" s="583"/>
      <c r="E84" s="583"/>
      <c r="F84" s="583"/>
      <c r="G84" s="583"/>
      <c r="H84" s="584"/>
      <c r="I84" s="585"/>
      <c r="J84" s="586">
        <f>SUM(J81:J83)</f>
        <v>355683.79600000003</v>
      </c>
      <c r="K84" s="749"/>
      <c r="L84" s="747">
        <f>K80*H80</f>
        <v>917415.20000000007</v>
      </c>
      <c r="M84" s="108">
        <f>J84+L84</f>
        <v>1273098.996</v>
      </c>
      <c r="O84" s="498">
        <v>1273099</v>
      </c>
    </row>
    <row r="85" spans="1:15" s="557" customFormat="1" ht="18.75" customHeight="1">
      <c r="A85" s="516">
        <v>13</v>
      </c>
      <c r="B85" s="439" t="s">
        <v>189</v>
      </c>
      <c r="C85" s="565" t="s">
        <v>0</v>
      </c>
      <c r="D85" s="587"/>
      <c r="E85" s="588">
        <f>E7*'площади '!C20</f>
        <v>60.1</v>
      </c>
      <c r="F85" s="534">
        <f>F7*0</f>
        <v>0</v>
      </c>
      <c r="G85" s="534">
        <f>G7*0</f>
        <v>0</v>
      </c>
      <c r="H85" s="572">
        <f>E85+F85+G85</f>
        <v>60.1</v>
      </c>
      <c r="I85" s="827"/>
      <c r="J85" s="828"/>
      <c r="K85" s="723">
        <f>130</f>
        <v>130</v>
      </c>
      <c r="L85" s="735"/>
      <c r="M85" s="795"/>
    </row>
    <row r="86" spans="1:15" s="557" customFormat="1" ht="18.75" customHeight="1">
      <c r="A86" s="861"/>
      <c r="B86" s="458" t="s">
        <v>143</v>
      </c>
      <c r="C86" s="432" t="s">
        <v>3</v>
      </c>
      <c r="D86" s="547">
        <v>0.15</v>
      </c>
      <c r="E86" s="710">
        <f>D86*E85</f>
        <v>9.0150000000000006</v>
      </c>
      <c r="F86" s="556">
        <f>F85*D86</f>
        <v>0</v>
      </c>
      <c r="G86" s="556">
        <f>G85*D86</f>
        <v>0</v>
      </c>
      <c r="H86" s="589">
        <f>E86+F86+G86</f>
        <v>9.0150000000000006</v>
      </c>
      <c r="I86" s="702">
        <f>21.5</f>
        <v>21.5</v>
      </c>
      <c r="J86" s="800">
        <f>H86*I86</f>
        <v>193.82250000000002</v>
      </c>
      <c r="K86" s="785"/>
      <c r="L86" s="829"/>
      <c r="M86" s="796"/>
    </row>
    <row r="87" spans="1:15" s="557" customFormat="1" ht="18.75" customHeight="1">
      <c r="A87" s="333"/>
      <c r="B87" s="431" t="s">
        <v>249</v>
      </c>
      <c r="C87" s="432" t="s">
        <v>3</v>
      </c>
      <c r="D87" s="547">
        <v>0.25</v>
      </c>
      <c r="E87" s="710">
        <f>D87*E85</f>
        <v>15.025</v>
      </c>
      <c r="F87" s="556">
        <f>F85*D87</f>
        <v>0</v>
      </c>
      <c r="G87" s="556">
        <f>G85*D87</f>
        <v>0</v>
      </c>
      <c r="H87" s="589">
        <f t="shared" ref="H87" si="19">E87+F87+G87</f>
        <v>15.025</v>
      </c>
      <c r="I87" s="596">
        <f>84.96</f>
        <v>84.96</v>
      </c>
      <c r="J87" s="800">
        <f>H87*I87</f>
        <v>1276.5239999999999</v>
      </c>
      <c r="K87" s="804"/>
      <c r="L87" s="805"/>
      <c r="M87" s="797"/>
    </row>
    <row r="88" spans="1:15" s="557" customFormat="1" ht="18.75" customHeight="1">
      <c r="A88" s="391"/>
      <c r="B88" s="479" t="s">
        <v>30</v>
      </c>
      <c r="C88" s="590"/>
      <c r="D88" s="514"/>
      <c r="E88" s="514"/>
      <c r="F88" s="514"/>
      <c r="G88" s="514"/>
      <c r="H88" s="584"/>
      <c r="I88" s="830"/>
      <c r="J88" s="831">
        <f>SUM(J86:J87)</f>
        <v>1470.3464999999999</v>
      </c>
      <c r="K88" s="725"/>
      <c r="L88" s="808">
        <f>K85*H85</f>
        <v>7813</v>
      </c>
      <c r="M88" s="108">
        <f>J88+L88</f>
        <v>9283.3464999999997</v>
      </c>
      <c r="O88" s="557">
        <v>9283</v>
      </c>
    </row>
    <row r="89" spans="1:15" ht="18.75" customHeight="1">
      <c r="A89" s="385">
        <v>14</v>
      </c>
      <c r="B89" s="360" t="s">
        <v>134</v>
      </c>
      <c r="C89" s="591" t="s">
        <v>0</v>
      </c>
      <c r="D89" s="592"/>
      <c r="E89" s="593">
        <f>'площади '!C13*E7</f>
        <v>132.07999999999998</v>
      </c>
      <c r="F89" s="593">
        <f>'площади '!D13*F7</f>
        <v>2880.28</v>
      </c>
      <c r="G89" s="593">
        <f>G7*60</f>
        <v>1860</v>
      </c>
      <c r="H89" s="594">
        <f>E89+F89+G89</f>
        <v>4872.3600000000006</v>
      </c>
      <c r="I89" s="595"/>
      <c r="J89" s="508"/>
      <c r="K89" s="750">
        <f>130</f>
        <v>130</v>
      </c>
      <c r="L89" s="751"/>
      <c r="M89" s="795"/>
    </row>
    <row r="90" spans="1:15" ht="18.75" customHeight="1">
      <c r="A90" s="863"/>
      <c r="B90" s="243" t="s">
        <v>169</v>
      </c>
      <c r="C90" s="380" t="s">
        <v>3</v>
      </c>
      <c r="D90" s="556">
        <f>0.25</f>
        <v>0.25</v>
      </c>
      <c r="E90" s="556">
        <f>E89*D90</f>
        <v>33.019999999999996</v>
      </c>
      <c r="F90" s="556">
        <f>F89*D90</f>
        <v>720.07</v>
      </c>
      <c r="G90" s="556">
        <f>G89*D90</f>
        <v>465</v>
      </c>
      <c r="H90" s="589">
        <f>E90+F90+G90</f>
        <v>1218.0900000000001</v>
      </c>
      <c r="I90" s="596">
        <v>118</v>
      </c>
      <c r="J90" s="548">
        <f>H90*I90</f>
        <v>143734.62000000002</v>
      </c>
      <c r="K90" s="745"/>
      <c r="L90" s="748"/>
      <c r="M90" s="796"/>
    </row>
    <row r="91" spans="1:15" ht="18.75" customHeight="1">
      <c r="A91" s="390"/>
      <c r="B91" s="203" t="s">
        <v>60</v>
      </c>
      <c r="C91" s="380" t="s">
        <v>3</v>
      </c>
      <c r="D91" s="556">
        <f>0.5</f>
        <v>0.5</v>
      </c>
      <c r="E91" s="556">
        <f>E89*D91</f>
        <v>66.039999999999992</v>
      </c>
      <c r="F91" s="556">
        <f>F89*0</f>
        <v>0</v>
      </c>
      <c r="G91" s="556">
        <f>G89*0</f>
        <v>0</v>
      </c>
      <c r="H91" s="589">
        <f>E91+F91+G91</f>
        <v>66.039999999999992</v>
      </c>
      <c r="I91" s="596">
        <v>198</v>
      </c>
      <c r="J91" s="548">
        <f>H91*I91</f>
        <v>13075.919999999998</v>
      </c>
      <c r="K91" s="752"/>
      <c r="L91" s="753"/>
      <c r="M91" s="797"/>
    </row>
    <row r="92" spans="1:15" ht="18.75" customHeight="1">
      <c r="A92" s="390"/>
      <c r="B92" s="203" t="s">
        <v>156</v>
      </c>
      <c r="C92" s="380" t="s">
        <v>3</v>
      </c>
      <c r="D92" s="556">
        <f>0.5</f>
        <v>0.5</v>
      </c>
      <c r="E92" s="556">
        <f>0*D92</f>
        <v>0</v>
      </c>
      <c r="F92" s="556">
        <f>F89*D92</f>
        <v>1440.14</v>
      </c>
      <c r="G92" s="556">
        <f>G89*D92</f>
        <v>930</v>
      </c>
      <c r="H92" s="589">
        <f>E92+F92+G92</f>
        <v>2370.1400000000003</v>
      </c>
      <c r="I92" s="596">
        <v>198</v>
      </c>
      <c r="J92" s="548">
        <f>H92*I92</f>
        <v>469287.72000000009</v>
      </c>
      <c r="K92" s="752"/>
      <c r="L92" s="753"/>
      <c r="M92" s="797"/>
    </row>
    <row r="93" spans="1:15" ht="18.75" customHeight="1">
      <c r="A93" s="391"/>
      <c r="B93" s="479" t="s">
        <v>30</v>
      </c>
      <c r="C93" s="582"/>
      <c r="D93" s="583"/>
      <c r="E93" s="583"/>
      <c r="F93" s="583"/>
      <c r="G93" s="583"/>
      <c r="H93" s="584"/>
      <c r="I93" s="585"/>
      <c r="J93" s="586">
        <f>SUM(J90:J92)</f>
        <v>626098.26000000013</v>
      </c>
      <c r="K93" s="749"/>
      <c r="L93" s="747">
        <f>K89*H89</f>
        <v>633406.80000000005</v>
      </c>
      <c r="M93" s="108">
        <f>J93+L93</f>
        <v>1259505.06</v>
      </c>
      <c r="O93" s="498">
        <v>1259505</v>
      </c>
    </row>
    <row r="94" spans="1:15" ht="38.25" customHeight="1">
      <c r="A94" s="385">
        <v>15</v>
      </c>
      <c r="B94" s="359" t="s">
        <v>212</v>
      </c>
      <c r="C94" s="505" t="s">
        <v>0</v>
      </c>
      <c r="D94" s="506"/>
      <c r="E94" s="506">
        <f>E7*'площади '!C21</f>
        <v>64.259999999999991</v>
      </c>
      <c r="F94" s="593">
        <f>0*F7</f>
        <v>0</v>
      </c>
      <c r="G94" s="593">
        <f>0*G7</f>
        <v>0</v>
      </c>
      <c r="H94" s="594">
        <f>E94+F94+G94</f>
        <v>64.259999999999991</v>
      </c>
      <c r="I94" s="906"/>
      <c r="J94" s="508"/>
      <c r="K94" s="723">
        <v>490</v>
      </c>
      <c r="L94" s="724"/>
      <c r="M94" s="793"/>
    </row>
    <row r="95" spans="1:15" ht="18.75" customHeight="1">
      <c r="A95" s="597"/>
      <c r="B95" s="483" t="s">
        <v>158</v>
      </c>
      <c r="C95" s="496" t="s">
        <v>3</v>
      </c>
      <c r="D95" s="537">
        <v>0.25</v>
      </c>
      <c r="E95" s="537">
        <f>E94*D95</f>
        <v>16.064999999999998</v>
      </c>
      <c r="F95" s="598">
        <f>D95*F94</f>
        <v>0</v>
      </c>
      <c r="G95" s="598">
        <f>D95*G94</f>
        <v>0</v>
      </c>
      <c r="H95" s="574">
        <f t="shared" ref="H95:H121" si="20">E95+F95+G95</f>
        <v>16.064999999999998</v>
      </c>
      <c r="I95" s="702">
        <v>33</v>
      </c>
      <c r="J95" s="538">
        <f>H95*I95</f>
        <v>530.14499999999998</v>
      </c>
      <c r="K95" s="738"/>
      <c r="L95" s="739"/>
      <c r="M95" s="809"/>
    </row>
    <row r="96" spans="1:15" ht="18.75" customHeight="1">
      <c r="A96" s="597"/>
      <c r="B96" s="483" t="s">
        <v>144</v>
      </c>
      <c r="C96" s="496" t="s">
        <v>3</v>
      </c>
      <c r="D96" s="537">
        <f>12</f>
        <v>12</v>
      </c>
      <c r="E96" s="537">
        <f>E94*D96</f>
        <v>771.11999999999989</v>
      </c>
      <c r="F96" s="598">
        <f t="shared" ref="F96:F98" si="21">D96*F95</f>
        <v>0</v>
      </c>
      <c r="G96" s="598">
        <f t="shared" ref="G96:G98" si="22">D96*G95</f>
        <v>0</v>
      </c>
      <c r="H96" s="574">
        <f t="shared" si="20"/>
        <v>771.11999999999989</v>
      </c>
      <c r="I96" s="702">
        <v>6.28</v>
      </c>
      <c r="J96" s="538">
        <f>H96*I96</f>
        <v>4842.6335999999992</v>
      </c>
      <c r="K96" s="738"/>
      <c r="L96" s="739"/>
      <c r="M96" s="809"/>
    </row>
    <row r="97" spans="1:15" ht="18.75" customHeight="1">
      <c r="A97" s="383"/>
      <c r="B97" s="377" t="s">
        <v>210</v>
      </c>
      <c r="C97" s="496" t="s">
        <v>3</v>
      </c>
      <c r="D97" s="537">
        <v>0.25</v>
      </c>
      <c r="E97" s="537">
        <f>E94*D97</f>
        <v>16.064999999999998</v>
      </c>
      <c r="F97" s="598">
        <f t="shared" si="21"/>
        <v>0</v>
      </c>
      <c r="G97" s="598">
        <f t="shared" si="22"/>
        <v>0</v>
      </c>
      <c r="H97" s="574">
        <f t="shared" si="20"/>
        <v>16.064999999999998</v>
      </c>
      <c r="I97" s="702">
        <v>24.85</v>
      </c>
      <c r="J97" s="538">
        <f>H97*I97</f>
        <v>399.21524999999997</v>
      </c>
      <c r="K97" s="738"/>
      <c r="L97" s="739"/>
      <c r="M97" s="809"/>
    </row>
    <row r="98" spans="1:15" ht="18.75" customHeight="1">
      <c r="A98" s="390"/>
      <c r="B98" s="377" t="s">
        <v>211</v>
      </c>
      <c r="C98" s="496" t="s">
        <v>0</v>
      </c>
      <c r="D98" s="537">
        <v>1.07</v>
      </c>
      <c r="E98" s="537">
        <f>E94*D98</f>
        <v>68.758199999999988</v>
      </c>
      <c r="F98" s="598">
        <f t="shared" si="21"/>
        <v>0</v>
      </c>
      <c r="G98" s="598">
        <f t="shared" si="22"/>
        <v>0</v>
      </c>
      <c r="H98" s="574">
        <f t="shared" si="20"/>
        <v>68.758199999999988</v>
      </c>
      <c r="I98" s="702">
        <f>263</f>
        <v>263</v>
      </c>
      <c r="J98" s="538">
        <f>H98*I98</f>
        <v>18083.406599999998</v>
      </c>
      <c r="K98" s="738"/>
      <c r="L98" s="739"/>
      <c r="M98" s="809"/>
    </row>
    <row r="99" spans="1:15" ht="18.75" customHeight="1">
      <c r="A99" s="391"/>
      <c r="B99" s="479" t="s">
        <v>30</v>
      </c>
      <c r="C99" s="513"/>
      <c r="D99" s="514"/>
      <c r="E99" s="514"/>
      <c r="F99" s="514"/>
      <c r="G99" s="514"/>
      <c r="H99" s="574"/>
      <c r="I99" s="895"/>
      <c r="J99" s="586">
        <f>SUM(J95:J98)</f>
        <v>23855.400449999997</v>
      </c>
      <c r="K99" s="740"/>
      <c r="L99" s="741">
        <f>K94*H94</f>
        <v>31487.399999999994</v>
      </c>
      <c r="M99" s="475">
        <f>J99+L99</f>
        <v>55342.800449999995</v>
      </c>
      <c r="O99" s="498">
        <v>55342</v>
      </c>
    </row>
    <row r="100" spans="1:15" ht="17.25" customHeight="1" collapsed="1">
      <c r="A100" s="385">
        <v>16</v>
      </c>
      <c r="B100" s="360" t="s">
        <v>213</v>
      </c>
      <c r="C100" s="591" t="s">
        <v>0</v>
      </c>
      <c r="D100" s="593"/>
      <c r="E100" s="593">
        <f>E7*'площади '!C12</f>
        <v>64.02000000000001</v>
      </c>
      <c r="F100" s="593">
        <f>'площади '!D12*F7</f>
        <v>335.82</v>
      </c>
      <c r="G100" s="593">
        <f>G7*0</f>
        <v>0</v>
      </c>
      <c r="H100" s="594">
        <f t="shared" ref="H100:H103" si="23">E100+F100+G100</f>
        <v>399.84000000000003</v>
      </c>
      <c r="I100" s="595"/>
      <c r="J100" s="508"/>
      <c r="K100" s="750">
        <f>630</f>
        <v>630</v>
      </c>
      <c r="L100" s="751"/>
      <c r="M100" s="795"/>
    </row>
    <row r="101" spans="1:15" ht="18.75" customHeight="1">
      <c r="A101" s="389"/>
      <c r="B101" s="483" t="s">
        <v>158</v>
      </c>
      <c r="C101" s="396" t="s">
        <v>3</v>
      </c>
      <c r="D101" s="567">
        <v>0.25</v>
      </c>
      <c r="E101" s="567">
        <f>E100*D101</f>
        <v>16.005000000000003</v>
      </c>
      <c r="F101" s="567">
        <f>F100*D101</f>
        <v>83.954999999999998</v>
      </c>
      <c r="G101" s="567">
        <f>G100*D101</f>
        <v>0</v>
      </c>
      <c r="H101" s="568">
        <f t="shared" si="23"/>
        <v>99.960000000000008</v>
      </c>
      <c r="I101" s="790">
        <v>33</v>
      </c>
      <c r="J101" s="538">
        <f>H101*I101</f>
        <v>3298.6800000000003</v>
      </c>
      <c r="K101" s="745"/>
      <c r="L101" s="748"/>
      <c r="M101" s="796"/>
    </row>
    <row r="102" spans="1:15" ht="18.75" customHeight="1">
      <c r="A102" s="386"/>
      <c r="B102" s="485" t="s">
        <v>144</v>
      </c>
      <c r="C102" s="396" t="s">
        <v>3</v>
      </c>
      <c r="D102" s="567">
        <f>12</f>
        <v>12</v>
      </c>
      <c r="E102" s="567">
        <f>E100*D102</f>
        <v>768.24000000000012</v>
      </c>
      <c r="F102" s="567">
        <f>F100*D102</f>
        <v>4029.84</v>
      </c>
      <c r="G102" s="567">
        <f>G100*D102</f>
        <v>0</v>
      </c>
      <c r="H102" s="568">
        <f t="shared" si="23"/>
        <v>4798.08</v>
      </c>
      <c r="I102" s="575">
        <v>6.28</v>
      </c>
      <c r="J102" s="538">
        <f t="shared" ref="J102:J106" si="24">H102*I102</f>
        <v>30131.9424</v>
      </c>
      <c r="K102" s="745"/>
      <c r="L102" s="748"/>
      <c r="M102" s="796"/>
    </row>
    <row r="103" spans="1:15" ht="18" customHeight="1">
      <c r="A103" s="386"/>
      <c r="B103" s="485" t="s">
        <v>145</v>
      </c>
      <c r="C103" s="396" t="s">
        <v>3</v>
      </c>
      <c r="D103" s="567">
        <v>0.25</v>
      </c>
      <c r="E103" s="567">
        <f>E100*D103</f>
        <v>16.005000000000003</v>
      </c>
      <c r="F103" s="567">
        <f>F100*D103</f>
        <v>83.954999999999998</v>
      </c>
      <c r="G103" s="567">
        <f>G100*D103</f>
        <v>0</v>
      </c>
      <c r="H103" s="568">
        <f t="shared" si="23"/>
        <v>99.960000000000008</v>
      </c>
      <c r="I103" s="575">
        <v>24.85</v>
      </c>
      <c r="J103" s="538">
        <f t="shared" si="24"/>
        <v>2484.0060000000003</v>
      </c>
      <c r="K103" s="745"/>
      <c r="L103" s="748"/>
      <c r="M103" s="796"/>
    </row>
    <row r="104" spans="1:15" ht="18" customHeight="1">
      <c r="A104" s="386"/>
      <c r="B104" s="377" t="s">
        <v>53</v>
      </c>
      <c r="C104" s="396" t="s">
        <v>0</v>
      </c>
      <c r="D104" s="567">
        <v>1.07</v>
      </c>
      <c r="E104" s="567">
        <f>14.92*E7*D104</f>
        <v>31.928800000000003</v>
      </c>
      <c r="F104" s="567">
        <f>0*D104</f>
        <v>0</v>
      </c>
      <c r="G104" s="567">
        <f>G100*D104</f>
        <v>0</v>
      </c>
      <c r="H104" s="568">
        <f>E105+F104+G104</f>
        <v>17.697800000000001</v>
      </c>
      <c r="I104" s="575">
        <v>420</v>
      </c>
      <c r="J104" s="538">
        <f t="shared" si="24"/>
        <v>7433.076</v>
      </c>
      <c r="K104" s="752"/>
      <c r="L104" s="753"/>
      <c r="M104" s="797"/>
    </row>
    <row r="105" spans="1:15" ht="18" customHeight="1">
      <c r="A105" s="386"/>
      <c r="B105" s="377" t="s">
        <v>51</v>
      </c>
      <c r="C105" s="396" t="s">
        <v>0</v>
      </c>
      <c r="D105" s="567">
        <v>1.07</v>
      </c>
      <c r="E105" s="567">
        <f>(1.75+2.18+1.51+2.83)*E7*D105</f>
        <v>17.697800000000001</v>
      </c>
      <c r="F105" s="567">
        <f>F100*D105</f>
        <v>359.32740000000001</v>
      </c>
      <c r="G105" s="567">
        <f>G100*D105</f>
        <v>0</v>
      </c>
      <c r="H105" s="568">
        <f>E106+F105+G105</f>
        <v>378.2022</v>
      </c>
      <c r="I105" s="575">
        <v>420</v>
      </c>
      <c r="J105" s="538">
        <f t="shared" si="24"/>
        <v>158844.924</v>
      </c>
      <c r="K105" s="752"/>
      <c r="L105" s="753"/>
      <c r="M105" s="797"/>
    </row>
    <row r="106" spans="1:15" ht="18" customHeight="1">
      <c r="A106" s="386"/>
      <c r="B106" s="377" t="s">
        <v>155</v>
      </c>
      <c r="C106" s="396" t="s">
        <v>0</v>
      </c>
      <c r="D106" s="567">
        <v>1.07</v>
      </c>
      <c r="E106" s="567">
        <f>8.82*E7*D106</f>
        <v>18.8748</v>
      </c>
      <c r="F106" s="567">
        <f>F100*0</f>
        <v>0</v>
      </c>
      <c r="G106" s="567">
        <f>G100*D106</f>
        <v>0</v>
      </c>
      <c r="H106" s="568">
        <f>E104+F106+G106</f>
        <v>31.928800000000003</v>
      </c>
      <c r="I106" s="575">
        <v>420</v>
      </c>
      <c r="J106" s="538">
        <f t="shared" si="24"/>
        <v>13410.096000000001</v>
      </c>
      <c r="K106" s="752"/>
      <c r="L106" s="753"/>
      <c r="M106" s="797"/>
    </row>
    <row r="107" spans="1:15" ht="19.5" customHeight="1">
      <c r="A107" s="387"/>
      <c r="B107" s="479" t="s">
        <v>30</v>
      </c>
      <c r="C107" s="599"/>
      <c r="D107" s="600"/>
      <c r="E107" s="600"/>
      <c r="F107" s="600"/>
      <c r="G107" s="600"/>
      <c r="H107" s="601"/>
      <c r="I107" s="585"/>
      <c r="J107" s="602">
        <f>SUM(J101:J106)</f>
        <v>215602.72439999998</v>
      </c>
      <c r="K107" s="749"/>
      <c r="L107" s="747">
        <f>K100*H100</f>
        <v>251899.2</v>
      </c>
      <c r="M107" s="108">
        <f>J107+L107</f>
        <v>467501.92440000002</v>
      </c>
      <c r="O107" s="498">
        <v>467501</v>
      </c>
    </row>
    <row r="108" spans="1:15" ht="18.75" customHeight="1">
      <c r="A108" s="385">
        <v>17</v>
      </c>
      <c r="B108" s="361" t="s">
        <v>128</v>
      </c>
      <c r="C108" s="603" t="s">
        <v>11</v>
      </c>
      <c r="D108" s="604"/>
      <c r="E108" s="604">
        <f>11*E7</f>
        <v>22</v>
      </c>
      <c r="F108" s="604">
        <f>0*F7</f>
        <v>0</v>
      </c>
      <c r="G108" s="604">
        <f>0*G7</f>
        <v>0</v>
      </c>
      <c r="H108" s="605">
        <f t="shared" ref="H108:H110" si="25">E108+F108+G108</f>
        <v>22</v>
      </c>
      <c r="I108" s="554"/>
      <c r="J108" s="606"/>
      <c r="K108" s="750">
        <f>150</f>
        <v>150</v>
      </c>
      <c r="L108" s="751"/>
      <c r="M108" s="795"/>
    </row>
    <row r="109" spans="1:15" ht="18.75" customHeight="1">
      <c r="A109" s="389"/>
      <c r="B109" s="243" t="s">
        <v>101</v>
      </c>
      <c r="C109" s="380" t="s">
        <v>13</v>
      </c>
      <c r="D109" s="556">
        <v>1</v>
      </c>
      <c r="E109" s="556">
        <f>1*E7</f>
        <v>2</v>
      </c>
      <c r="F109" s="556">
        <f>0*F7</f>
        <v>0</v>
      </c>
      <c r="G109" s="556">
        <f>0*G7</f>
        <v>0</v>
      </c>
      <c r="H109" s="589">
        <f t="shared" si="25"/>
        <v>2</v>
      </c>
      <c r="I109" s="596">
        <f>180</f>
        <v>180</v>
      </c>
      <c r="J109" s="548">
        <f t="shared" ref="J109" si="26">H109*I109</f>
        <v>360</v>
      </c>
      <c r="K109" s="745"/>
      <c r="L109" s="748"/>
      <c r="M109" s="796"/>
    </row>
    <row r="110" spans="1:15" ht="18.75" customHeight="1">
      <c r="A110" s="390"/>
      <c r="B110" s="203" t="s">
        <v>229</v>
      </c>
      <c r="C110" s="380" t="s">
        <v>11</v>
      </c>
      <c r="D110" s="556">
        <f>1</f>
        <v>1</v>
      </c>
      <c r="E110" s="556">
        <f>E108*D110</f>
        <v>22</v>
      </c>
      <c r="F110" s="556">
        <f>F108*D110</f>
        <v>0</v>
      </c>
      <c r="G110" s="556">
        <f>G108*D110</f>
        <v>0</v>
      </c>
      <c r="H110" s="589">
        <f t="shared" si="25"/>
        <v>22</v>
      </c>
      <c r="I110" s="596">
        <f>600</f>
        <v>600</v>
      </c>
      <c r="J110" s="548">
        <f>H110*I110</f>
        <v>13200</v>
      </c>
      <c r="K110" s="754"/>
      <c r="L110" s="755"/>
      <c r="M110" s="832"/>
    </row>
    <row r="111" spans="1:15" ht="18.75" customHeight="1">
      <c r="A111" s="198"/>
      <c r="B111" s="486" t="s">
        <v>30</v>
      </c>
      <c r="C111" s="607"/>
      <c r="D111" s="608"/>
      <c r="E111" s="608"/>
      <c r="F111" s="608"/>
      <c r="G111" s="608"/>
      <c r="H111" s="584"/>
      <c r="I111" s="609"/>
      <c r="J111" s="610">
        <f>SUM(J109:J110)</f>
        <v>13560</v>
      </c>
      <c r="K111" s="756"/>
      <c r="L111" s="757">
        <f>H108*K108</f>
        <v>3300</v>
      </c>
      <c r="M111" s="400">
        <f>J111+L111</f>
        <v>16860</v>
      </c>
      <c r="O111" s="498">
        <v>16860</v>
      </c>
    </row>
    <row r="112" spans="1:15" ht="18.75" customHeight="1">
      <c r="A112" s="385">
        <v>18</v>
      </c>
      <c r="B112" s="361" t="s">
        <v>250</v>
      </c>
      <c r="C112" s="603" t="s">
        <v>0</v>
      </c>
      <c r="D112" s="604"/>
      <c r="E112" s="604">
        <f>E7*0</f>
        <v>0</v>
      </c>
      <c r="F112" s="604">
        <f>0*F7</f>
        <v>0</v>
      </c>
      <c r="G112" s="604">
        <f>4.15*G7</f>
        <v>128.65</v>
      </c>
      <c r="H112" s="605">
        <f t="shared" ref="H112:H114" si="27">E112+F112+G112</f>
        <v>128.65</v>
      </c>
      <c r="I112" s="554"/>
      <c r="J112" s="606"/>
      <c r="K112" s="750">
        <v>80</v>
      </c>
      <c r="L112" s="751"/>
      <c r="M112" s="795"/>
    </row>
    <row r="113" spans="1:15" ht="18.75" customHeight="1">
      <c r="A113" s="383"/>
      <c r="B113" s="497" t="s">
        <v>143</v>
      </c>
      <c r="C113" s="611" t="s">
        <v>3</v>
      </c>
      <c r="D113" s="537">
        <v>0.15</v>
      </c>
      <c r="E113" s="612">
        <f>D113*E112</f>
        <v>0</v>
      </c>
      <c r="F113" s="567">
        <f>F112*D113</f>
        <v>0</v>
      </c>
      <c r="G113" s="567">
        <f>G112*D113</f>
        <v>19.297499999999999</v>
      </c>
      <c r="H113" s="574">
        <f>E113+F113+G113</f>
        <v>19.297499999999999</v>
      </c>
      <c r="I113" s="702">
        <f>21.5</f>
        <v>21.5</v>
      </c>
      <c r="J113" s="538">
        <f>H113*I113</f>
        <v>414.89625000000001</v>
      </c>
      <c r="K113" s="758"/>
      <c r="L113" s="759"/>
      <c r="M113" s="833"/>
    </row>
    <row r="114" spans="1:15" ht="18.75" customHeight="1">
      <c r="A114" s="383"/>
      <c r="B114" s="864" t="s">
        <v>193</v>
      </c>
      <c r="C114" s="396" t="s">
        <v>3</v>
      </c>
      <c r="D114" s="567">
        <v>0.35</v>
      </c>
      <c r="E114" s="567">
        <f>E112*D114</f>
        <v>0</v>
      </c>
      <c r="F114" s="567">
        <f>F112*D114</f>
        <v>0</v>
      </c>
      <c r="G114" s="567">
        <f>G112*D114</f>
        <v>45.027499999999996</v>
      </c>
      <c r="H114" s="574">
        <f t="shared" si="27"/>
        <v>45.027499999999996</v>
      </c>
      <c r="I114" s="613">
        <f>150</f>
        <v>150</v>
      </c>
      <c r="J114" s="538">
        <f>H114*I114</f>
        <v>6754.1249999999991</v>
      </c>
      <c r="K114" s="745"/>
      <c r="L114" s="748"/>
      <c r="M114" s="796"/>
    </row>
    <row r="115" spans="1:15" ht="18.75" customHeight="1">
      <c r="A115" s="198"/>
      <c r="B115" s="486" t="s">
        <v>30</v>
      </c>
      <c r="C115" s="607"/>
      <c r="D115" s="608"/>
      <c r="E115" s="608"/>
      <c r="F115" s="608"/>
      <c r="G115" s="608"/>
      <c r="H115" s="584"/>
      <c r="I115" s="609"/>
      <c r="J115" s="610">
        <f>SUM(J113:J114)</f>
        <v>7169.0212499999989</v>
      </c>
      <c r="K115" s="756"/>
      <c r="L115" s="757">
        <f>H112*K112</f>
        <v>10292</v>
      </c>
      <c r="M115" s="400">
        <f>J115+L115</f>
        <v>17461.021249999998</v>
      </c>
      <c r="O115" s="498">
        <v>17461</v>
      </c>
    </row>
    <row r="116" spans="1:15" ht="18.75" customHeight="1">
      <c r="A116" s="385">
        <v>19</v>
      </c>
      <c r="B116" s="361" t="s">
        <v>130</v>
      </c>
      <c r="C116" s="603" t="s">
        <v>10</v>
      </c>
      <c r="D116" s="604"/>
      <c r="E116" s="604">
        <f>E7*0</f>
        <v>0</v>
      </c>
      <c r="F116" s="604">
        <f>0*F7</f>
        <v>0</v>
      </c>
      <c r="G116" s="604">
        <f>0*G7</f>
        <v>0</v>
      </c>
      <c r="H116" s="605">
        <f t="shared" ref="H116:H117" si="28">E116+F116+G116</f>
        <v>0</v>
      </c>
      <c r="I116" s="554"/>
      <c r="J116" s="606"/>
      <c r="K116" s="750">
        <f>800</f>
        <v>800</v>
      </c>
      <c r="L116" s="751"/>
      <c r="M116" s="795"/>
    </row>
    <row r="117" spans="1:15" ht="18.75" customHeight="1">
      <c r="A117" s="383"/>
      <c r="B117" s="110" t="s">
        <v>89</v>
      </c>
      <c r="C117" s="396" t="s">
        <v>3</v>
      </c>
      <c r="D117" s="567">
        <f>4</f>
        <v>4</v>
      </c>
      <c r="E117" s="567">
        <f>E116*D117</f>
        <v>0</v>
      </c>
      <c r="F117" s="567">
        <f>F116*D117</f>
        <v>0</v>
      </c>
      <c r="G117" s="567">
        <f>G116*D117</f>
        <v>0</v>
      </c>
      <c r="H117" s="574">
        <f t="shared" si="28"/>
        <v>0</v>
      </c>
      <c r="I117" s="575">
        <f>150</f>
        <v>150</v>
      </c>
      <c r="J117" s="538">
        <f>H117*I117</f>
        <v>0</v>
      </c>
      <c r="K117" s="745"/>
      <c r="L117" s="748"/>
      <c r="M117" s="796"/>
    </row>
    <row r="118" spans="1:15" ht="18.75" customHeight="1">
      <c r="A118" s="198"/>
      <c r="B118" s="486" t="s">
        <v>30</v>
      </c>
      <c r="C118" s="607"/>
      <c r="D118" s="608"/>
      <c r="E118" s="608"/>
      <c r="F118" s="608"/>
      <c r="G118" s="608"/>
      <c r="H118" s="584"/>
      <c r="I118" s="609"/>
      <c r="J118" s="610">
        <f>J117</f>
        <v>0</v>
      </c>
      <c r="K118" s="756"/>
      <c r="L118" s="757">
        <f>H116*K116</f>
        <v>0</v>
      </c>
      <c r="M118" s="400">
        <f>J118+L118</f>
        <v>0</v>
      </c>
    </row>
    <row r="119" spans="1:15" ht="18.75" customHeight="1">
      <c r="A119" s="385">
        <v>20</v>
      </c>
      <c r="B119" s="361" t="s">
        <v>131</v>
      </c>
      <c r="C119" s="603" t="s">
        <v>10</v>
      </c>
      <c r="D119" s="604"/>
      <c r="E119" s="604">
        <f>5*E7</f>
        <v>10</v>
      </c>
      <c r="F119" s="604">
        <f>4*F7</f>
        <v>116</v>
      </c>
      <c r="G119" s="604">
        <f>2*G7</f>
        <v>62</v>
      </c>
      <c r="H119" s="605">
        <f t="shared" si="20"/>
        <v>188</v>
      </c>
      <c r="I119" s="554"/>
      <c r="J119" s="606"/>
      <c r="K119" s="750">
        <f>200</f>
        <v>200</v>
      </c>
      <c r="L119" s="751"/>
      <c r="M119" s="795"/>
    </row>
    <row r="120" spans="1:15" ht="18.75" customHeight="1">
      <c r="A120" s="383"/>
      <c r="B120" s="110" t="s">
        <v>89</v>
      </c>
      <c r="C120" s="396" t="s">
        <v>3</v>
      </c>
      <c r="D120" s="567">
        <f>0.5</f>
        <v>0.5</v>
      </c>
      <c r="E120" s="567">
        <f>E119*D120</f>
        <v>5</v>
      </c>
      <c r="F120" s="567">
        <f>F119*D120</f>
        <v>58</v>
      </c>
      <c r="G120" s="567">
        <f>G119*D120</f>
        <v>31</v>
      </c>
      <c r="H120" s="574">
        <f t="shared" si="20"/>
        <v>94</v>
      </c>
      <c r="I120" s="575">
        <f>150</f>
        <v>150</v>
      </c>
      <c r="J120" s="538">
        <f>H120*I120</f>
        <v>14100</v>
      </c>
      <c r="K120" s="745"/>
      <c r="L120" s="748"/>
      <c r="M120" s="796"/>
    </row>
    <row r="121" spans="1:15" ht="18.75" customHeight="1">
      <c r="A121" s="383"/>
      <c r="B121" s="701" t="s">
        <v>232</v>
      </c>
      <c r="C121" s="396" t="s">
        <v>13</v>
      </c>
      <c r="D121" s="567">
        <v>1</v>
      </c>
      <c r="E121" s="567">
        <f>E7*D121*1.5</f>
        <v>3</v>
      </c>
      <c r="F121" s="567">
        <f>1.5*D121*F7</f>
        <v>43.5</v>
      </c>
      <c r="G121" s="567">
        <f>G120*D121</f>
        <v>31</v>
      </c>
      <c r="H121" s="574">
        <f t="shared" si="20"/>
        <v>77.5</v>
      </c>
      <c r="I121" s="703">
        <v>180</v>
      </c>
      <c r="J121" s="538">
        <f>H121*I121</f>
        <v>13950</v>
      </c>
      <c r="K121" s="745"/>
      <c r="L121" s="748"/>
      <c r="M121" s="796"/>
    </row>
    <row r="122" spans="1:15" ht="18.75" customHeight="1">
      <c r="A122" s="198"/>
      <c r="B122" s="486" t="s">
        <v>30</v>
      </c>
      <c r="C122" s="607"/>
      <c r="D122" s="608"/>
      <c r="E122" s="608"/>
      <c r="F122" s="608"/>
      <c r="G122" s="608"/>
      <c r="H122" s="584"/>
      <c r="I122" s="609"/>
      <c r="J122" s="610">
        <f>SUM(J120:J121)</f>
        <v>28050</v>
      </c>
      <c r="K122" s="756"/>
      <c r="L122" s="757">
        <f>K119*H119</f>
        <v>37600</v>
      </c>
      <c r="M122" s="400">
        <f>J122+L122</f>
        <v>65650</v>
      </c>
      <c r="O122" s="498">
        <v>65650</v>
      </c>
    </row>
    <row r="123" spans="1:15" ht="18.75" customHeight="1">
      <c r="A123" s="385">
        <v>21</v>
      </c>
      <c r="B123" s="362" t="s">
        <v>132</v>
      </c>
      <c r="C123" s="591" t="s">
        <v>10</v>
      </c>
      <c r="D123" s="592"/>
      <c r="E123" s="593">
        <f>9.5*E7</f>
        <v>19</v>
      </c>
      <c r="F123" s="593">
        <f>0*F7</f>
        <v>0</v>
      </c>
      <c r="G123" s="593">
        <f>0*G7</f>
        <v>0</v>
      </c>
      <c r="H123" s="605">
        <f>E123+F123+G123</f>
        <v>19</v>
      </c>
      <c r="I123" s="595"/>
      <c r="J123" s="508"/>
      <c r="K123" s="750">
        <f>120*6</f>
        <v>720</v>
      </c>
      <c r="L123" s="751"/>
      <c r="M123" s="795"/>
    </row>
    <row r="124" spans="1:15" ht="18.75" customHeight="1">
      <c r="A124" s="389"/>
      <c r="B124" s="377" t="s">
        <v>102</v>
      </c>
      <c r="C124" s="396" t="s">
        <v>10</v>
      </c>
      <c r="D124" s="567">
        <f>1</f>
        <v>1</v>
      </c>
      <c r="E124" s="567">
        <f>4*11*E7</f>
        <v>88</v>
      </c>
      <c r="F124" s="567">
        <f>2*F123</f>
        <v>0</v>
      </c>
      <c r="G124" s="567">
        <f t="shared" ref="G124" si="29">2*G123</f>
        <v>0</v>
      </c>
      <c r="H124" s="574">
        <f t="shared" ref="H124:H125" si="30">E124+F124+G124</f>
        <v>88</v>
      </c>
      <c r="I124" s="575">
        <f>5</f>
        <v>5</v>
      </c>
      <c r="J124" s="538">
        <f t="shared" ref="J124" si="31">H124*I124</f>
        <v>440</v>
      </c>
      <c r="K124" s="745"/>
      <c r="L124" s="748"/>
      <c r="M124" s="796"/>
    </row>
    <row r="125" spans="1:15" ht="18.75" customHeight="1">
      <c r="A125" s="390"/>
      <c r="B125" s="243" t="s">
        <v>104</v>
      </c>
      <c r="C125" s="380" t="s">
        <v>10</v>
      </c>
      <c r="D125" s="556">
        <f>1</f>
        <v>1</v>
      </c>
      <c r="E125" s="556">
        <f>E123</f>
        <v>19</v>
      </c>
      <c r="F125" s="556">
        <f>F123*D125</f>
        <v>0</v>
      </c>
      <c r="G125" s="556">
        <f>G123*D125</f>
        <v>0</v>
      </c>
      <c r="H125" s="614">
        <f t="shared" si="30"/>
        <v>19</v>
      </c>
      <c r="I125" s="596">
        <f>400*6</f>
        <v>2400</v>
      </c>
      <c r="J125" s="548">
        <f>H125*I125</f>
        <v>45600</v>
      </c>
      <c r="K125" s="752"/>
      <c r="L125" s="753"/>
      <c r="M125" s="797"/>
    </row>
    <row r="126" spans="1:15" ht="15.75">
      <c r="A126" s="391"/>
      <c r="B126" s="486" t="s">
        <v>30</v>
      </c>
      <c r="C126" s="607"/>
      <c r="D126" s="608"/>
      <c r="E126" s="608"/>
      <c r="F126" s="608"/>
      <c r="G126" s="608"/>
      <c r="H126" s="615"/>
      <c r="I126" s="585"/>
      <c r="J126" s="586">
        <f>SUM(J124:J125)</f>
        <v>46040</v>
      </c>
      <c r="K126" s="756"/>
      <c r="L126" s="757">
        <f>H123*K123</f>
        <v>13680</v>
      </c>
      <c r="M126" s="400">
        <f>J126+L126</f>
        <v>59720</v>
      </c>
      <c r="O126" s="498">
        <v>59720</v>
      </c>
    </row>
    <row r="127" spans="1:15" ht="15.75">
      <c r="A127" s="381">
        <v>22</v>
      </c>
      <c r="B127" s="360" t="s">
        <v>231</v>
      </c>
      <c r="C127" s="466" t="s">
        <v>0</v>
      </c>
      <c r="D127" s="700"/>
      <c r="E127" s="454">
        <f>1.36*E7</f>
        <v>2.72</v>
      </c>
      <c r="F127" s="593">
        <f>0.68*F7</f>
        <v>19.720000000000002</v>
      </c>
      <c r="G127" s="593">
        <f>0.68*G7</f>
        <v>21.080000000000002</v>
      </c>
      <c r="H127" s="605">
        <f>E127+F127+G127</f>
        <v>43.52</v>
      </c>
      <c r="I127" s="907"/>
      <c r="J127" s="399"/>
      <c r="K127" s="723">
        <v>70</v>
      </c>
      <c r="L127" s="724"/>
      <c r="M127" s="793"/>
    </row>
    <row r="128" spans="1:15" ht="15.75">
      <c r="A128" s="495"/>
      <c r="B128" s="470" t="s">
        <v>143</v>
      </c>
      <c r="C128" s="467" t="s">
        <v>3</v>
      </c>
      <c r="D128" s="436">
        <v>0.15</v>
      </c>
      <c r="E128" s="436">
        <f>D128*E127</f>
        <v>0.40800000000000003</v>
      </c>
      <c r="F128" s="436">
        <f>D128*F127</f>
        <v>2.9580000000000002</v>
      </c>
      <c r="G128" s="567">
        <f>G127*D128</f>
        <v>3.1620000000000004</v>
      </c>
      <c r="H128" s="574">
        <f t="shared" ref="H128:H130" si="32">E128+F128+G128</f>
        <v>6.5280000000000005</v>
      </c>
      <c r="I128" s="702">
        <f>21.5</f>
        <v>21.5</v>
      </c>
      <c r="J128" s="379">
        <f>H128*I128</f>
        <v>140.352</v>
      </c>
      <c r="K128" s="738"/>
      <c r="L128" s="739"/>
      <c r="M128" s="809"/>
    </row>
    <row r="129" spans="1:15" ht="15.75">
      <c r="A129" s="495"/>
      <c r="B129" s="701" t="s">
        <v>232</v>
      </c>
      <c r="C129" s="467" t="s">
        <v>13</v>
      </c>
      <c r="D129" s="436">
        <v>1</v>
      </c>
      <c r="E129" s="436">
        <f>1*E7</f>
        <v>2</v>
      </c>
      <c r="F129" s="436">
        <f>1*F7</f>
        <v>29</v>
      </c>
      <c r="G129" s="567">
        <f>0*G7</f>
        <v>0</v>
      </c>
      <c r="H129" s="574">
        <f t="shared" si="32"/>
        <v>31</v>
      </c>
      <c r="I129" s="703">
        <v>180</v>
      </c>
      <c r="J129" s="379">
        <f>H129*I129</f>
        <v>5580</v>
      </c>
      <c r="K129" s="738"/>
      <c r="L129" s="739"/>
      <c r="M129" s="809"/>
    </row>
    <row r="130" spans="1:15" ht="15.75">
      <c r="A130" s="382"/>
      <c r="B130" s="203" t="s">
        <v>209</v>
      </c>
      <c r="C130" s="474" t="s">
        <v>3</v>
      </c>
      <c r="D130" s="438">
        <f>0.25</f>
        <v>0.25</v>
      </c>
      <c r="E130" s="438">
        <f>E127*D130</f>
        <v>0.68</v>
      </c>
      <c r="F130" s="556">
        <f>D130*F127</f>
        <v>4.9300000000000006</v>
      </c>
      <c r="G130" s="556">
        <f>D130*G127</f>
        <v>5.2700000000000005</v>
      </c>
      <c r="H130" s="614">
        <f t="shared" si="32"/>
        <v>10.88</v>
      </c>
      <c r="I130" s="596">
        <f>84.96</f>
        <v>84.96</v>
      </c>
      <c r="J130" s="476">
        <f>H130*I130</f>
        <v>924.36479999999995</v>
      </c>
      <c r="K130" s="736"/>
      <c r="L130" s="760"/>
      <c r="M130" s="799"/>
    </row>
    <row r="131" spans="1:15" ht="15.75">
      <c r="A131" s="384"/>
      <c r="B131" s="202" t="s">
        <v>30</v>
      </c>
      <c r="C131" s="468"/>
      <c r="D131" s="437"/>
      <c r="E131" s="437"/>
      <c r="F131" s="698"/>
      <c r="G131" s="698"/>
      <c r="H131" s="699"/>
      <c r="I131" s="908"/>
      <c r="J131" s="398">
        <f>SUM(J128:J130)</f>
        <v>6644.7168000000001</v>
      </c>
      <c r="K131" s="740"/>
      <c r="L131" s="741">
        <f>K127*H127</f>
        <v>3046.4</v>
      </c>
      <c r="M131" s="475">
        <f>J131+L131</f>
        <v>9691.1167999999998</v>
      </c>
      <c r="O131" s="498">
        <v>9691</v>
      </c>
    </row>
    <row r="132" spans="1:15" ht="15.75">
      <c r="A132" s="358">
        <v>23</v>
      </c>
      <c r="B132" s="365" t="s">
        <v>233</v>
      </c>
      <c r="C132" s="466" t="s">
        <v>11</v>
      </c>
      <c r="D132" s="454"/>
      <c r="E132" s="454">
        <f>12*E7</f>
        <v>24</v>
      </c>
      <c r="F132" s="454">
        <f>6*F7</f>
        <v>174</v>
      </c>
      <c r="G132" s="454">
        <f>6*G7</f>
        <v>186</v>
      </c>
      <c r="H132" s="605">
        <f>E132+F132+G132</f>
        <v>384</v>
      </c>
      <c r="I132" s="909"/>
      <c r="J132" s="399"/>
      <c r="K132" s="723">
        <v>10</v>
      </c>
      <c r="L132" s="735"/>
      <c r="M132" s="793"/>
    </row>
    <row r="133" spans="1:15" ht="15.75">
      <c r="A133" s="382"/>
      <c r="B133" s="112" t="s">
        <v>234</v>
      </c>
      <c r="C133" s="474" t="s">
        <v>11</v>
      </c>
      <c r="D133" s="438">
        <f>1</f>
        <v>1</v>
      </c>
      <c r="E133" s="438">
        <f>D133*E132</f>
        <v>24</v>
      </c>
      <c r="F133" s="556">
        <f>D133*F132</f>
        <v>174</v>
      </c>
      <c r="G133" s="556">
        <f>D133*G132</f>
        <v>186</v>
      </c>
      <c r="H133" s="614">
        <f t="shared" ref="H133" si="33">E133+F133+G133</f>
        <v>384</v>
      </c>
      <c r="I133" s="910">
        <v>45</v>
      </c>
      <c r="J133" s="476">
        <f>H133*I133</f>
        <v>17280</v>
      </c>
      <c r="K133" s="736"/>
      <c r="L133" s="760"/>
      <c r="M133" s="799"/>
    </row>
    <row r="134" spans="1:15" ht="15.75">
      <c r="A134" s="471"/>
      <c r="B134" s="202" t="s">
        <v>30</v>
      </c>
      <c r="C134" s="472"/>
      <c r="D134" s="473"/>
      <c r="E134" s="473"/>
      <c r="F134" s="698"/>
      <c r="G134" s="698"/>
      <c r="H134" s="699"/>
      <c r="I134" s="908"/>
      <c r="J134" s="398">
        <f>SUM(J133)</f>
        <v>17280</v>
      </c>
      <c r="K134" s="740"/>
      <c r="L134" s="741">
        <f>K132*H132</f>
        <v>3840</v>
      </c>
      <c r="M134" s="475">
        <f>J134+L134</f>
        <v>21120</v>
      </c>
      <c r="O134" s="498">
        <v>21120</v>
      </c>
    </row>
    <row r="135" spans="1:15" ht="18.75" customHeight="1">
      <c r="A135" s="385">
        <v>24</v>
      </c>
      <c r="B135" s="362" t="s">
        <v>97</v>
      </c>
      <c r="C135" s="591" t="s">
        <v>0</v>
      </c>
      <c r="D135" s="593"/>
      <c r="E135" s="593">
        <f>E138+E139+E140+E141+E142</f>
        <v>4</v>
      </c>
      <c r="F135" s="593">
        <f>F138+F139+F140+F141+F142</f>
        <v>145</v>
      </c>
      <c r="G135" s="593">
        <f>G138+G139+G140+G141+G142</f>
        <v>0</v>
      </c>
      <c r="H135" s="616">
        <f>E135+F135+G135</f>
        <v>149</v>
      </c>
      <c r="I135" s="573"/>
      <c r="J135" s="536"/>
      <c r="K135" s="750">
        <v>200</v>
      </c>
      <c r="L135" s="751"/>
      <c r="M135" s="795"/>
    </row>
    <row r="136" spans="1:15" ht="18.75" customHeight="1">
      <c r="A136" s="617"/>
      <c r="B136" s="377" t="s">
        <v>101</v>
      </c>
      <c r="C136" s="396" t="s">
        <v>13</v>
      </c>
      <c r="D136" s="567">
        <v>1</v>
      </c>
      <c r="E136" s="567">
        <f>0.5*E7</f>
        <v>1</v>
      </c>
      <c r="F136" s="567">
        <f>0.5*3*F7</f>
        <v>43.5</v>
      </c>
      <c r="G136" s="567">
        <f>0*G7</f>
        <v>0</v>
      </c>
      <c r="H136" s="574">
        <f>0</f>
        <v>0</v>
      </c>
      <c r="I136" s="575">
        <v>180</v>
      </c>
      <c r="J136" s="538">
        <f t="shared" ref="J136:J137" si="34">H136*I136</f>
        <v>0</v>
      </c>
      <c r="K136" s="745"/>
      <c r="L136" s="748"/>
      <c r="M136" s="796"/>
    </row>
    <row r="137" spans="1:15" ht="18.75" customHeight="1">
      <c r="A137" s="617"/>
      <c r="B137" s="377" t="s">
        <v>102</v>
      </c>
      <c r="C137" s="396" t="s">
        <v>10</v>
      </c>
      <c r="D137" s="567">
        <f>1</f>
        <v>1</v>
      </c>
      <c r="E137" s="567">
        <f>4*2*E7</f>
        <v>16</v>
      </c>
      <c r="F137" s="567">
        <f>(4*2+8)*F7</f>
        <v>464</v>
      </c>
      <c r="G137" s="567">
        <f>G7*0</f>
        <v>0</v>
      </c>
      <c r="H137" s="574">
        <f>0</f>
        <v>0</v>
      </c>
      <c r="I137" s="575">
        <f>5</f>
        <v>5</v>
      </c>
      <c r="J137" s="538">
        <f t="shared" si="34"/>
        <v>0</v>
      </c>
      <c r="K137" s="745"/>
      <c r="L137" s="748"/>
      <c r="M137" s="796"/>
    </row>
    <row r="138" spans="1:15" ht="18.75" customHeight="1">
      <c r="A138" s="618"/>
      <c r="B138" s="243" t="s">
        <v>214</v>
      </c>
      <c r="C138" s="619" t="s">
        <v>10</v>
      </c>
      <c r="D138" s="556">
        <v>1</v>
      </c>
      <c r="E138" s="556">
        <f>2*E7</f>
        <v>4</v>
      </c>
      <c r="F138" s="556">
        <f>1*F7</f>
        <v>29</v>
      </c>
      <c r="G138" s="556">
        <f>0*G7</f>
        <v>0</v>
      </c>
      <c r="H138" s="589">
        <f>0</f>
        <v>0</v>
      </c>
      <c r="I138" s="761">
        <f>112</f>
        <v>112</v>
      </c>
      <c r="J138" s="548">
        <f>H138*I138</f>
        <v>0</v>
      </c>
      <c r="K138" s="762"/>
      <c r="L138" s="763"/>
      <c r="M138" s="834"/>
    </row>
    <row r="139" spans="1:15" ht="18.75" customHeight="1">
      <c r="A139" s="620"/>
      <c r="B139" s="243" t="s">
        <v>99</v>
      </c>
      <c r="C139" s="619" t="s">
        <v>10</v>
      </c>
      <c r="D139" s="556">
        <v>1</v>
      </c>
      <c r="E139" s="556">
        <f>0*E7</f>
        <v>0</v>
      </c>
      <c r="F139" s="556">
        <f>1*F7</f>
        <v>29</v>
      </c>
      <c r="G139" s="556">
        <f>0*G7</f>
        <v>0</v>
      </c>
      <c r="H139" s="589">
        <f>0</f>
        <v>0</v>
      </c>
      <c r="I139" s="761">
        <f>212</f>
        <v>212</v>
      </c>
      <c r="J139" s="548">
        <f t="shared" ref="J139:J140" si="35">H139*I139</f>
        <v>0</v>
      </c>
      <c r="K139" s="762"/>
      <c r="L139" s="763"/>
      <c r="M139" s="834"/>
    </row>
    <row r="140" spans="1:15" ht="18.75" customHeight="1">
      <c r="A140" s="620"/>
      <c r="B140" s="243" t="s">
        <v>100</v>
      </c>
      <c r="C140" s="619" t="s">
        <v>10</v>
      </c>
      <c r="D140" s="556">
        <v>1</v>
      </c>
      <c r="E140" s="556">
        <f>0*E7</f>
        <v>0</v>
      </c>
      <c r="F140" s="556">
        <f>1*F7</f>
        <v>29</v>
      </c>
      <c r="G140" s="556">
        <f>0*G7</f>
        <v>0</v>
      </c>
      <c r="H140" s="589">
        <f>0</f>
        <v>0</v>
      </c>
      <c r="I140" s="761">
        <v>712</v>
      </c>
      <c r="J140" s="548">
        <f t="shared" si="35"/>
        <v>0</v>
      </c>
      <c r="K140" s="762"/>
      <c r="L140" s="763"/>
      <c r="M140" s="834"/>
    </row>
    <row r="141" spans="1:15" ht="18.75" customHeight="1">
      <c r="A141" s="621"/>
      <c r="B141" s="243" t="s">
        <v>215</v>
      </c>
      <c r="C141" s="619" t="s">
        <v>10</v>
      </c>
      <c r="D141" s="556">
        <v>1</v>
      </c>
      <c r="E141" s="556">
        <f>0*E7</f>
        <v>0</v>
      </c>
      <c r="F141" s="556">
        <f>1*F7</f>
        <v>29</v>
      </c>
      <c r="G141" s="556">
        <f>0*G7</f>
        <v>0</v>
      </c>
      <c r="H141" s="589">
        <f>0</f>
        <v>0</v>
      </c>
      <c r="I141" s="764">
        <v>1</v>
      </c>
      <c r="J141" s="548">
        <f t="shared" ref="J141:J142" si="36">H141*I141</f>
        <v>0</v>
      </c>
      <c r="K141" s="765"/>
      <c r="L141" s="766"/>
      <c r="M141" s="835"/>
    </row>
    <row r="142" spans="1:15" ht="18.75" customHeight="1">
      <c r="A142" s="621"/>
      <c r="B142" s="243" t="s">
        <v>216</v>
      </c>
      <c r="C142" s="619" t="s">
        <v>10</v>
      </c>
      <c r="D142" s="556">
        <v>1</v>
      </c>
      <c r="E142" s="556">
        <f>0*E7</f>
        <v>0</v>
      </c>
      <c r="F142" s="556">
        <f>1*F7</f>
        <v>29</v>
      </c>
      <c r="G142" s="556">
        <f>0*G7</f>
        <v>0</v>
      </c>
      <c r="H142" s="589">
        <f>0</f>
        <v>0</v>
      </c>
      <c r="I142" s="764">
        <v>1</v>
      </c>
      <c r="J142" s="548">
        <f t="shared" si="36"/>
        <v>0</v>
      </c>
      <c r="K142" s="765"/>
      <c r="L142" s="766"/>
      <c r="M142" s="835"/>
    </row>
    <row r="143" spans="1:15" ht="18.75" customHeight="1" thickBot="1">
      <c r="A143" s="198"/>
      <c r="B143" s="487" t="s">
        <v>30</v>
      </c>
      <c r="C143" s="622"/>
      <c r="D143" s="623"/>
      <c r="E143" s="623"/>
      <c r="F143" s="623"/>
      <c r="G143" s="623"/>
      <c r="H143" s="624"/>
      <c r="I143" s="625"/>
      <c r="J143" s="610">
        <f>SUM(J136:J142)</f>
        <v>0</v>
      </c>
      <c r="K143" s="756"/>
      <c r="L143" s="757">
        <f>K135*H135*0</f>
        <v>0</v>
      </c>
      <c r="M143" s="400">
        <f>J143+L143</f>
        <v>0</v>
      </c>
    </row>
    <row r="144" spans="1:15" ht="16.5" customHeight="1" thickBot="1">
      <c r="A144" s="378"/>
      <c r="B144" s="121"/>
      <c r="C144" s="378" t="s">
        <v>12</v>
      </c>
      <c r="D144" s="711"/>
      <c r="E144" s="711"/>
      <c r="F144" s="711"/>
      <c r="G144" s="711"/>
      <c r="H144" s="719"/>
      <c r="I144" s="911"/>
      <c r="J144" s="836"/>
      <c r="K144" s="837"/>
      <c r="L144" s="837"/>
      <c r="M144" s="838"/>
    </row>
    <row r="145" spans="1:15" ht="18.75" customHeight="1">
      <c r="A145" s="363">
        <v>25</v>
      </c>
      <c r="B145" s="364" t="s">
        <v>135</v>
      </c>
      <c r="C145" s="367" t="s">
        <v>0</v>
      </c>
      <c r="D145" s="626"/>
      <c r="E145" s="626">
        <f>'площади '!C7*E7</f>
        <v>25.06</v>
      </c>
      <c r="F145" s="626">
        <f>'площади '!D7*F7</f>
        <v>66.699999999999989</v>
      </c>
      <c r="G145" s="626">
        <f>0*G7</f>
        <v>0</v>
      </c>
      <c r="H145" s="627">
        <f>E145+F145+G145</f>
        <v>91.759999999999991</v>
      </c>
      <c r="I145" s="628"/>
      <c r="J145" s="629"/>
      <c r="K145" s="767">
        <f>470+220</f>
        <v>690</v>
      </c>
      <c r="L145" s="768"/>
      <c r="M145" s="839"/>
    </row>
    <row r="146" spans="1:15" ht="18" customHeight="1">
      <c r="A146" s="863"/>
      <c r="B146" s="401" t="s">
        <v>170</v>
      </c>
      <c r="C146" s="396" t="s">
        <v>0</v>
      </c>
      <c r="D146" s="567">
        <f>1.05</f>
        <v>1.05</v>
      </c>
      <c r="E146" s="567">
        <f>D146*E145*2</f>
        <v>52.625999999999998</v>
      </c>
      <c r="F146" s="567">
        <f>D146*F145</f>
        <v>70.034999999999997</v>
      </c>
      <c r="G146" s="567">
        <f>0*G7</f>
        <v>0</v>
      </c>
      <c r="H146" s="574">
        <f t="shared" ref="H146:H155" si="37">E146+F146+G146</f>
        <v>122.661</v>
      </c>
      <c r="I146" s="575">
        <f>96</f>
        <v>96</v>
      </c>
      <c r="J146" s="538">
        <f t="shared" ref="J146:J154" si="38">H146*I146</f>
        <v>11775.456</v>
      </c>
      <c r="K146" s="745"/>
      <c r="L146" s="748"/>
      <c r="M146" s="796"/>
    </row>
    <row r="147" spans="1:15" s="557" customFormat="1" ht="18" customHeight="1">
      <c r="A147" s="383"/>
      <c r="B147" s="480" t="s">
        <v>164</v>
      </c>
      <c r="C147" s="396" t="s">
        <v>11</v>
      </c>
      <c r="D147" s="567">
        <f>1</f>
        <v>1</v>
      </c>
      <c r="E147" s="567">
        <f>D147*E145</f>
        <v>25.06</v>
      </c>
      <c r="F147" s="567">
        <f>D147*F145</f>
        <v>66.699999999999989</v>
      </c>
      <c r="G147" s="567">
        <f>0*G7</f>
        <v>0</v>
      </c>
      <c r="H147" s="574">
        <f t="shared" si="37"/>
        <v>91.759999999999991</v>
      </c>
      <c r="I147" s="575">
        <f>12.41</f>
        <v>12.41</v>
      </c>
      <c r="J147" s="538">
        <f t="shared" si="38"/>
        <v>1138.7415999999998</v>
      </c>
      <c r="K147" s="745"/>
      <c r="L147" s="748"/>
      <c r="M147" s="796"/>
    </row>
    <row r="148" spans="1:15" s="557" customFormat="1" ht="18" customHeight="1">
      <c r="A148" s="383"/>
      <c r="B148" s="480" t="s">
        <v>165</v>
      </c>
      <c r="C148" s="396" t="s">
        <v>11</v>
      </c>
      <c r="D148" s="567">
        <v>2.2000000000000002</v>
      </c>
      <c r="E148" s="567">
        <f>D148*E145</f>
        <v>55.132000000000005</v>
      </c>
      <c r="F148" s="567">
        <f>D148*F145</f>
        <v>146.73999999999998</v>
      </c>
      <c r="G148" s="567">
        <f>0*G7</f>
        <v>0</v>
      </c>
      <c r="H148" s="574">
        <f t="shared" si="37"/>
        <v>201.87199999999999</v>
      </c>
      <c r="I148" s="575">
        <f>20.3</f>
        <v>20.3</v>
      </c>
      <c r="J148" s="538">
        <f t="shared" si="38"/>
        <v>4098.0015999999996</v>
      </c>
      <c r="K148" s="745"/>
      <c r="L148" s="748"/>
      <c r="M148" s="796"/>
    </row>
    <row r="149" spans="1:15" ht="18" customHeight="1">
      <c r="A149" s="383"/>
      <c r="B149" s="258" t="s">
        <v>75</v>
      </c>
      <c r="C149" s="396" t="s">
        <v>10</v>
      </c>
      <c r="D149" s="567">
        <v>5</v>
      </c>
      <c r="E149" s="567">
        <f>D149*E145</f>
        <v>125.3</v>
      </c>
      <c r="F149" s="567">
        <f>D149*F145</f>
        <v>333.49999999999994</v>
      </c>
      <c r="G149" s="567">
        <f>0*G7</f>
        <v>0</v>
      </c>
      <c r="H149" s="574">
        <f t="shared" si="37"/>
        <v>458.79999999999995</v>
      </c>
      <c r="I149" s="575">
        <f>0.5</f>
        <v>0.5</v>
      </c>
      <c r="J149" s="538">
        <f t="shared" si="38"/>
        <v>229.39999999999998</v>
      </c>
      <c r="K149" s="745"/>
      <c r="L149" s="748"/>
      <c r="M149" s="796"/>
    </row>
    <row r="150" spans="1:15" ht="18" customHeight="1">
      <c r="A150" s="383"/>
      <c r="B150" s="268" t="s">
        <v>74</v>
      </c>
      <c r="C150" s="396" t="s">
        <v>10</v>
      </c>
      <c r="D150" s="567">
        <f>1</f>
        <v>1</v>
      </c>
      <c r="E150" s="567">
        <f>D150*E145</f>
        <v>25.06</v>
      </c>
      <c r="F150" s="567">
        <f>D150*F145</f>
        <v>66.699999999999989</v>
      </c>
      <c r="G150" s="567">
        <f>0*G8</f>
        <v>0</v>
      </c>
      <c r="H150" s="574">
        <f t="shared" si="37"/>
        <v>91.759999999999991</v>
      </c>
      <c r="I150" s="575">
        <f>49.81</f>
        <v>49.81</v>
      </c>
      <c r="J150" s="538">
        <f t="shared" si="38"/>
        <v>4570.5655999999999</v>
      </c>
      <c r="K150" s="745"/>
      <c r="L150" s="748"/>
      <c r="M150" s="796"/>
    </row>
    <row r="151" spans="1:15" ht="18" customHeight="1">
      <c r="A151" s="383"/>
      <c r="B151" s="258" t="s">
        <v>73</v>
      </c>
      <c r="C151" s="396" t="s">
        <v>10</v>
      </c>
      <c r="D151" s="567">
        <v>1.7</v>
      </c>
      <c r="E151" s="567">
        <f>D151*E145</f>
        <v>42.601999999999997</v>
      </c>
      <c r="F151" s="567">
        <f>D151*F145</f>
        <v>113.38999999999997</v>
      </c>
      <c r="G151" s="567">
        <f>0*G8</f>
        <v>0</v>
      </c>
      <c r="H151" s="574">
        <f t="shared" si="37"/>
        <v>155.99199999999996</v>
      </c>
      <c r="I151" s="575">
        <f>12.57</f>
        <v>12.57</v>
      </c>
      <c r="J151" s="538">
        <f t="shared" si="38"/>
        <v>1960.8194399999995</v>
      </c>
      <c r="K151" s="745"/>
      <c r="L151" s="748"/>
      <c r="M151" s="796"/>
    </row>
    <row r="152" spans="1:15" ht="18" customHeight="1">
      <c r="A152" s="383"/>
      <c r="B152" s="110" t="s">
        <v>167</v>
      </c>
      <c r="C152" s="396" t="s">
        <v>10</v>
      </c>
      <c r="D152" s="567">
        <v>15</v>
      </c>
      <c r="E152" s="567">
        <f>D152*E145</f>
        <v>375.9</v>
      </c>
      <c r="F152" s="567">
        <f>D152*F145</f>
        <v>1000.4999999999998</v>
      </c>
      <c r="G152" s="567">
        <f>0*G7</f>
        <v>0</v>
      </c>
      <c r="H152" s="574">
        <f t="shared" si="37"/>
        <v>1376.3999999999996</v>
      </c>
      <c r="I152" s="581">
        <f>231.25/1000</f>
        <v>0.23125000000000001</v>
      </c>
      <c r="J152" s="538">
        <f t="shared" si="38"/>
        <v>318.2924999999999</v>
      </c>
      <c r="K152" s="745"/>
      <c r="L152" s="748"/>
      <c r="M152" s="796"/>
    </row>
    <row r="153" spans="1:15" ht="18" customHeight="1">
      <c r="A153" s="383"/>
      <c r="B153" s="258" t="s">
        <v>168</v>
      </c>
      <c r="C153" s="396" t="s">
        <v>10</v>
      </c>
      <c r="D153" s="567">
        <v>3</v>
      </c>
      <c r="E153" s="567">
        <f>D153*E145</f>
        <v>75.179999999999993</v>
      </c>
      <c r="F153" s="567">
        <f>D153*F145</f>
        <v>200.09999999999997</v>
      </c>
      <c r="G153" s="567">
        <f>0*G7</f>
        <v>0</v>
      </c>
      <c r="H153" s="574">
        <f t="shared" si="37"/>
        <v>275.27999999999997</v>
      </c>
      <c r="I153" s="581">
        <f>200.08/1000</f>
        <v>0.20008000000000001</v>
      </c>
      <c r="J153" s="538">
        <f t="shared" si="38"/>
        <v>55.078022399999995</v>
      </c>
      <c r="K153" s="745"/>
      <c r="L153" s="748"/>
      <c r="M153" s="796"/>
    </row>
    <row r="154" spans="1:15" ht="18.75" customHeight="1">
      <c r="A154" s="383"/>
      <c r="B154" s="377" t="s">
        <v>143</v>
      </c>
      <c r="C154" s="396" t="s">
        <v>3</v>
      </c>
      <c r="D154" s="567">
        <v>0.15</v>
      </c>
      <c r="E154" s="567">
        <f>E145*D154</f>
        <v>3.7589999999999995</v>
      </c>
      <c r="F154" s="567">
        <f>D154*F145</f>
        <v>10.004999999999997</v>
      </c>
      <c r="G154" s="567">
        <f>G145*G7</f>
        <v>0</v>
      </c>
      <c r="H154" s="574">
        <f>E154+F154+G154</f>
        <v>13.763999999999996</v>
      </c>
      <c r="I154" s="702">
        <f>21.5</f>
        <v>21.5</v>
      </c>
      <c r="J154" s="538">
        <f t="shared" si="38"/>
        <v>295.92599999999993</v>
      </c>
      <c r="K154" s="745"/>
      <c r="L154" s="748"/>
      <c r="M154" s="796"/>
    </row>
    <row r="155" spans="1:15" ht="18.75" customHeight="1">
      <c r="A155" s="383"/>
      <c r="B155" s="213" t="s">
        <v>66</v>
      </c>
      <c r="C155" s="396" t="s">
        <v>10</v>
      </c>
      <c r="D155" s="567">
        <v>0.5</v>
      </c>
      <c r="E155" s="567">
        <f>6*E7</f>
        <v>12</v>
      </c>
      <c r="F155" s="567">
        <f>1*F7</f>
        <v>29</v>
      </c>
      <c r="G155" s="567">
        <f>0*G7</f>
        <v>0</v>
      </c>
      <c r="H155" s="574">
        <f t="shared" si="37"/>
        <v>41</v>
      </c>
      <c r="I155" s="575">
        <f>25.4</f>
        <v>25.4</v>
      </c>
      <c r="J155" s="538">
        <f>H155*I155</f>
        <v>1041.3999999999999</v>
      </c>
      <c r="K155" s="745"/>
      <c r="L155" s="748"/>
      <c r="M155" s="796"/>
    </row>
    <row r="156" spans="1:15" ht="18.75" customHeight="1">
      <c r="A156" s="383"/>
      <c r="B156" s="480" t="s">
        <v>133</v>
      </c>
      <c r="C156" s="396" t="s">
        <v>3</v>
      </c>
      <c r="D156" s="567">
        <f>3</f>
        <v>3</v>
      </c>
      <c r="E156" s="567">
        <f>E145*D156</f>
        <v>75.179999999999993</v>
      </c>
      <c r="F156" s="567">
        <f>D156*F145</f>
        <v>200.09999999999997</v>
      </c>
      <c r="G156" s="567">
        <f>G145*G7</f>
        <v>0</v>
      </c>
      <c r="H156" s="574">
        <f>E156+F156+G156</f>
        <v>275.27999999999997</v>
      </c>
      <c r="I156" s="575">
        <f>14.6</f>
        <v>14.6</v>
      </c>
      <c r="J156" s="538">
        <f t="shared" ref="J156" si="39">H156*I156</f>
        <v>4019.0879999999993</v>
      </c>
      <c r="K156" s="745"/>
      <c r="L156" s="748"/>
      <c r="M156" s="796"/>
    </row>
    <row r="157" spans="1:15" ht="16.5" customHeight="1">
      <c r="A157" s="391"/>
      <c r="B157" s="479" t="s">
        <v>30</v>
      </c>
      <c r="C157" s="582"/>
      <c r="D157" s="583"/>
      <c r="E157" s="583"/>
      <c r="F157" s="583"/>
      <c r="G157" s="583"/>
      <c r="H157" s="584"/>
      <c r="I157" s="585"/>
      <c r="J157" s="586">
        <f>SUM(J146:J156)</f>
        <v>29502.768762399999</v>
      </c>
      <c r="K157" s="746"/>
      <c r="L157" s="747">
        <f>K145*H145</f>
        <v>63314.399999999994</v>
      </c>
      <c r="M157" s="108">
        <f>J157+L157</f>
        <v>92817.16876239999</v>
      </c>
      <c r="O157" s="498">
        <v>92817</v>
      </c>
    </row>
    <row r="158" spans="1:15" ht="18.75" customHeight="1">
      <c r="A158" s="388">
        <v>26</v>
      </c>
      <c r="B158" s="365" t="s">
        <v>136</v>
      </c>
      <c r="C158" s="551" t="s">
        <v>0</v>
      </c>
      <c r="D158" s="534"/>
      <c r="E158" s="534">
        <f>E7*('площади '!C6+'площади '!C18+'площади '!C19)</f>
        <v>60.18</v>
      </c>
      <c r="F158" s="534">
        <f>'площади '!D6*F7</f>
        <v>665.84</v>
      </c>
      <c r="G158" s="534">
        <f>17.6*G7</f>
        <v>545.6</v>
      </c>
      <c r="H158" s="594">
        <f>E158+F158+G158</f>
        <v>1271.6199999999999</v>
      </c>
      <c r="I158" s="573"/>
      <c r="J158" s="536"/>
      <c r="K158" s="743">
        <f>220</f>
        <v>220</v>
      </c>
      <c r="L158" s="744"/>
      <c r="M158" s="821"/>
    </row>
    <row r="159" spans="1:15" ht="18.75" customHeight="1">
      <c r="A159" s="383"/>
      <c r="B159" s="483" t="s">
        <v>158</v>
      </c>
      <c r="C159" s="396" t="s">
        <v>3</v>
      </c>
      <c r="D159" s="567">
        <v>0.25</v>
      </c>
      <c r="E159" s="567">
        <f>E158*D159</f>
        <v>15.045</v>
      </c>
      <c r="F159" s="567">
        <f>F158*D159</f>
        <v>166.46</v>
      </c>
      <c r="G159" s="567">
        <f>G158*D159</f>
        <v>136.4</v>
      </c>
      <c r="H159" s="574">
        <f t="shared" ref="H159:H170" si="40">E159+F159+G159</f>
        <v>317.90499999999997</v>
      </c>
      <c r="I159" s="575">
        <v>33</v>
      </c>
      <c r="J159" s="538">
        <f>H159*I159</f>
        <v>10490.865</v>
      </c>
      <c r="K159" s="745"/>
      <c r="L159" s="748"/>
      <c r="M159" s="796"/>
    </row>
    <row r="160" spans="1:15" ht="18.75" customHeight="1">
      <c r="A160" s="383"/>
      <c r="B160" s="480" t="s">
        <v>133</v>
      </c>
      <c r="C160" s="396" t="s">
        <v>3</v>
      </c>
      <c r="D160" s="567">
        <v>4</v>
      </c>
      <c r="E160" s="567">
        <f>E158*D160</f>
        <v>240.72</v>
      </c>
      <c r="F160" s="567">
        <f>F158*D160</f>
        <v>2663.36</v>
      </c>
      <c r="G160" s="567">
        <f>G158*D160</f>
        <v>2182.4</v>
      </c>
      <c r="H160" s="574">
        <f t="shared" si="40"/>
        <v>5086.4799999999996</v>
      </c>
      <c r="I160" s="575">
        <v>14.6</v>
      </c>
      <c r="J160" s="538">
        <f t="shared" ref="J160" si="41">H160*I160</f>
        <v>74262.607999999993</v>
      </c>
      <c r="K160" s="745"/>
      <c r="L160" s="748"/>
      <c r="M160" s="796"/>
    </row>
    <row r="161" spans="1:15" ht="18.75" customHeight="1">
      <c r="A161" s="391"/>
      <c r="B161" s="479" t="s">
        <v>30</v>
      </c>
      <c r="C161" s="582"/>
      <c r="D161" s="583"/>
      <c r="E161" s="583"/>
      <c r="F161" s="583"/>
      <c r="G161" s="583"/>
      <c r="H161" s="584"/>
      <c r="I161" s="585"/>
      <c r="J161" s="586">
        <f>SUM(J159:J160)</f>
        <v>84753.472999999998</v>
      </c>
      <c r="K161" s="746"/>
      <c r="L161" s="747">
        <f>K158*H158</f>
        <v>279756.39999999997</v>
      </c>
      <c r="M161" s="108">
        <f>J161+L161</f>
        <v>364509.87299999996</v>
      </c>
      <c r="O161" s="498">
        <v>364509</v>
      </c>
    </row>
    <row r="162" spans="1:15" ht="18.75" customHeight="1" collapsed="1">
      <c r="A162" s="385">
        <v>27</v>
      </c>
      <c r="B162" s="366" t="s">
        <v>137</v>
      </c>
      <c r="C162" s="591" t="s">
        <v>0</v>
      </c>
      <c r="D162" s="592"/>
      <c r="E162" s="593">
        <f>('площади '!C6+'площади '!C7+'площади '!C18+'площади '!C19)*E7</f>
        <v>85.24</v>
      </c>
      <c r="F162" s="593">
        <f>('площади '!D6+'площади '!D7)*F7</f>
        <v>732.54000000000008</v>
      </c>
      <c r="G162" s="593">
        <f>17.6*G7</f>
        <v>545.6</v>
      </c>
      <c r="H162" s="605">
        <f>E162+F162+G162</f>
        <v>1363.38</v>
      </c>
      <c r="I162" s="595"/>
      <c r="J162" s="508"/>
      <c r="K162" s="750">
        <f>80</f>
        <v>80</v>
      </c>
      <c r="L162" s="751"/>
      <c r="M162" s="795"/>
    </row>
    <row r="163" spans="1:15" ht="18.75" customHeight="1">
      <c r="A163" s="389"/>
      <c r="B163" s="377" t="s">
        <v>143</v>
      </c>
      <c r="C163" s="396" t="s">
        <v>3</v>
      </c>
      <c r="D163" s="567">
        <v>0.15</v>
      </c>
      <c r="E163" s="567">
        <f>E162*D163</f>
        <v>12.786</v>
      </c>
      <c r="F163" s="567">
        <f>F162*D163</f>
        <v>109.88100000000001</v>
      </c>
      <c r="G163" s="567">
        <f>G162*D163</f>
        <v>81.84</v>
      </c>
      <c r="H163" s="574">
        <f>E163+F163+G163</f>
        <v>204.50700000000001</v>
      </c>
      <c r="I163" s="702">
        <f>21.5</f>
        <v>21.5</v>
      </c>
      <c r="J163" s="538">
        <f>H163*I163</f>
        <v>4396.9004999999997</v>
      </c>
      <c r="K163" s="745"/>
      <c r="L163" s="748"/>
      <c r="M163" s="796"/>
    </row>
    <row r="164" spans="1:15" ht="18.75" customHeight="1">
      <c r="A164" s="386"/>
      <c r="B164" s="203" t="s">
        <v>209</v>
      </c>
      <c r="C164" s="380" t="s">
        <v>3</v>
      </c>
      <c r="D164" s="556">
        <v>0.25</v>
      </c>
      <c r="E164" s="556">
        <f>E162*D164</f>
        <v>21.31</v>
      </c>
      <c r="F164" s="556">
        <f>F162*D164</f>
        <v>183.13500000000002</v>
      </c>
      <c r="G164" s="556">
        <f>G162*D164</f>
        <v>136.4</v>
      </c>
      <c r="H164" s="589">
        <f>E164+F164+G164</f>
        <v>340.84500000000003</v>
      </c>
      <c r="I164" s="596">
        <f>84.96</f>
        <v>84.96</v>
      </c>
      <c r="J164" s="548">
        <f>H164*I164</f>
        <v>28958.191200000001</v>
      </c>
      <c r="K164" s="752"/>
      <c r="L164" s="753"/>
      <c r="M164" s="797"/>
    </row>
    <row r="165" spans="1:15" ht="18.75" customHeight="1">
      <c r="A165" s="387"/>
      <c r="B165" s="479" t="s">
        <v>30</v>
      </c>
      <c r="C165" s="607"/>
      <c r="D165" s="608"/>
      <c r="E165" s="608"/>
      <c r="F165" s="608"/>
      <c r="G165" s="608"/>
      <c r="H165" s="624"/>
      <c r="I165" s="609"/>
      <c r="J165" s="610">
        <f>SUM(J163:J164)</f>
        <v>33355.091700000004</v>
      </c>
      <c r="K165" s="749"/>
      <c r="L165" s="747">
        <f>K162*H162</f>
        <v>109070.40000000001</v>
      </c>
      <c r="M165" s="108">
        <f>J165+L165</f>
        <v>142425.49170000001</v>
      </c>
      <c r="O165" s="498">
        <v>142425</v>
      </c>
    </row>
    <row r="166" spans="1:15" ht="18.75" customHeight="1">
      <c r="A166" s="385">
        <v>28</v>
      </c>
      <c r="B166" s="362" t="s">
        <v>138</v>
      </c>
      <c r="C166" s="591" t="s">
        <v>0</v>
      </c>
      <c r="D166" s="593"/>
      <c r="E166" s="593">
        <f>'площади '!C8*E7</f>
        <v>23.3</v>
      </c>
      <c r="F166" s="593">
        <f>0*F7</f>
        <v>0</v>
      </c>
      <c r="G166" s="593">
        <f>0*G7</f>
        <v>0</v>
      </c>
      <c r="H166" s="616">
        <f>E166+F166+G166</f>
        <v>23.3</v>
      </c>
      <c r="I166" s="595"/>
      <c r="J166" s="508"/>
      <c r="K166" s="750">
        <f>310</f>
        <v>310</v>
      </c>
      <c r="L166" s="751"/>
      <c r="M166" s="795"/>
    </row>
    <row r="167" spans="1:15" ht="33" customHeight="1">
      <c r="A167" s="390"/>
      <c r="B167" s="243" t="s">
        <v>237</v>
      </c>
      <c r="C167" s="380" t="s">
        <v>11</v>
      </c>
      <c r="D167" s="556">
        <v>1.1000000000000001</v>
      </c>
      <c r="E167" s="556">
        <f>E166*D167</f>
        <v>25.630000000000003</v>
      </c>
      <c r="F167" s="556">
        <f>F166*D167</f>
        <v>0</v>
      </c>
      <c r="G167" s="556">
        <f>G166*D167</f>
        <v>0</v>
      </c>
      <c r="H167" s="589">
        <f t="shared" si="40"/>
        <v>25.630000000000003</v>
      </c>
      <c r="I167" s="596">
        <f>560</f>
        <v>560</v>
      </c>
      <c r="J167" s="548">
        <f>H167*I167</f>
        <v>14352.800000000001</v>
      </c>
      <c r="K167" s="752"/>
      <c r="L167" s="753"/>
      <c r="M167" s="797"/>
    </row>
    <row r="168" spans="1:15" ht="18.75" customHeight="1">
      <c r="A168" s="391"/>
      <c r="B168" s="479" t="s">
        <v>30</v>
      </c>
      <c r="C168" s="582"/>
      <c r="D168" s="583"/>
      <c r="E168" s="583"/>
      <c r="F168" s="583"/>
      <c r="G168" s="583"/>
      <c r="H168" s="584"/>
      <c r="I168" s="585"/>
      <c r="J168" s="586">
        <f>SUM(J167)</f>
        <v>14352.800000000001</v>
      </c>
      <c r="K168" s="749"/>
      <c r="L168" s="747">
        <f>K166*H166</f>
        <v>7223</v>
      </c>
      <c r="M168" s="108">
        <f>J168+L168</f>
        <v>21575.800000000003</v>
      </c>
      <c r="O168" s="498">
        <v>21575</v>
      </c>
    </row>
    <row r="169" spans="1:15" ht="19.5" customHeight="1">
      <c r="A169" s="385">
        <v>29</v>
      </c>
      <c r="B169" s="362" t="s">
        <v>139</v>
      </c>
      <c r="C169" s="591" t="s">
        <v>0</v>
      </c>
      <c r="D169" s="592"/>
      <c r="E169" s="593">
        <f>'площади '!C9*E7</f>
        <v>11.02</v>
      </c>
      <c r="F169" s="593">
        <f>0*F7</f>
        <v>0</v>
      </c>
      <c r="G169" s="593">
        <f>'площади '!E9*G7</f>
        <v>0</v>
      </c>
      <c r="H169" s="605">
        <f>E169+F169+G169</f>
        <v>11.02</v>
      </c>
      <c r="I169" s="595"/>
      <c r="J169" s="508"/>
      <c r="K169" s="750">
        <f>410</f>
        <v>410</v>
      </c>
      <c r="L169" s="751"/>
      <c r="M169" s="795"/>
    </row>
    <row r="170" spans="1:15" ht="18.75" customHeight="1">
      <c r="A170" s="390"/>
      <c r="B170" s="243" t="s">
        <v>109</v>
      </c>
      <c r="C170" s="380" t="s">
        <v>0</v>
      </c>
      <c r="D170" s="556">
        <v>1.1000000000000001</v>
      </c>
      <c r="E170" s="556">
        <f>E169*D170</f>
        <v>12.122</v>
      </c>
      <c r="F170" s="556">
        <f>F169*D170</f>
        <v>0</v>
      </c>
      <c r="G170" s="556">
        <f>G169*D170</f>
        <v>0</v>
      </c>
      <c r="H170" s="614">
        <f t="shared" si="40"/>
        <v>12.122</v>
      </c>
      <c r="I170" s="596">
        <v>1500</v>
      </c>
      <c r="J170" s="548">
        <f>H170*I170</f>
        <v>18183</v>
      </c>
      <c r="K170" s="752"/>
      <c r="L170" s="753"/>
      <c r="M170" s="797"/>
    </row>
    <row r="171" spans="1:15" ht="18.75" customHeight="1" thickBot="1">
      <c r="A171" s="198"/>
      <c r="B171" s="487" t="s">
        <v>30</v>
      </c>
      <c r="C171" s="607"/>
      <c r="D171" s="608"/>
      <c r="E171" s="608"/>
      <c r="F171" s="608"/>
      <c r="G171" s="608"/>
      <c r="H171" s="615"/>
      <c r="I171" s="609"/>
      <c r="J171" s="610">
        <f>SUM(J170)</f>
        <v>18183</v>
      </c>
      <c r="K171" s="756"/>
      <c r="L171" s="757">
        <f>H169*K169</f>
        <v>4518.2</v>
      </c>
      <c r="M171" s="400">
        <f>J171+L171</f>
        <v>22701.200000000001</v>
      </c>
      <c r="O171" s="498">
        <v>22701</v>
      </c>
    </row>
    <row r="172" spans="1:15" ht="18.75" customHeight="1" thickBot="1">
      <c r="A172" s="135"/>
      <c r="B172" s="488"/>
      <c r="C172" s="135" t="s">
        <v>14</v>
      </c>
      <c r="D172" s="462"/>
      <c r="E172" s="462"/>
      <c r="F172" s="462"/>
      <c r="G172" s="462"/>
      <c r="H172" s="720"/>
      <c r="I172" s="912"/>
      <c r="J172" s="840"/>
      <c r="K172" s="841"/>
      <c r="L172" s="841"/>
      <c r="M172" s="842"/>
    </row>
    <row r="173" spans="1:15" s="557" customFormat="1" ht="18.75" customHeight="1">
      <c r="A173" s="516">
        <v>30</v>
      </c>
      <c r="B173" s="457" t="s">
        <v>191</v>
      </c>
      <c r="C173" s="565" t="s">
        <v>11</v>
      </c>
      <c r="D173" s="506"/>
      <c r="E173" s="506">
        <f>3.1*E7</f>
        <v>6.2</v>
      </c>
      <c r="F173" s="534">
        <f>F7*1.5</f>
        <v>43.5</v>
      </c>
      <c r="G173" s="534">
        <f>G7*1.5</f>
        <v>46.5</v>
      </c>
      <c r="H173" s="553">
        <f>E173+F173+G173</f>
        <v>96.2</v>
      </c>
      <c r="I173" s="913"/>
      <c r="J173" s="828"/>
      <c r="K173" s="723">
        <v>150</v>
      </c>
      <c r="L173" s="735"/>
      <c r="M173" s="795"/>
    </row>
    <row r="174" spans="1:15" s="557" customFormat="1" ht="18.75" customHeight="1">
      <c r="A174" s="859"/>
      <c r="B174" s="455" t="s">
        <v>34</v>
      </c>
      <c r="C174" s="566" t="s">
        <v>15</v>
      </c>
      <c r="D174" s="510">
        <v>1</v>
      </c>
      <c r="E174" s="510">
        <f>E173*D174</f>
        <v>6.2</v>
      </c>
      <c r="F174" s="567">
        <f>F173*D174</f>
        <v>43.5</v>
      </c>
      <c r="G174" s="567">
        <f>G173*D174</f>
        <v>46.5</v>
      </c>
      <c r="H174" s="568">
        <f>E174+F174+G174</f>
        <v>96.2</v>
      </c>
      <c r="I174" s="575">
        <f>450</f>
        <v>450</v>
      </c>
      <c r="J174" s="813">
        <f>H174*I174</f>
        <v>43290</v>
      </c>
      <c r="K174" s="785"/>
      <c r="L174" s="829"/>
      <c r="M174" s="796"/>
    </row>
    <row r="175" spans="1:15" s="557" customFormat="1" ht="18.75" customHeight="1">
      <c r="A175" s="333"/>
      <c r="B175" s="455" t="s">
        <v>190</v>
      </c>
      <c r="C175" s="566" t="s">
        <v>11</v>
      </c>
      <c r="D175" s="510">
        <v>1</v>
      </c>
      <c r="E175" s="510">
        <f>D175*E173</f>
        <v>6.2</v>
      </c>
      <c r="F175" s="630">
        <f>F173*D175</f>
        <v>43.5</v>
      </c>
      <c r="G175" s="630">
        <f>G173*D175</f>
        <v>46.5</v>
      </c>
      <c r="H175" s="631">
        <f>E175+F175+G175</f>
        <v>96.2</v>
      </c>
      <c r="I175" s="914">
        <v>140</v>
      </c>
      <c r="J175" s="813">
        <f>I175*H175</f>
        <v>13468</v>
      </c>
      <c r="K175" s="785"/>
      <c r="L175" s="805"/>
      <c r="M175" s="797"/>
    </row>
    <row r="176" spans="1:15" s="557" customFormat="1" ht="18.75" customHeight="1">
      <c r="A176" s="692"/>
      <c r="B176" s="114" t="s">
        <v>217</v>
      </c>
      <c r="C176" s="693" t="s">
        <v>10</v>
      </c>
      <c r="D176" s="436">
        <f>1</f>
        <v>1</v>
      </c>
      <c r="E176" s="510">
        <f>4*E7</f>
        <v>8</v>
      </c>
      <c r="F176" s="630">
        <f>2*F7</f>
        <v>58</v>
      </c>
      <c r="G176" s="630">
        <f>2*G7</f>
        <v>62</v>
      </c>
      <c r="H176" s="631">
        <f>E176+F176+G176</f>
        <v>128</v>
      </c>
      <c r="I176" s="703">
        <f>8.24</f>
        <v>8.24</v>
      </c>
      <c r="J176" s="379">
        <f>I176*H176</f>
        <v>1054.72</v>
      </c>
      <c r="K176" s="785"/>
      <c r="L176" s="805"/>
      <c r="M176" s="797"/>
    </row>
    <row r="177" spans="1:15" s="557" customFormat="1" ht="18.75" customHeight="1" thickBot="1">
      <c r="A177" s="632"/>
      <c r="B177" s="459" t="s">
        <v>30</v>
      </c>
      <c r="C177" s="590"/>
      <c r="D177" s="514"/>
      <c r="E177" s="712"/>
      <c r="F177" s="321"/>
      <c r="G177" s="321"/>
      <c r="H177" s="721"/>
      <c r="I177" s="915"/>
      <c r="J177" s="831">
        <f>SUM(J174:J176)</f>
        <v>57812.72</v>
      </c>
      <c r="K177" s="725"/>
      <c r="L177" s="808">
        <f>K173*H173</f>
        <v>14430</v>
      </c>
      <c r="M177" s="108">
        <f>J177+L177</f>
        <v>72242.720000000001</v>
      </c>
      <c r="O177" s="557">
        <v>72242</v>
      </c>
    </row>
    <row r="178" spans="1:15" s="557" customFormat="1" ht="18.75" customHeight="1">
      <c r="A178" s="516">
        <v>31</v>
      </c>
      <c r="B178" s="457" t="s">
        <v>192</v>
      </c>
      <c r="C178" s="565" t="s">
        <v>11</v>
      </c>
      <c r="D178" s="506"/>
      <c r="E178" s="506">
        <f>0*E7</f>
        <v>0</v>
      </c>
      <c r="F178" s="534">
        <f>F7*0</f>
        <v>0</v>
      </c>
      <c r="G178" s="534">
        <f>G7*5.25</f>
        <v>162.75</v>
      </c>
      <c r="H178" s="553">
        <f>E178+F178+G178</f>
        <v>162.75</v>
      </c>
      <c r="I178" s="913"/>
      <c r="J178" s="828"/>
      <c r="K178" s="723">
        <v>150</v>
      </c>
      <c r="L178" s="735"/>
      <c r="M178" s="795"/>
    </row>
    <row r="179" spans="1:15" s="557" customFormat="1" ht="18.75" customHeight="1">
      <c r="A179" s="859"/>
      <c r="B179" s="461" t="s">
        <v>218</v>
      </c>
      <c r="C179" s="566" t="s">
        <v>11</v>
      </c>
      <c r="D179" s="510">
        <v>1.05</v>
      </c>
      <c r="E179" s="510">
        <f>E178*D179</f>
        <v>0</v>
      </c>
      <c r="F179" s="567">
        <f>F178*D179</f>
        <v>0</v>
      </c>
      <c r="G179" s="567">
        <f>G178*D179</f>
        <v>170.88750000000002</v>
      </c>
      <c r="H179" s="568">
        <f>E179+F179+G179</f>
        <v>170.88750000000002</v>
      </c>
      <c r="I179" s="916">
        <v>43</v>
      </c>
      <c r="J179" s="813">
        <f>H179*I179</f>
        <v>7348.1625000000004</v>
      </c>
      <c r="K179" s="785"/>
      <c r="L179" s="829"/>
      <c r="M179" s="796"/>
    </row>
    <row r="180" spans="1:15" s="557" customFormat="1" ht="18.75" customHeight="1" thickBot="1">
      <c r="A180" s="632"/>
      <c r="B180" s="459" t="s">
        <v>30</v>
      </c>
      <c r="C180" s="590"/>
      <c r="D180" s="514"/>
      <c r="E180" s="712"/>
      <c r="F180" s="321"/>
      <c r="G180" s="321"/>
      <c r="H180" s="721"/>
      <c r="I180" s="915"/>
      <c r="J180" s="831">
        <f>SUM(J179)</f>
        <v>7348.1625000000004</v>
      </c>
      <c r="K180" s="725"/>
      <c r="L180" s="808">
        <f>K178*H178</f>
        <v>24412.5</v>
      </c>
      <c r="M180" s="108">
        <f>J180+L180</f>
        <v>31760.662499999999</v>
      </c>
      <c r="O180" s="557">
        <v>31760</v>
      </c>
    </row>
    <row r="181" spans="1:15" ht="18.75" customHeight="1">
      <c r="A181" s="388">
        <v>32</v>
      </c>
      <c r="B181" s="395" t="s">
        <v>140</v>
      </c>
      <c r="C181" s="367"/>
      <c r="D181" s="368"/>
      <c r="E181" s="368">
        <f>0*E7</f>
        <v>0</v>
      </c>
      <c r="F181" s="552">
        <f>F184+F185</f>
        <v>116</v>
      </c>
      <c r="G181" s="460">
        <f>0*G7</f>
        <v>0</v>
      </c>
      <c r="H181" s="605">
        <f>E181+F181+G181</f>
        <v>116</v>
      </c>
      <c r="I181" s="628"/>
      <c r="J181" s="843"/>
      <c r="K181" s="767">
        <f>3940</f>
        <v>3940</v>
      </c>
      <c r="L181" s="844"/>
      <c r="M181" s="845"/>
    </row>
    <row r="182" spans="1:15" ht="18.75" customHeight="1">
      <c r="A182" s="389"/>
      <c r="B182" s="377" t="s">
        <v>34</v>
      </c>
      <c r="C182" s="396" t="s">
        <v>15</v>
      </c>
      <c r="D182" s="567">
        <v>1</v>
      </c>
      <c r="E182" s="567">
        <f>E181*D182</f>
        <v>0</v>
      </c>
      <c r="F182" s="567">
        <f>F181*D182</f>
        <v>116</v>
      </c>
      <c r="G182" s="567">
        <f>G181*D182</f>
        <v>0</v>
      </c>
      <c r="H182" s="574">
        <f>E182+F182+G182</f>
        <v>116</v>
      </c>
      <c r="I182" s="575">
        <f>450</f>
        <v>450</v>
      </c>
      <c r="J182" s="538">
        <f>H182*I182</f>
        <v>52200</v>
      </c>
      <c r="K182" s="846"/>
      <c r="L182" s="847"/>
      <c r="M182" s="848"/>
    </row>
    <row r="183" spans="1:15" ht="18.75" customHeight="1">
      <c r="A183" s="389"/>
      <c r="B183" s="377" t="s">
        <v>87</v>
      </c>
      <c r="C183" s="396" t="s">
        <v>10</v>
      </c>
      <c r="D183" s="567">
        <f>10</f>
        <v>10</v>
      </c>
      <c r="E183" s="567">
        <f>E181*D183</f>
        <v>0</v>
      </c>
      <c r="F183" s="567">
        <f>F181*D183</f>
        <v>1160</v>
      </c>
      <c r="G183" s="567">
        <f>G182*D183</f>
        <v>0</v>
      </c>
      <c r="H183" s="574">
        <f t="shared" ref="H183:H187" si="42">E183+F183+G183</f>
        <v>1160</v>
      </c>
      <c r="I183" s="575">
        <f>70</f>
        <v>70</v>
      </c>
      <c r="J183" s="538">
        <f t="shared" ref="J183:J186" si="43">H183*I183</f>
        <v>81200</v>
      </c>
      <c r="K183" s="846"/>
      <c r="L183" s="847"/>
      <c r="M183" s="848"/>
    </row>
    <row r="184" spans="1:15" ht="18.75" customHeight="1">
      <c r="A184" s="390"/>
      <c r="B184" s="243" t="s">
        <v>219</v>
      </c>
      <c r="C184" s="380" t="s">
        <v>10</v>
      </c>
      <c r="D184" s="556">
        <v>1</v>
      </c>
      <c r="E184" s="556">
        <f>0*E7</f>
        <v>0</v>
      </c>
      <c r="F184" s="556">
        <f>2*F7</f>
        <v>58</v>
      </c>
      <c r="G184" s="556">
        <f>0*G7</f>
        <v>0</v>
      </c>
      <c r="H184" s="589">
        <f t="shared" si="42"/>
        <v>58</v>
      </c>
      <c r="I184" s="596">
        <v>17000</v>
      </c>
      <c r="J184" s="548">
        <f t="shared" si="43"/>
        <v>986000</v>
      </c>
      <c r="K184" s="846"/>
      <c r="L184" s="847"/>
      <c r="M184" s="848"/>
    </row>
    <row r="185" spans="1:15" ht="18.75" customHeight="1">
      <c r="A185" s="390"/>
      <c r="B185" s="243" t="s">
        <v>220</v>
      </c>
      <c r="C185" s="380" t="s">
        <v>10</v>
      </c>
      <c r="D185" s="556">
        <v>1</v>
      </c>
      <c r="E185" s="556">
        <f>0*E8</f>
        <v>0</v>
      </c>
      <c r="F185" s="556">
        <f>2*F7</f>
        <v>58</v>
      </c>
      <c r="G185" s="556">
        <f>0*G8</f>
        <v>0</v>
      </c>
      <c r="H185" s="589">
        <f t="shared" ref="H185" si="44">E185+F185+G185</f>
        <v>58</v>
      </c>
      <c r="I185" s="596">
        <v>17000</v>
      </c>
      <c r="J185" s="548">
        <f t="shared" ref="J185" si="45">H185*I185</f>
        <v>986000</v>
      </c>
      <c r="K185" s="849"/>
      <c r="L185" s="850"/>
      <c r="M185" s="848"/>
    </row>
    <row r="186" spans="1:15" ht="18.75" customHeight="1">
      <c r="A186" s="390"/>
      <c r="B186" s="203" t="s">
        <v>123</v>
      </c>
      <c r="C186" s="380" t="s">
        <v>10</v>
      </c>
      <c r="D186" s="556">
        <v>1</v>
      </c>
      <c r="E186" s="556">
        <f>0*E7</f>
        <v>0</v>
      </c>
      <c r="F186" s="556">
        <f>2.5*0</f>
        <v>0</v>
      </c>
      <c r="G186" s="556">
        <f>0*G7</f>
        <v>0</v>
      </c>
      <c r="H186" s="589">
        <f t="shared" si="42"/>
        <v>0</v>
      </c>
      <c r="I186" s="596">
        <v>211</v>
      </c>
      <c r="J186" s="548">
        <f t="shared" si="43"/>
        <v>0</v>
      </c>
      <c r="K186" s="846"/>
      <c r="L186" s="847"/>
      <c r="M186" s="848"/>
    </row>
    <row r="187" spans="1:15" ht="18.75" customHeight="1">
      <c r="A187" s="390"/>
      <c r="B187" s="203" t="s">
        <v>124</v>
      </c>
      <c r="C187" s="380" t="s">
        <v>10</v>
      </c>
      <c r="D187" s="556">
        <v>1</v>
      </c>
      <c r="E187" s="556">
        <f>0*E7</f>
        <v>0</v>
      </c>
      <c r="F187" s="556">
        <f>2.5*0</f>
        <v>0</v>
      </c>
      <c r="G187" s="556">
        <f>0*G7</f>
        <v>0</v>
      </c>
      <c r="H187" s="589">
        <f t="shared" si="42"/>
        <v>0</v>
      </c>
      <c r="I187" s="596">
        <v>96</v>
      </c>
      <c r="J187" s="548">
        <f>H187*I187</f>
        <v>0</v>
      </c>
      <c r="K187" s="846"/>
      <c r="L187" s="847"/>
      <c r="M187" s="848"/>
    </row>
    <row r="188" spans="1:15" ht="18.75" customHeight="1" thickBot="1">
      <c r="A188" s="391"/>
      <c r="B188" s="479" t="s">
        <v>30</v>
      </c>
      <c r="C188" s="397"/>
      <c r="D188" s="321"/>
      <c r="E188" s="321"/>
      <c r="F188" s="321"/>
      <c r="G188" s="321"/>
      <c r="H188" s="722"/>
      <c r="I188" s="917"/>
      <c r="J188" s="769">
        <f>SUM(J182:J187)</f>
        <v>2105400</v>
      </c>
      <c r="K188" s="851"/>
      <c r="L188" s="770">
        <f>H181*K181</f>
        <v>457040</v>
      </c>
      <c r="M188" s="400">
        <f>J188+L188</f>
        <v>2562440</v>
      </c>
      <c r="O188" s="498">
        <v>2562440</v>
      </c>
    </row>
    <row r="189" spans="1:15" ht="18.75" customHeight="1">
      <c r="A189" s="363">
        <v>33</v>
      </c>
      <c r="B189" s="376" t="s">
        <v>141</v>
      </c>
      <c r="C189" s="551" t="s">
        <v>10</v>
      </c>
      <c r="D189" s="633"/>
      <c r="E189" s="534">
        <f>E192+E193+E194+E195+E196+E197+E198+E199+E200</f>
        <v>12</v>
      </c>
      <c r="F189" s="534">
        <f>F192+F193+F194+F195+F196+F197+F198+F199+F200</f>
        <v>116</v>
      </c>
      <c r="G189" s="534">
        <f>G192+G193+G194+G195+G196+G197+G198+G199+G200</f>
        <v>0</v>
      </c>
      <c r="H189" s="605">
        <f>E189+F189+G189</f>
        <v>128</v>
      </c>
      <c r="I189" s="634"/>
      <c r="J189" s="635"/>
      <c r="K189" s="767">
        <f>3940</f>
        <v>3940</v>
      </c>
      <c r="L189" s="768"/>
      <c r="M189" s="839"/>
    </row>
    <row r="190" spans="1:15" ht="18.75" customHeight="1">
      <c r="A190" s="389"/>
      <c r="B190" s="377" t="s">
        <v>34</v>
      </c>
      <c r="C190" s="396" t="s">
        <v>15</v>
      </c>
      <c r="D190" s="567">
        <v>1</v>
      </c>
      <c r="E190" s="567">
        <f>E189*D190</f>
        <v>12</v>
      </c>
      <c r="F190" s="567">
        <f>F189*D190</f>
        <v>116</v>
      </c>
      <c r="G190" s="567">
        <f>G189*D190</f>
        <v>0</v>
      </c>
      <c r="H190" s="574">
        <f>E190+F190+G190</f>
        <v>128</v>
      </c>
      <c r="I190" s="575">
        <f>450</f>
        <v>450</v>
      </c>
      <c r="J190" s="538">
        <f>H190*I190</f>
        <v>57600</v>
      </c>
      <c r="K190" s="745"/>
      <c r="L190" s="748"/>
      <c r="M190" s="796"/>
    </row>
    <row r="191" spans="1:15" ht="18.75" customHeight="1">
      <c r="A191" s="389"/>
      <c r="B191" s="377" t="s">
        <v>87</v>
      </c>
      <c r="C191" s="396" t="s">
        <v>10</v>
      </c>
      <c r="D191" s="567">
        <f>10</f>
        <v>10</v>
      </c>
      <c r="E191" s="567">
        <f>E189*D191</f>
        <v>120</v>
      </c>
      <c r="F191" s="567">
        <f>F189*D191</f>
        <v>1160</v>
      </c>
      <c r="G191" s="567">
        <f>G190*D191</f>
        <v>0</v>
      </c>
      <c r="H191" s="574">
        <f t="shared" ref="H191:H200" si="46">E191+F191+G191</f>
        <v>1280</v>
      </c>
      <c r="I191" s="575">
        <f>70</f>
        <v>70</v>
      </c>
      <c r="J191" s="538">
        <f t="shared" ref="J191:J200" si="47">H191*I191</f>
        <v>89600</v>
      </c>
      <c r="K191" s="745"/>
      <c r="L191" s="748"/>
      <c r="M191" s="796"/>
    </row>
    <row r="192" spans="1:15" ht="32.25" customHeight="1">
      <c r="A192" s="389"/>
      <c r="B192" s="243" t="s">
        <v>221</v>
      </c>
      <c r="C192" s="380" t="s">
        <v>10</v>
      </c>
      <c r="D192" s="556">
        <v>1</v>
      </c>
      <c r="E192" s="694">
        <f>1*E7</f>
        <v>2</v>
      </c>
      <c r="F192" s="694">
        <f>1*F7</f>
        <v>29</v>
      </c>
      <c r="G192" s="694">
        <f>0*G7</f>
        <v>0</v>
      </c>
      <c r="H192" s="589">
        <f t="shared" si="46"/>
        <v>31</v>
      </c>
      <c r="I192" s="596">
        <v>15330</v>
      </c>
      <c r="J192" s="548">
        <f t="shared" si="47"/>
        <v>475230</v>
      </c>
      <c r="K192" s="752"/>
      <c r="L192" s="753"/>
      <c r="M192" s="797"/>
    </row>
    <row r="193" spans="1:15" ht="49.5" customHeight="1">
      <c r="A193" s="389"/>
      <c r="B193" s="243" t="s">
        <v>222</v>
      </c>
      <c r="C193" s="380" t="s">
        <v>10</v>
      </c>
      <c r="D193" s="556">
        <v>1</v>
      </c>
      <c r="E193" s="694">
        <f>0*E7</f>
        <v>0</v>
      </c>
      <c r="F193" s="694">
        <f>1*F7</f>
        <v>29</v>
      </c>
      <c r="G193" s="694">
        <f>0*G7</f>
        <v>0</v>
      </c>
      <c r="H193" s="589">
        <f t="shared" si="46"/>
        <v>29</v>
      </c>
      <c r="I193" s="596">
        <f>19150</f>
        <v>19150</v>
      </c>
      <c r="J193" s="548">
        <f t="shared" si="47"/>
        <v>555350</v>
      </c>
      <c r="K193" s="752"/>
      <c r="L193" s="753"/>
      <c r="M193" s="797"/>
    </row>
    <row r="194" spans="1:15" ht="49.5" customHeight="1">
      <c r="A194" s="389"/>
      <c r="B194" s="243" t="s">
        <v>223</v>
      </c>
      <c r="C194" s="380" t="s">
        <v>10</v>
      </c>
      <c r="D194" s="556">
        <v>1</v>
      </c>
      <c r="E194" s="694">
        <f>0*E7</f>
        <v>0</v>
      </c>
      <c r="F194" s="694">
        <f>1*F7</f>
        <v>29</v>
      </c>
      <c r="G194" s="694">
        <f>0*G7</f>
        <v>0</v>
      </c>
      <c r="H194" s="589">
        <f t="shared" ref="H194" si="48">E194+F194+G194</f>
        <v>29</v>
      </c>
      <c r="I194" s="596">
        <v>25600</v>
      </c>
      <c r="J194" s="548">
        <f t="shared" ref="J194" si="49">H194*I194</f>
        <v>742400</v>
      </c>
      <c r="K194" s="771"/>
      <c r="L194" s="772"/>
      <c r="M194" s="797"/>
    </row>
    <row r="195" spans="1:15" ht="32.25" customHeight="1">
      <c r="A195" s="617"/>
      <c r="B195" s="243" t="s">
        <v>228</v>
      </c>
      <c r="C195" s="380" t="s">
        <v>10</v>
      </c>
      <c r="D195" s="556">
        <v>1</v>
      </c>
      <c r="E195" s="694">
        <f>1*E7</f>
        <v>2</v>
      </c>
      <c r="F195" s="694">
        <f>0*F7</f>
        <v>0</v>
      </c>
      <c r="G195" s="694">
        <f>0*G7</f>
        <v>0</v>
      </c>
      <c r="H195" s="589">
        <f t="shared" si="46"/>
        <v>2</v>
      </c>
      <c r="I195" s="596">
        <v>25600</v>
      </c>
      <c r="J195" s="548">
        <f t="shared" si="47"/>
        <v>51200</v>
      </c>
      <c r="K195" s="752"/>
      <c r="L195" s="753"/>
      <c r="M195" s="797"/>
    </row>
    <row r="196" spans="1:15" ht="18.75" customHeight="1">
      <c r="A196" s="389"/>
      <c r="B196" s="243" t="s">
        <v>225</v>
      </c>
      <c r="C196" s="380" t="s">
        <v>10</v>
      </c>
      <c r="D196" s="556">
        <v>1</v>
      </c>
      <c r="E196" s="694">
        <f>1*E7</f>
        <v>2</v>
      </c>
      <c r="F196" s="694">
        <f>0*F7</f>
        <v>0</v>
      </c>
      <c r="G196" s="694">
        <f>0*G7</f>
        <v>0</v>
      </c>
      <c r="H196" s="589">
        <f t="shared" si="46"/>
        <v>2</v>
      </c>
      <c r="I196" s="596">
        <v>25600</v>
      </c>
      <c r="J196" s="548">
        <f t="shared" si="47"/>
        <v>51200</v>
      </c>
      <c r="K196" s="752"/>
      <c r="L196" s="753"/>
      <c r="M196" s="797"/>
    </row>
    <row r="197" spans="1:15" ht="18.75" customHeight="1">
      <c r="A197" s="617"/>
      <c r="B197" s="243" t="s">
        <v>224</v>
      </c>
      <c r="C197" s="380" t="s">
        <v>10</v>
      </c>
      <c r="D197" s="556">
        <v>1</v>
      </c>
      <c r="E197" s="694">
        <f>1*E7</f>
        <v>2</v>
      </c>
      <c r="F197" s="694">
        <f>0*F7</f>
        <v>0</v>
      </c>
      <c r="G197" s="694">
        <f>0*G7</f>
        <v>0</v>
      </c>
      <c r="H197" s="589">
        <f t="shared" si="46"/>
        <v>2</v>
      </c>
      <c r="I197" s="596">
        <f>84195</f>
        <v>84195</v>
      </c>
      <c r="J197" s="548">
        <f t="shared" si="47"/>
        <v>168390</v>
      </c>
      <c r="K197" s="745"/>
      <c r="L197" s="748"/>
      <c r="M197" s="796"/>
    </row>
    <row r="198" spans="1:15" ht="18.75" customHeight="1">
      <c r="A198" s="696"/>
      <c r="B198" s="695" t="s">
        <v>226</v>
      </c>
      <c r="C198" s="432" t="s">
        <v>10</v>
      </c>
      <c r="D198" s="547">
        <v>1</v>
      </c>
      <c r="E198" s="694">
        <f>1*E7</f>
        <v>2</v>
      </c>
      <c r="F198" s="694">
        <f>0*F7</f>
        <v>0</v>
      </c>
      <c r="G198" s="694">
        <f>0*G7</f>
        <v>0</v>
      </c>
      <c r="H198" s="589">
        <f t="shared" ref="H198" si="50">E198+F198+G198</f>
        <v>2</v>
      </c>
      <c r="I198" s="596">
        <v>29700</v>
      </c>
      <c r="J198" s="548">
        <f t="shared" ref="J198:J199" si="51">H198*I198</f>
        <v>59400</v>
      </c>
      <c r="K198" s="773"/>
      <c r="L198" s="774"/>
      <c r="M198" s="796"/>
    </row>
    <row r="199" spans="1:15" ht="36.75" customHeight="1">
      <c r="A199" s="696"/>
      <c r="B199" s="695" t="s">
        <v>246</v>
      </c>
      <c r="C199" s="432" t="s">
        <v>10</v>
      </c>
      <c r="D199" s="547">
        <v>1</v>
      </c>
      <c r="E199" s="694">
        <f>0*E7</f>
        <v>0</v>
      </c>
      <c r="F199" s="694">
        <f>1*F7</f>
        <v>29</v>
      </c>
      <c r="G199" s="694">
        <f>0*G7</f>
        <v>0</v>
      </c>
      <c r="H199" s="589">
        <f t="shared" ref="H199" si="52">E199+F199+G199</f>
        <v>29</v>
      </c>
      <c r="I199" s="924">
        <v>15300</v>
      </c>
      <c r="J199" s="548">
        <f t="shared" si="51"/>
        <v>443700</v>
      </c>
      <c r="K199" s="773"/>
      <c r="L199" s="774"/>
      <c r="M199" s="796"/>
    </row>
    <row r="200" spans="1:15" ht="38.25" customHeight="1">
      <c r="A200" s="697"/>
      <c r="B200" s="695" t="s">
        <v>227</v>
      </c>
      <c r="C200" s="380" t="s">
        <v>10</v>
      </c>
      <c r="D200" s="556">
        <v>1</v>
      </c>
      <c r="E200" s="694">
        <f>1*E7</f>
        <v>2</v>
      </c>
      <c r="F200" s="694">
        <f>0*F7</f>
        <v>0</v>
      </c>
      <c r="G200" s="694">
        <f>0*G7</f>
        <v>0</v>
      </c>
      <c r="H200" s="589">
        <f t="shared" si="46"/>
        <v>2</v>
      </c>
      <c r="I200" s="596">
        <v>29700</v>
      </c>
      <c r="J200" s="548">
        <f t="shared" si="47"/>
        <v>59400</v>
      </c>
      <c r="K200" s="745"/>
      <c r="L200" s="748"/>
      <c r="M200" s="796"/>
    </row>
    <row r="201" spans="1:15" ht="18.75" customHeight="1" thickBot="1">
      <c r="A201" s="198"/>
      <c r="B201" s="486" t="s">
        <v>30</v>
      </c>
      <c r="C201" s="622"/>
      <c r="D201" s="623"/>
      <c r="E201" s="623"/>
      <c r="F201" s="623"/>
      <c r="G201" s="623"/>
      <c r="H201" s="624"/>
      <c r="I201" s="636"/>
      <c r="J201" s="637">
        <f>SUM(J190:J200)</f>
        <v>2753470</v>
      </c>
      <c r="K201" s="775"/>
      <c r="L201" s="776">
        <f>K189*H189</f>
        <v>504320</v>
      </c>
      <c r="M201" s="183">
        <f>J201+L201</f>
        <v>3257790</v>
      </c>
      <c r="O201" s="498">
        <v>3257790</v>
      </c>
    </row>
    <row r="202" spans="1:15" ht="18.75" customHeight="1" thickBot="1">
      <c r="A202" s="135"/>
      <c r="B202" s="488"/>
      <c r="C202" s="135" t="s">
        <v>91</v>
      </c>
      <c r="D202" s="462"/>
      <c r="E202" s="462"/>
      <c r="F202" s="462"/>
      <c r="G202" s="462"/>
      <c r="H202" s="720"/>
      <c r="I202" s="918"/>
      <c r="J202" s="852"/>
      <c r="K202" s="853"/>
      <c r="L202" s="853"/>
      <c r="M202" s="854"/>
    </row>
    <row r="203" spans="1:15" ht="18.75" customHeight="1">
      <c r="A203" s="363">
        <v>34</v>
      </c>
      <c r="B203" s="375" t="s">
        <v>142</v>
      </c>
      <c r="C203" s="638" t="s">
        <v>10</v>
      </c>
      <c r="D203" s="639"/>
      <c r="E203" s="626">
        <f>7*E7</f>
        <v>14</v>
      </c>
      <c r="F203" s="626">
        <f>7*F7</f>
        <v>203</v>
      </c>
      <c r="G203" s="626">
        <f>0*G7</f>
        <v>0</v>
      </c>
      <c r="H203" s="627">
        <f>E203+F203+G203</f>
        <v>217</v>
      </c>
      <c r="I203" s="628"/>
      <c r="J203" s="629"/>
      <c r="K203" s="767">
        <f>300</f>
        <v>300</v>
      </c>
      <c r="L203" s="768"/>
      <c r="M203" s="839"/>
    </row>
    <row r="204" spans="1:15" ht="18.75" customHeight="1">
      <c r="A204" s="302"/>
      <c r="B204" s="489" t="s">
        <v>174</v>
      </c>
      <c r="C204" s="640" t="s">
        <v>10</v>
      </c>
      <c r="D204" s="556">
        <v>1</v>
      </c>
      <c r="E204" s="556">
        <f>3*E7</f>
        <v>6</v>
      </c>
      <c r="F204" s="556">
        <f>3*F7</f>
        <v>87</v>
      </c>
      <c r="G204" s="556">
        <f>G203*D204</f>
        <v>0</v>
      </c>
      <c r="H204" s="589">
        <f t="shared" ref="H204:H207" si="53">E204+F204+G204</f>
        <v>93</v>
      </c>
      <c r="I204" s="761">
        <f>517</f>
        <v>517</v>
      </c>
      <c r="J204" s="548">
        <f t="shared" ref="J204:J207" si="54">H204*I204</f>
        <v>48081</v>
      </c>
      <c r="K204" s="762"/>
      <c r="L204" s="763"/>
      <c r="M204" s="834"/>
    </row>
    <row r="205" spans="1:15" ht="18.75" customHeight="1">
      <c r="A205" s="302"/>
      <c r="B205" s="490" t="s">
        <v>171</v>
      </c>
      <c r="C205" s="640" t="s">
        <v>10</v>
      </c>
      <c r="D205" s="556">
        <v>1</v>
      </c>
      <c r="E205" s="556">
        <f>2*E7</f>
        <v>4</v>
      </c>
      <c r="F205" s="556">
        <f>1*F7</f>
        <v>29</v>
      </c>
      <c r="G205" s="556">
        <f>G204*D205</f>
        <v>0</v>
      </c>
      <c r="H205" s="589">
        <f t="shared" si="53"/>
        <v>33</v>
      </c>
      <c r="I205" s="761">
        <v>1020</v>
      </c>
      <c r="J205" s="548">
        <f t="shared" si="54"/>
        <v>33660</v>
      </c>
      <c r="K205" s="762"/>
      <c r="L205" s="763"/>
      <c r="M205" s="834"/>
    </row>
    <row r="206" spans="1:15" ht="18.75" customHeight="1">
      <c r="A206" s="302"/>
      <c r="B206" s="491" t="s">
        <v>173</v>
      </c>
      <c r="C206" s="640" t="s">
        <v>10</v>
      </c>
      <c r="D206" s="556">
        <v>1</v>
      </c>
      <c r="E206" s="556">
        <f>2*E7</f>
        <v>4</v>
      </c>
      <c r="F206" s="556">
        <f>0*F7</f>
        <v>0</v>
      </c>
      <c r="G206" s="556">
        <f>G203*D206</f>
        <v>0</v>
      </c>
      <c r="H206" s="589">
        <f t="shared" si="53"/>
        <v>4</v>
      </c>
      <c r="I206" s="761">
        <v>1439.1</v>
      </c>
      <c r="J206" s="548">
        <f t="shared" si="54"/>
        <v>5756.4</v>
      </c>
      <c r="K206" s="762"/>
      <c r="L206" s="763"/>
      <c r="M206" s="834"/>
    </row>
    <row r="207" spans="1:15" ht="18.75" customHeight="1">
      <c r="A207" s="302"/>
      <c r="B207" s="491" t="s">
        <v>172</v>
      </c>
      <c r="C207" s="640" t="s">
        <v>10</v>
      </c>
      <c r="D207" s="556">
        <v>1</v>
      </c>
      <c r="E207" s="556">
        <f>2*E7</f>
        <v>4</v>
      </c>
      <c r="F207" s="556">
        <f>3*F7</f>
        <v>87</v>
      </c>
      <c r="G207" s="556">
        <f>G203*D207</f>
        <v>0</v>
      </c>
      <c r="H207" s="589">
        <f t="shared" si="53"/>
        <v>91</v>
      </c>
      <c r="I207" s="761">
        <v>1007.72</v>
      </c>
      <c r="J207" s="548">
        <f t="shared" si="54"/>
        <v>91702.52</v>
      </c>
      <c r="K207" s="762"/>
      <c r="L207" s="763"/>
      <c r="M207" s="834"/>
    </row>
    <row r="208" spans="1:15" ht="18.75" customHeight="1">
      <c r="A208" s="402"/>
      <c r="B208" s="491" t="s">
        <v>175</v>
      </c>
      <c r="C208" s="640" t="s">
        <v>10</v>
      </c>
      <c r="D208" s="556">
        <v>1</v>
      </c>
      <c r="E208" s="556">
        <f>0*E8</f>
        <v>0</v>
      </c>
      <c r="F208" s="556">
        <f>3*F7</f>
        <v>87</v>
      </c>
      <c r="G208" s="556">
        <f>G204*D208</f>
        <v>0</v>
      </c>
      <c r="H208" s="589">
        <f t="shared" ref="H208:H209" si="55">E208+F208+G208</f>
        <v>87</v>
      </c>
      <c r="I208" s="761">
        <v>33.700000000000003</v>
      </c>
      <c r="J208" s="548">
        <f t="shared" ref="J208" si="56">H208*I208</f>
        <v>2931.9</v>
      </c>
      <c r="K208" s="777"/>
      <c r="L208" s="778"/>
      <c r="M208" s="855"/>
    </row>
    <row r="209" spans="1:15" ht="38.25" customHeight="1">
      <c r="A209" s="870"/>
      <c r="B209" s="865" t="s">
        <v>240</v>
      </c>
      <c r="C209" s="866" t="s">
        <v>10</v>
      </c>
      <c r="D209" s="867">
        <v>1</v>
      </c>
      <c r="E209" s="867">
        <f>2*E7</f>
        <v>4</v>
      </c>
      <c r="F209" s="867">
        <f>0*F7</f>
        <v>0</v>
      </c>
      <c r="G209" s="867">
        <f>0*G7</f>
        <v>0</v>
      </c>
      <c r="H209" s="589">
        <f t="shared" si="55"/>
        <v>4</v>
      </c>
      <c r="I209" s="761">
        <v>200</v>
      </c>
      <c r="J209" s="548">
        <f t="shared" ref="J209" si="57">H209*I209</f>
        <v>800</v>
      </c>
      <c r="K209" s="868"/>
      <c r="L209" s="869"/>
      <c r="M209" s="835"/>
    </row>
    <row r="210" spans="1:15" ht="18.75" customHeight="1" thickBot="1">
      <c r="A210" s="392"/>
      <c r="B210" s="487" t="s">
        <v>30</v>
      </c>
      <c r="C210" s="641"/>
      <c r="D210" s="642"/>
      <c r="E210" s="642"/>
      <c r="F210" s="642"/>
      <c r="G210" s="642"/>
      <c r="H210" s="643"/>
      <c r="I210" s="636"/>
      <c r="J210" s="637">
        <f>SUM(J204:J209)</f>
        <v>182931.81999999998</v>
      </c>
      <c r="K210" s="775"/>
      <c r="L210" s="776">
        <f>(K203*H203)</f>
        <v>65100</v>
      </c>
      <c r="M210" s="183">
        <f>J210+L210</f>
        <v>248031.81999999998</v>
      </c>
      <c r="O210" s="498">
        <v>248031</v>
      </c>
    </row>
    <row r="211" spans="1:15" ht="15.75">
      <c r="A211" s="363">
        <v>35</v>
      </c>
      <c r="B211" s="376" t="s">
        <v>148</v>
      </c>
      <c r="C211" s="644" t="s">
        <v>149</v>
      </c>
      <c r="D211" s="645"/>
      <c r="E211" s="646">
        <f>1*E7</f>
        <v>2</v>
      </c>
      <c r="F211" s="646">
        <f>1*F7</f>
        <v>29</v>
      </c>
      <c r="G211" s="646">
        <f>1*G7</f>
        <v>31</v>
      </c>
      <c r="H211" s="647">
        <f>E211+F211+G211</f>
        <v>62</v>
      </c>
      <c r="I211" s="919"/>
      <c r="J211" s="635"/>
      <c r="K211" s="767">
        <f>5500</f>
        <v>5500</v>
      </c>
      <c r="L211" s="779"/>
      <c r="M211" s="839"/>
    </row>
    <row r="212" spans="1:15" ht="15.75">
      <c r="A212" s="389"/>
      <c r="B212" s="377" t="s">
        <v>150</v>
      </c>
      <c r="C212" s="396" t="s">
        <v>151</v>
      </c>
      <c r="D212" s="567">
        <v>1</v>
      </c>
      <c r="E212" s="567">
        <f>1*E7</f>
        <v>2</v>
      </c>
      <c r="F212" s="567">
        <v>0</v>
      </c>
      <c r="G212" s="567">
        <v>0</v>
      </c>
      <c r="H212" s="648">
        <f>E212+F212+G212</f>
        <v>2</v>
      </c>
      <c r="I212" s="575">
        <v>5500</v>
      </c>
      <c r="J212" s="538">
        <f>H212*I212</f>
        <v>11000</v>
      </c>
      <c r="K212" s="749"/>
      <c r="L212" s="780"/>
      <c r="M212" s="796"/>
    </row>
    <row r="213" spans="1:15" ht="15.75">
      <c r="A213" s="389"/>
      <c r="B213" s="243" t="s">
        <v>152</v>
      </c>
      <c r="C213" s="380" t="s">
        <v>13</v>
      </c>
      <c r="D213" s="556">
        <v>1</v>
      </c>
      <c r="E213" s="556">
        <f>2*E7</f>
        <v>4</v>
      </c>
      <c r="F213" s="556">
        <v>0</v>
      </c>
      <c r="G213" s="556">
        <v>0</v>
      </c>
      <c r="H213" s="649">
        <f t="shared" ref="H213:H220" si="58">E213+F213+G213</f>
        <v>4</v>
      </c>
      <c r="I213" s="910">
        <v>180</v>
      </c>
      <c r="J213" s="548">
        <f t="shared" ref="J213:J220" si="59">H213*I213</f>
        <v>720</v>
      </c>
      <c r="K213" s="749"/>
      <c r="L213" s="780"/>
      <c r="M213" s="796"/>
    </row>
    <row r="214" spans="1:15" ht="15.75">
      <c r="A214" s="383"/>
      <c r="B214" s="243" t="s">
        <v>101</v>
      </c>
      <c r="C214" s="380" t="s">
        <v>13</v>
      </c>
      <c r="D214" s="556">
        <v>1</v>
      </c>
      <c r="E214" s="556">
        <f>1*E7</f>
        <v>2</v>
      </c>
      <c r="F214" s="556">
        <v>0</v>
      </c>
      <c r="G214" s="556">
        <v>0</v>
      </c>
      <c r="H214" s="649">
        <f t="shared" si="58"/>
        <v>2</v>
      </c>
      <c r="I214" s="596">
        <f>180</f>
        <v>180</v>
      </c>
      <c r="J214" s="548">
        <f t="shared" si="59"/>
        <v>360</v>
      </c>
      <c r="K214" s="749"/>
      <c r="L214" s="780"/>
      <c r="M214" s="796"/>
    </row>
    <row r="215" spans="1:15" ht="15.75">
      <c r="A215" s="386"/>
      <c r="B215" s="243" t="s">
        <v>238</v>
      </c>
      <c r="C215" s="380" t="s">
        <v>10</v>
      </c>
      <c r="D215" s="556">
        <v>1</v>
      </c>
      <c r="E215" s="556">
        <f>1*E7</f>
        <v>2</v>
      </c>
      <c r="F215" s="556">
        <v>0</v>
      </c>
      <c r="G215" s="556">
        <v>0</v>
      </c>
      <c r="H215" s="649">
        <f>E215+F215+G215</f>
        <v>2</v>
      </c>
      <c r="I215" s="596">
        <v>2144.21</v>
      </c>
      <c r="J215" s="548">
        <f t="shared" si="59"/>
        <v>4288.42</v>
      </c>
      <c r="K215" s="749"/>
      <c r="L215" s="781"/>
      <c r="M215" s="797"/>
    </row>
    <row r="216" spans="1:15" ht="15.75">
      <c r="A216" s="386"/>
      <c r="B216" s="243" t="s">
        <v>176</v>
      </c>
      <c r="C216" s="380" t="s">
        <v>10</v>
      </c>
      <c r="D216" s="556">
        <v>1</v>
      </c>
      <c r="E216" s="556">
        <f>1*E7</f>
        <v>2</v>
      </c>
      <c r="F216" s="556">
        <v>0</v>
      </c>
      <c r="G216" s="556">
        <v>0</v>
      </c>
      <c r="H216" s="649">
        <f t="shared" si="58"/>
        <v>2</v>
      </c>
      <c r="I216" s="596">
        <v>2045</v>
      </c>
      <c r="J216" s="548">
        <f t="shared" si="59"/>
        <v>4090</v>
      </c>
      <c r="K216" s="791"/>
      <c r="L216" s="782"/>
      <c r="M216" s="832"/>
    </row>
    <row r="217" spans="1:15" ht="15.75">
      <c r="A217" s="386"/>
      <c r="B217" s="243" t="s">
        <v>177</v>
      </c>
      <c r="C217" s="380" t="s">
        <v>10</v>
      </c>
      <c r="D217" s="556">
        <v>1</v>
      </c>
      <c r="E217" s="556">
        <f>1*E7</f>
        <v>2</v>
      </c>
      <c r="F217" s="556">
        <v>0</v>
      </c>
      <c r="G217" s="556">
        <v>0</v>
      </c>
      <c r="H217" s="649">
        <f t="shared" si="58"/>
        <v>2</v>
      </c>
      <c r="I217" s="596">
        <v>1200</v>
      </c>
      <c r="J217" s="548">
        <f t="shared" si="59"/>
        <v>2400</v>
      </c>
      <c r="K217" s="791"/>
      <c r="L217" s="782"/>
      <c r="M217" s="832"/>
    </row>
    <row r="218" spans="1:15" ht="15.75">
      <c r="A218" s="386"/>
      <c r="B218" s="243" t="s">
        <v>178</v>
      </c>
      <c r="C218" s="380" t="s">
        <v>10</v>
      </c>
      <c r="D218" s="556">
        <v>1</v>
      </c>
      <c r="E218" s="556">
        <f>1*E7</f>
        <v>2</v>
      </c>
      <c r="F218" s="556">
        <v>0</v>
      </c>
      <c r="G218" s="556">
        <v>0</v>
      </c>
      <c r="H218" s="649">
        <f t="shared" si="58"/>
        <v>2</v>
      </c>
      <c r="I218" s="596">
        <v>1312</v>
      </c>
      <c r="J218" s="548">
        <f t="shared" si="59"/>
        <v>2624</v>
      </c>
      <c r="K218" s="791"/>
      <c r="L218" s="782"/>
      <c r="M218" s="832"/>
    </row>
    <row r="219" spans="1:15" ht="15.75">
      <c r="A219" s="386"/>
      <c r="B219" s="243" t="s">
        <v>179</v>
      </c>
      <c r="C219" s="380" t="s">
        <v>10</v>
      </c>
      <c r="D219" s="556">
        <v>1</v>
      </c>
      <c r="E219" s="556">
        <f>1*E7</f>
        <v>2</v>
      </c>
      <c r="F219" s="556">
        <v>0</v>
      </c>
      <c r="G219" s="556">
        <v>0</v>
      </c>
      <c r="H219" s="649">
        <f t="shared" si="58"/>
        <v>2</v>
      </c>
      <c r="I219" s="596">
        <v>2134</v>
      </c>
      <c r="J219" s="548">
        <f t="shared" si="59"/>
        <v>4268</v>
      </c>
      <c r="K219" s="791"/>
      <c r="L219" s="782"/>
      <c r="M219" s="832"/>
    </row>
    <row r="220" spans="1:15" ht="18.75" customHeight="1">
      <c r="A220" s="393"/>
      <c r="B220" s="243" t="s">
        <v>153</v>
      </c>
      <c r="C220" s="380" t="s">
        <v>10</v>
      </c>
      <c r="D220" s="556">
        <v>1</v>
      </c>
      <c r="E220" s="556">
        <f>2*E7</f>
        <v>4</v>
      </c>
      <c r="F220" s="556">
        <v>0</v>
      </c>
      <c r="G220" s="556">
        <v>0</v>
      </c>
      <c r="H220" s="649">
        <f t="shared" si="58"/>
        <v>4</v>
      </c>
      <c r="I220" s="596">
        <v>125.43</v>
      </c>
      <c r="J220" s="548">
        <f t="shared" si="59"/>
        <v>501.72</v>
      </c>
      <c r="K220" s="792"/>
      <c r="L220" s="783"/>
      <c r="M220" s="856"/>
    </row>
    <row r="221" spans="1:15" ht="18.75" customHeight="1" thickBot="1">
      <c r="A221" s="394"/>
      <c r="B221" s="487" t="s">
        <v>30</v>
      </c>
      <c r="C221" s="650"/>
      <c r="D221" s="642"/>
      <c r="E221" s="642"/>
      <c r="F221" s="642"/>
      <c r="G221" s="642"/>
      <c r="H221" s="651"/>
      <c r="I221" s="920"/>
      <c r="J221" s="637">
        <f>SUM(J212:J220)</f>
        <v>30252.14</v>
      </c>
      <c r="K221" s="775"/>
      <c r="L221" s="784">
        <f>K211*H211</f>
        <v>341000</v>
      </c>
      <c r="M221" s="183">
        <f>J221+L221</f>
        <v>371252.14</v>
      </c>
      <c r="O221" s="498">
        <v>371252</v>
      </c>
    </row>
    <row r="222" spans="1:15" ht="18.75" customHeight="1">
      <c r="A222" s="44"/>
      <c r="B222" s="18"/>
      <c r="C222" s="652"/>
      <c r="D222" s="653"/>
      <c r="E222" s="653"/>
      <c r="F222" s="653"/>
      <c r="G222" s="653"/>
      <c r="H222" s="654"/>
      <c r="I222" s="655"/>
      <c r="J222" s="656"/>
      <c r="K222" s="24"/>
      <c r="L222" s="24"/>
    </row>
    <row r="223" spans="1:15">
      <c r="A223" s="54"/>
      <c r="B223" s="143"/>
      <c r="C223" s="143"/>
      <c r="D223" s="144"/>
      <c r="E223" s="144"/>
      <c r="F223" s="144"/>
      <c r="G223" s="144"/>
      <c r="H223" s="145"/>
      <c r="I223" s="146"/>
      <c r="J223" s="147"/>
      <c r="K223" s="137"/>
      <c r="L223" s="137"/>
      <c r="M223" s="187"/>
    </row>
    <row r="224" spans="1:15">
      <c r="A224" s="54"/>
      <c r="B224" s="143"/>
      <c r="C224" s="372"/>
      <c r="D224" s="372"/>
      <c r="E224" s="372"/>
      <c r="F224" s="372"/>
      <c r="G224" s="372"/>
      <c r="H224" s="372"/>
      <c r="I224" s="49"/>
      <c r="J224" s="147"/>
      <c r="K224" s="137"/>
      <c r="L224" s="137"/>
      <c r="M224" s="138"/>
    </row>
    <row r="225" spans="1:15">
      <c r="A225" s="54"/>
      <c r="B225" s="143"/>
      <c r="C225" s="373"/>
      <c r="D225" s="373"/>
      <c r="E225" s="373"/>
      <c r="F225" s="373"/>
      <c r="G225" s="373"/>
      <c r="H225" s="451"/>
      <c r="I225" s="50"/>
      <c r="J225" s="147"/>
      <c r="K225" s="137"/>
      <c r="L225" s="137"/>
      <c r="M225" s="138"/>
    </row>
    <row r="226" spans="1:15">
      <c r="A226" s="54"/>
      <c r="B226" s="143"/>
      <c r="C226" s="374"/>
      <c r="D226" s="374"/>
      <c r="E226" s="374"/>
      <c r="F226" s="374"/>
      <c r="G226" s="374"/>
      <c r="H226" s="51"/>
      <c r="I226" s="52"/>
      <c r="J226" s="147"/>
      <c r="K226" s="137"/>
      <c r="L226" s="137"/>
      <c r="M226" s="138"/>
    </row>
    <row r="227" spans="1:15">
      <c r="A227" s="54"/>
      <c r="B227" s="143"/>
      <c r="C227" s="43"/>
      <c r="D227" s="450"/>
      <c r="E227" s="450"/>
      <c r="F227" s="450"/>
      <c r="G227" s="450"/>
      <c r="H227" s="450"/>
      <c r="I227" s="38"/>
      <c r="J227" s="147"/>
      <c r="K227" s="137"/>
      <c r="L227" s="137"/>
      <c r="M227" s="138"/>
    </row>
    <row r="228" spans="1:15" ht="17.25" customHeight="1">
      <c r="A228" s="54"/>
      <c r="B228" s="19"/>
      <c r="C228" s="452" t="s">
        <v>41</v>
      </c>
      <c r="D228" s="452"/>
      <c r="E228" s="452"/>
      <c r="F228" s="452"/>
      <c r="G228" s="452"/>
      <c r="H228" s="452"/>
      <c r="I228" s="452"/>
      <c r="J228" s="657">
        <f>J11+J14+J15+J16+J17+J18+J21+J22+J39+J42+J43+J44+J45+J48+J61+J70+J79+J84+J99+J107+J115+J117+J122+J124+J128+J129+J136+J137+J157+J161+J163+J177+J180+J182+J183+J190+J191+J212</f>
        <v>2011402.3122674001</v>
      </c>
      <c r="K228" s="137"/>
      <c r="L228" s="137"/>
      <c r="M228" s="138"/>
    </row>
    <row r="229" spans="1:15" ht="17.25" customHeight="1">
      <c r="A229" s="54"/>
      <c r="B229" s="20"/>
      <c r="C229" s="453" t="s">
        <v>36</v>
      </c>
      <c r="D229" s="453"/>
      <c r="E229" s="453"/>
      <c r="F229" s="453"/>
      <c r="G229" s="453"/>
      <c r="H229" s="453"/>
      <c r="I229" s="453"/>
      <c r="J229" s="36">
        <f>J28+J37+J49+J88+J93+J111+J125+J130+J134+J138+J139+J140+J141+J142+J164+J168+J171+J184+J185+J186+J187+J192+J193+J194+J195+J196+J197+J198+J199+J200+J210+J213+J214+J215+J216+J217+J218+J219+J220</f>
        <v>5557368.3437800007</v>
      </c>
      <c r="K229" s="137"/>
      <c r="L229" s="137"/>
      <c r="M229" s="138"/>
    </row>
    <row r="230" spans="1:15" ht="17.25" customHeight="1">
      <c r="A230" s="54"/>
      <c r="B230" s="20"/>
      <c r="C230" s="449" t="s">
        <v>23</v>
      </c>
      <c r="D230" s="449"/>
      <c r="E230" s="449"/>
      <c r="F230" s="449"/>
      <c r="G230" s="449"/>
      <c r="H230" s="449"/>
      <c r="I230" s="449"/>
      <c r="J230" s="37">
        <f>J12+J19+J23+J28+J37+J40+J46+J50+J61+J70+J79+J84+J88+J93+J99+J107+J111+J115+J118+J122+J126+J131+J134+J143+J157+J161+J165+J168+J171+J177+J180+J188+J201+J210+J221</f>
        <v>7568770.656047401</v>
      </c>
      <c r="K230" s="137"/>
      <c r="L230" s="137"/>
      <c r="M230" s="138"/>
    </row>
    <row r="231" spans="1:15" ht="17.25" customHeight="1">
      <c r="A231" s="54"/>
      <c r="B231" s="20"/>
      <c r="C231" s="658"/>
      <c r="D231" s="659"/>
      <c r="E231" s="659"/>
      <c r="F231" s="659"/>
      <c r="G231" s="659"/>
      <c r="H231" s="148"/>
      <c r="I231" s="149"/>
      <c r="J231" s="36"/>
      <c r="K231" s="137"/>
      <c r="L231" s="137"/>
      <c r="M231" s="138"/>
    </row>
    <row r="232" spans="1:15" ht="17.25" customHeight="1">
      <c r="A232" s="54"/>
      <c r="B232" s="20"/>
      <c r="C232" s="658"/>
      <c r="D232" s="659"/>
      <c r="E232" s="659"/>
      <c r="F232" s="659"/>
      <c r="G232" s="659"/>
      <c r="H232" s="148"/>
      <c r="I232" s="149"/>
      <c r="J232" s="36"/>
      <c r="K232" s="137"/>
      <c r="L232" s="137"/>
      <c r="M232" s="138"/>
    </row>
    <row r="233" spans="1:15" ht="17.25" customHeight="1">
      <c r="A233" s="54"/>
      <c r="B233" s="21"/>
      <c r="C233" s="374"/>
      <c r="D233" s="374"/>
      <c r="E233" s="374"/>
      <c r="F233" s="374"/>
      <c r="G233" s="374"/>
      <c r="H233" s="150"/>
      <c r="I233" s="149"/>
      <c r="J233" s="139"/>
      <c r="K233" s="140"/>
      <c r="M233" s="138"/>
    </row>
    <row r="234" spans="1:15" ht="17.25" customHeight="1">
      <c r="A234" s="54"/>
      <c r="B234" s="21"/>
      <c r="C234" s="449" t="s">
        <v>35</v>
      </c>
      <c r="D234" s="449"/>
      <c r="E234" s="449"/>
      <c r="F234" s="449"/>
      <c r="G234" s="449"/>
      <c r="H234" s="449"/>
      <c r="I234" s="149"/>
      <c r="J234" s="37"/>
      <c r="K234" s="660"/>
      <c r="L234" s="661">
        <f>SUM(L12:L221)</f>
        <v>4724733.0999999996</v>
      </c>
      <c r="M234" s="47"/>
    </row>
    <row r="235" spans="1:15" s="658" customFormat="1" ht="17.25" customHeight="1">
      <c r="A235" s="54"/>
      <c r="B235" s="21"/>
      <c r="C235" s="43"/>
      <c r="D235" s="450"/>
      <c r="E235" s="450"/>
      <c r="F235" s="450"/>
      <c r="G235" s="450"/>
      <c r="H235" s="450"/>
      <c r="I235" s="38"/>
      <c r="J235" s="37"/>
      <c r="K235" s="660"/>
      <c r="L235" s="46"/>
      <c r="M235" s="47"/>
    </row>
    <row r="236" spans="1:15" s="658" customFormat="1" ht="17.25" customHeight="1">
      <c r="A236" s="54"/>
      <c r="B236" s="21"/>
      <c r="C236" s="43"/>
      <c r="D236" s="43"/>
      <c r="E236" s="43"/>
      <c r="F236" s="43"/>
      <c r="G236" s="43"/>
      <c r="H236" s="43"/>
      <c r="I236" s="38"/>
      <c r="J236" s="37"/>
      <c r="K236" s="660"/>
      <c r="L236" s="46"/>
      <c r="M236" s="141"/>
    </row>
    <row r="237" spans="1:15" ht="17.25" customHeight="1">
      <c r="A237" s="54"/>
      <c r="B237" s="21"/>
      <c r="C237" s="449" t="s">
        <v>38</v>
      </c>
      <c r="D237" s="449"/>
      <c r="E237" s="449"/>
      <c r="F237" s="449"/>
      <c r="G237" s="449"/>
      <c r="H237" s="449"/>
      <c r="I237" s="449"/>
      <c r="J237" s="37"/>
      <c r="K237" s="660"/>
      <c r="L237" s="662"/>
      <c r="M237" s="661">
        <f>J230+L234</f>
        <v>12293503.756047402</v>
      </c>
      <c r="O237" s="498">
        <f>SUM(O12:O236)</f>
        <v>12293492.91</v>
      </c>
    </row>
    <row r="238" spans="1:15" ht="17.25" customHeight="1">
      <c r="A238" s="54"/>
      <c r="B238" s="19"/>
      <c r="C238" s="658"/>
      <c r="D238" s="659"/>
      <c r="E238" s="659"/>
      <c r="F238" s="659"/>
      <c r="G238" s="659"/>
      <c r="H238" s="148"/>
      <c r="I238" s="149"/>
      <c r="J238" s="151"/>
      <c r="K238" s="663"/>
      <c r="L238" s="152"/>
      <c r="M238" s="47"/>
    </row>
    <row r="239" spans="1:15" ht="17.25" customHeight="1">
      <c r="A239" s="453"/>
      <c r="B239" s="20"/>
      <c r="K239" s="665"/>
      <c r="L239" s="42"/>
      <c r="M239" s="41"/>
    </row>
    <row r="240" spans="1:15" ht="17.25" customHeight="1">
      <c r="A240" s="453"/>
      <c r="B240" s="20"/>
      <c r="K240" s="665"/>
      <c r="L240" s="42"/>
      <c r="M240" s="440"/>
    </row>
  </sheetData>
  <autoFilter ref="A5:J223"/>
  <pageMargins left="0" right="0" top="0.39370078740157483" bottom="0.39370078740157483" header="0" footer="0"/>
  <pageSetup paperSize="9" scale="55" orientation="landscape" blackAndWhite="1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00B0F0"/>
  </sheetPr>
  <dimension ref="A1:P143"/>
  <sheetViews>
    <sheetView topLeftCell="A4" zoomScale="71" zoomScaleNormal="71" zoomScaleSheetLayoutView="74" workbookViewId="0">
      <pane ySplit="8" topLeftCell="A12" activePane="bottomLeft" state="frozen"/>
      <selection activeCell="A4" sqref="A4"/>
      <selection pane="bottomLeft" activeCell="F38" sqref="F38"/>
    </sheetView>
  </sheetViews>
  <sheetFormatPr defaultRowHeight="18.75" outlineLevelRow="1"/>
  <cols>
    <col min="1" max="1" width="6" style="55" customWidth="1"/>
    <col min="2" max="2" width="89.42578125" customWidth="1"/>
    <col min="3" max="3" width="12" customWidth="1"/>
    <col min="4" max="4" width="12" style="2" customWidth="1"/>
    <col min="5" max="7" width="11.85546875" style="2" customWidth="1"/>
    <col min="8" max="8" width="12.140625" style="30" customWidth="1"/>
    <col min="9" max="9" width="17.7109375" style="33" customWidth="1"/>
    <col min="10" max="10" width="17.7109375" style="4" customWidth="1"/>
    <col min="11" max="12" width="17.7109375" style="23" customWidth="1"/>
    <col min="13" max="13" width="20.5703125" style="25" customWidth="1"/>
    <col min="14" max="17" width="15.85546875" customWidth="1"/>
    <col min="226" max="226" width="4.7109375" customWidth="1"/>
    <col min="227" max="227" width="49.42578125" customWidth="1"/>
    <col min="228" max="229" width="9.140625" customWidth="1"/>
    <col min="230" max="233" width="12.5703125" customWidth="1"/>
    <col min="234" max="234" width="13.85546875" customWidth="1"/>
    <col min="482" max="482" width="4.7109375" customWidth="1"/>
    <col min="483" max="483" width="49.42578125" customWidth="1"/>
    <col min="484" max="485" width="9.140625" customWidth="1"/>
    <col min="486" max="489" width="12.5703125" customWidth="1"/>
    <col min="490" max="490" width="13.85546875" customWidth="1"/>
    <col min="738" max="738" width="4.7109375" customWidth="1"/>
    <col min="739" max="739" width="49.42578125" customWidth="1"/>
    <col min="740" max="741" width="9.140625" customWidth="1"/>
    <col min="742" max="745" width="12.5703125" customWidth="1"/>
    <col min="746" max="746" width="13.85546875" customWidth="1"/>
    <col min="994" max="994" width="4.7109375" customWidth="1"/>
    <col min="995" max="995" width="49.42578125" customWidth="1"/>
    <col min="996" max="997" width="9.140625" customWidth="1"/>
    <col min="998" max="1001" width="12.5703125" customWidth="1"/>
    <col min="1002" max="1002" width="13.85546875" customWidth="1"/>
    <col min="1250" max="1250" width="4.7109375" customWidth="1"/>
    <col min="1251" max="1251" width="49.42578125" customWidth="1"/>
    <col min="1252" max="1253" width="9.140625" customWidth="1"/>
    <col min="1254" max="1257" width="12.5703125" customWidth="1"/>
    <col min="1258" max="1258" width="13.85546875" customWidth="1"/>
    <col min="1506" max="1506" width="4.7109375" customWidth="1"/>
    <col min="1507" max="1507" width="49.42578125" customWidth="1"/>
    <col min="1508" max="1509" width="9.140625" customWidth="1"/>
    <col min="1510" max="1513" width="12.5703125" customWidth="1"/>
    <col min="1514" max="1514" width="13.85546875" customWidth="1"/>
    <col min="1762" max="1762" width="4.7109375" customWidth="1"/>
    <col min="1763" max="1763" width="49.42578125" customWidth="1"/>
    <col min="1764" max="1765" width="9.140625" customWidth="1"/>
    <col min="1766" max="1769" width="12.5703125" customWidth="1"/>
    <col min="1770" max="1770" width="13.85546875" customWidth="1"/>
    <col min="2018" max="2018" width="4.7109375" customWidth="1"/>
    <col min="2019" max="2019" width="49.42578125" customWidth="1"/>
    <col min="2020" max="2021" width="9.140625" customWidth="1"/>
    <col min="2022" max="2025" width="12.5703125" customWidth="1"/>
    <col min="2026" max="2026" width="13.85546875" customWidth="1"/>
    <col min="2274" max="2274" width="4.7109375" customWidth="1"/>
    <col min="2275" max="2275" width="49.42578125" customWidth="1"/>
    <col min="2276" max="2277" width="9.140625" customWidth="1"/>
    <col min="2278" max="2281" width="12.5703125" customWidth="1"/>
    <col min="2282" max="2282" width="13.85546875" customWidth="1"/>
    <col min="2530" max="2530" width="4.7109375" customWidth="1"/>
    <col min="2531" max="2531" width="49.42578125" customWidth="1"/>
    <col min="2532" max="2533" width="9.140625" customWidth="1"/>
    <col min="2534" max="2537" width="12.5703125" customWidth="1"/>
    <col min="2538" max="2538" width="13.85546875" customWidth="1"/>
    <col min="2786" max="2786" width="4.7109375" customWidth="1"/>
    <col min="2787" max="2787" width="49.42578125" customWidth="1"/>
    <col min="2788" max="2789" width="9.140625" customWidth="1"/>
    <col min="2790" max="2793" width="12.5703125" customWidth="1"/>
    <col min="2794" max="2794" width="13.85546875" customWidth="1"/>
    <col min="3042" max="3042" width="4.7109375" customWidth="1"/>
    <col min="3043" max="3043" width="49.42578125" customWidth="1"/>
    <col min="3044" max="3045" width="9.140625" customWidth="1"/>
    <col min="3046" max="3049" width="12.5703125" customWidth="1"/>
    <col min="3050" max="3050" width="13.85546875" customWidth="1"/>
    <col min="3298" max="3298" width="4.7109375" customWidth="1"/>
    <col min="3299" max="3299" width="49.42578125" customWidth="1"/>
    <col min="3300" max="3301" width="9.140625" customWidth="1"/>
    <col min="3302" max="3305" width="12.5703125" customWidth="1"/>
    <col min="3306" max="3306" width="13.85546875" customWidth="1"/>
    <col min="3554" max="3554" width="4.7109375" customWidth="1"/>
    <col min="3555" max="3555" width="49.42578125" customWidth="1"/>
    <col min="3556" max="3557" width="9.140625" customWidth="1"/>
    <col min="3558" max="3561" width="12.5703125" customWidth="1"/>
    <col min="3562" max="3562" width="13.85546875" customWidth="1"/>
    <col min="3810" max="3810" width="4.7109375" customWidth="1"/>
    <col min="3811" max="3811" width="49.42578125" customWidth="1"/>
    <col min="3812" max="3813" width="9.140625" customWidth="1"/>
    <col min="3814" max="3817" width="12.5703125" customWidth="1"/>
    <col min="3818" max="3818" width="13.85546875" customWidth="1"/>
    <col min="4066" max="4066" width="4.7109375" customWidth="1"/>
    <col min="4067" max="4067" width="49.42578125" customWidth="1"/>
    <col min="4068" max="4069" width="9.140625" customWidth="1"/>
    <col min="4070" max="4073" width="12.5703125" customWidth="1"/>
    <col min="4074" max="4074" width="13.85546875" customWidth="1"/>
    <col min="4322" max="4322" width="4.7109375" customWidth="1"/>
    <col min="4323" max="4323" width="49.42578125" customWidth="1"/>
    <col min="4324" max="4325" width="9.140625" customWidth="1"/>
    <col min="4326" max="4329" width="12.5703125" customWidth="1"/>
    <col min="4330" max="4330" width="13.85546875" customWidth="1"/>
    <col min="4578" max="4578" width="4.7109375" customWidth="1"/>
    <col min="4579" max="4579" width="49.42578125" customWidth="1"/>
    <col min="4580" max="4581" width="9.140625" customWidth="1"/>
    <col min="4582" max="4585" width="12.5703125" customWidth="1"/>
    <col min="4586" max="4586" width="13.85546875" customWidth="1"/>
    <col min="4834" max="4834" width="4.7109375" customWidth="1"/>
    <col min="4835" max="4835" width="49.42578125" customWidth="1"/>
    <col min="4836" max="4837" width="9.140625" customWidth="1"/>
    <col min="4838" max="4841" width="12.5703125" customWidth="1"/>
    <col min="4842" max="4842" width="13.85546875" customWidth="1"/>
    <col min="5090" max="5090" width="4.7109375" customWidth="1"/>
    <col min="5091" max="5091" width="49.42578125" customWidth="1"/>
    <col min="5092" max="5093" width="9.140625" customWidth="1"/>
    <col min="5094" max="5097" width="12.5703125" customWidth="1"/>
    <col min="5098" max="5098" width="13.85546875" customWidth="1"/>
    <col min="5346" max="5346" width="4.7109375" customWidth="1"/>
    <col min="5347" max="5347" width="49.42578125" customWidth="1"/>
    <col min="5348" max="5349" width="9.140625" customWidth="1"/>
    <col min="5350" max="5353" width="12.5703125" customWidth="1"/>
    <col min="5354" max="5354" width="13.85546875" customWidth="1"/>
    <col min="5602" max="5602" width="4.7109375" customWidth="1"/>
    <col min="5603" max="5603" width="49.42578125" customWidth="1"/>
    <col min="5604" max="5605" width="9.140625" customWidth="1"/>
    <col min="5606" max="5609" width="12.5703125" customWidth="1"/>
    <col min="5610" max="5610" width="13.85546875" customWidth="1"/>
    <col min="5858" max="5858" width="4.7109375" customWidth="1"/>
    <col min="5859" max="5859" width="49.42578125" customWidth="1"/>
    <col min="5860" max="5861" width="9.140625" customWidth="1"/>
    <col min="5862" max="5865" width="12.5703125" customWidth="1"/>
    <col min="5866" max="5866" width="13.85546875" customWidth="1"/>
    <col min="6114" max="6114" width="4.7109375" customWidth="1"/>
    <col min="6115" max="6115" width="49.42578125" customWidth="1"/>
    <col min="6116" max="6117" width="9.140625" customWidth="1"/>
    <col min="6118" max="6121" width="12.5703125" customWidth="1"/>
    <col min="6122" max="6122" width="13.85546875" customWidth="1"/>
    <col min="6370" max="6370" width="4.7109375" customWidth="1"/>
    <col min="6371" max="6371" width="49.42578125" customWidth="1"/>
    <col min="6372" max="6373" width="9.140625" customWidth="1"/>
    <col min="6374" max="6377" width="12.5703125" customWidth="1"/>
    <col min="6378" max="6378" width="13.85546875" customWidth="1"/>
    <col min="6626" max="6626" width="4.7109375" customWidth="1"/>
    <col min="6627" max="6627" width="49.42578125" customWidth="1"/>
    <col min="6628" max="6629" width="9.140625" customWidth="1"/>
    <col min="6630" max="6633" width="12.5703125" customWidth="1"/>
    <col min="6634" max="6634" width="13.85546875" customWidth="1"/>
    <col min="6882" max="6882" width="4.7109375" customWidth="1"/>
    <col min="6883" max="6883" width="49.42578125" customWidth="1"/>
    <col min="6884" max="6885" width="9.140625" customWidth="1"/>
    <col min="6886" max="6889" width="12.5703125" customWidth="1"/>
    <col min="6890" max="6890" width="13.85546875" customWidth="1"/>
    <col min="7138" max="7138" width="4.7109375" customWidth="1"/>
    <col min="7139" max="7139" width="49.42578125" customWidth="1"/>
    <col min="7140" max="7141" width="9.140625" customWidth="1"/>
    <col min="7142" max="7145" width="12.5703125" customWidth="1"/>
    <col min="7146" max="7146" width="13.85546875" customWidth="1"/>
    <col min="7394" max="7394" width="4.7109375" customWidth="1"/>
    <col min="7395" max="7395" width="49.42578125" customWidth="1"/>
    <col min="7396" max="7397" width="9.140625" customWidth="1"/>
    <col min="7398" max="7401" width="12.5703125" customWidth="1"/>
    <col min="7402" max="7402" width="13.85546875" customWidth="1"/>
    <col min="7650" max="7650" width="4.7109375" customWidth="1"/>
    <col min="7651" max="7651" width="49.42578125" customWidth="1"/>
    <col min="7652" max="7653" width="9.140625" customWidth="1"/>
    <col min="7654" max="7657" width="12.5703125" customWidth="1"/>
    <col min="7658" max="7658" width="13.85546875" customWidth="1"/>
    <col min="7906" max="7906" width="4.7109375" customWidth="1"/>
    <col min="7907" max="7907" width="49.42578125" customWidth="1"/>
    <col min="7908" max="7909" width="9.140625" customWidth="1"/>
    <col min="7910" max="7913" width="12.5703125" customWidth="1"/>
    <col min="7914" max="7914" width="13.85546875" customWidth="1"/>
    <col min="8162" max="8162" width="4.7109375" customWidth="1"/>
    <col min="8163" max="8163" width="49.42578125" customWidth="1"/>
    <col min="8164" max="8165" width="9.140625" customWidth="1"/>
    <col min="8166" max="8169" width="12.5703125" customWidth="1"/>
    <col min="8170" max="8170" width="13.85546875" customWidth="1"/>
    <col min="8418" max="8418" width="4.7109375" customWidth="1"/>
    <col min="8419" max="8419" width="49.42578125" customWidth="1"/>
    <col min="8420" max="8421" width="9.140625" customWidth="1"/>
    <col min="8422" max="8425" width="12.5703125" customWidth="1"/>
    <col min="8426" max="8426" width="13.85546875" customWidth="1"/>
    <col min="8674" max="8674" width="4.7109375" customWidth="1"/>
    <col min="8675" max="8675" width="49.42578125" customWidth="1"/>
    <col min="8676" max="8677" width="9.140625" customWidth="1"/>
    <col min="8678" max="8681" width="12.5703125" customWidth="1"/>
    <col min="8682" max="8682" width="13.85546875" customWidth="1"/>
    <col min="8930" max="8930" width="4.7109375" customWidth="1"/>
    <col min="8931" max="8931" width="49.42578125" customWidth="1"/>
    <col min="8932" max="8933" width="9.140625" customWidth="1"/>
    <col min="8934" max="8937" width="12.5703125" customWidth="1"/>
    <col min="8938" max="8938" width="13.85546875" customWidth="1"/>
    <col min="9186" max="9186" width="4.7109375" customWidth="1"/>
    <col min="9187" max="9187" width="49.42578125" customWidth="1"/>
    <col min="9188" max="9189" width="9.140625" customWidth="1"/>
    <col min="9190" max="9193" width="12.5703125" customWidth="1"/>
    <col min="9194" max="9194" width="13.85546875" customWidth="1"/>
    <col min="9442" max="9442" width="4.7109375" customWidth="1"/>
    <col min="9443" max="9443" width="49.42578125" customWidth="1"/>
    <col min="9444" max="9445" width="9.140625" customWidth="1"/>
    <col min="9446" max="9449" width="12.5703125" customWidth="1"/>
    <col min="9450" max="9450" width="13.85546875" customWidth="1"/>
    <col min="9698" max="9698" width="4.7109375" customWidth="1"/>
    <col min="9699" max="9699" width="49.42578125" customWidth="1"/>
    <col min="9700" max="9701" width="9.140625" customWidth="1"/>
    <col min="9702" max="9705" width="12.5703125" customWidth="1"/>
    <col min="9706" max="9706" width="13.85546875" customWidth="1"/>
    <col min="9954" max="9954" width="4.7109375" customWidth="1"/>
    <col min="9955" max="9955" width="49.42578125" customWidth="1"/>
    <col min="9956" max="9957" width="9.140625" customWidth="1"/>
    <col min="9958" max="9961" width="12.5703125" customWidth="1"/>
    <col min="9962" max="9962" width="13.85546875" customWidth="1"/>
    <col min="10210" max="10210" width="4.7109375" customWidth="1"/>
    <col min="10211" max="10211" width="49.42578125" customWidth="1"/>
    <col min="10212" max="10213" width="9.140625" customWidth="1"/>
    <col min="10214" max="10217" width="12.5703125" customWidth="1"/>
    <col min="10218" max="10218" width="13.85546875" customWidth="1"/>
    <col min="10466" max="10466" width="4.7109375" customWidth="1"/>
    <col min="10467" max="10467" width="49.42578125" customWidth="1"/>
    <col min="10468" max="10469" width="9.140625" customWidth="1"/>
    <col min="10470" max="10473" width="12.5703125" customWidth="1"/>
    <col min="10474" max="10474" width="13.85546875" customWidth="1"/>
    <col min="10722" max="10722" width="4.7109375" customWidth="1"/>
    <col min="10723" max="10723" width="49.42578125" customWidth="1"/>
    <col min="10724" max="10725" width="9.140625" customWidth="1"/>
    <col min="10726" max="10729" width="12.5703125" customWidth="1"/>
    <col min="10730" max="10730" width="13.85546875" customWidth="1"/>
    <col min="10978" max="10978" width="4.7109375" customWidth="1"/>
    <col min="10979" max="10979" width="49.42578125" customWidth="1"/>
    <col min="10980" max="10981" width="9.140625" customWidth="1"/>
    <col min="10982" max="10985" width="12.5703125" customWidth="1"/>
    <col min="10986" max="10986" width="13.85546875" customWidth="1"/>
    <col min="11234" max="11234" width="4.7109375" customWidth="1"/>
    <col min="11235" max="11235" width="49.42578125" customWidth="1"/>
    <col min="11236" max="11237" width="9.140625" customWidth="1"/>
    <col min="11238" max="11241" width="12.5703125" customWidth="1"/>
    <col min="11242" max="11242" width="13.85546875" customWidth="1"/>
    <col min="11490" max="11490" width="4.7109375" customWidth="1"/>
    <col min="11491" max="11491" width="49.42578125" customWidth="1"/>
    <col min="11492" max="11493" width="9.140625" customWidth="1"/>
    <col min="11494" max="11497" width="12.5703125" customWidth="1"/>
    <col min="11498" max="11498" width="13.85546875" customWidth="1"/>
    <col min="11746" max="11746" width="4.7109375" customWidth="1"/>
    <col min="11747" max="11747" width="49.42578125" customWidth="1"/>
    <col min="11748" max="11749" width="9.140625" customWidth="1"/>
    <col min="11750" max="11753" width="12.5703125" customWidth="1"/>
    <col min="11754" max="11754" width="13.85546875" customWidth="1"/>
    <col min="12002" max="12002" width="4.7109375" customWidth="1"/>
    <col min="12003" max="12003" width="49.42578125" customWidth="1"/>
    <col min="12004" max="12005" width="9.140625" customWidth="1"/>
    <col min="12006" max="12009" width="12.5703125" customWidth="1"/>
    <col min="12010" max="12010" width="13.85546875" customWidth="1"/>
    <col min="12258" max="12258" width="4.7109375" customWidth="1"/>
    <col min="12259" max="12259" width="49.42578125" customWidth="1"/>
    <col min="12260" max="12261" width="9.140625" customWidth="1"/>
    <col min="12262" max="12265" width="12.5703125" customWidth="1"/>
    <col min="12266" max="12266" width="13.85546875" customWidth="1"/>
    <col min="12514" max="12514" width="4.7109375" customWidth="1"/>
    <col min="12515" max="12515" width="49.42578125" customWidth="1"/>
    <col min="12516" max="12517" width="9.140625" customWidth="1"/>
    <col min="12518" max="12521" width="12.5703125" customWidth="1"/>
    <col min="12522" max="12522" width="13.85546875" customWidth="1"/>
    <col min="12770" max="12770" width="4.7109375" customWidth="1"/>
    <col min="12771" max="12771" width="49.42578125" customWidth="1"/>
    <col min="12772" max="12773" width="9.140625" customWidth="1"/>
    <col min="12774" max="12777" width="12.5703125" customWidth="1"/>
    <col min="12778" max="12778" width="13.85546875" customWidth="1"/>
    <col min="13026" max="13026" width="4.7109375" customWidth="1"/>
    <col min="13027" max="13027" width="49.42578125" customWidth="1"/>
    <col min="13028" max="13029" width="9.140625" customWidth="1"/>
    <col min="13030" max="13033" width="12.5703125" customWidth="1"/>
    <col min="13034" max="13034" width="13.85546875" customWidth="1"/>
    <col min="13282" max="13282" width="4.7109375" customWidth="1"/>
    <col min="13283" max="13283" width="49.42578125" customWidth="1"/>
    <col min="13284" max="13285" width="9.140625" customWidth="1"/>
    <col min="13286" max="13289" width="12.5703125" customWidth="1"/>
    <col min="13290" max="13290" width="13.85546875" customWidth="1"/>
    <col min="13538" max="13538" width="4.7109375" customWidth="1"/>
    <col min="13539" max="13539" width="49.42578125" customWidth="1"/>
    <col min="13540" max="13541" width="9.140625" customWidth="1"/>
    <col min="13542" max="13545" width="12.5703125" customWidth="1"/>
    <col min="13546" max="13546" width="13.85546875" customWidth="1"/>
    <col min="13794" max="13794" width="4.7109375" customWidth="1"/>
    <col min="13795" max="13795" width="49.42578125" customWidth="1"/>
    <col min="13796" max="13797" width="9.140625" customWidth="1"/>
    <col min="13798" max="13801" width="12.5703125" customWidth="1"/>
    <col min="13802" max="13802" width="13.85546875" customWidth="1"/>
    <col min="14050" max="14050" width="4.7109375" customWidth="1"/>
    <col min="14051" max="14051" width="49.42578125" customWidth="1"/>
    <col min="14052" max="14053" width="9.140625" customWidth="1"/>
    <col min="14054" max="14057" width="12.5703125" customWidth="1"/>
    <col min="14058" max="14058" width="13.85546875" customWidth="1"/>
    <col min="14306" max="14306" width="4.7109375" customWidth="1"/>
    <col min="14307" max="14307" width="49.42578125" customWidth="1"/>
    <col min="14308" max="14309" width="9.140625" customWidth="1"/>
    <col min="14310" max="14313" width="12.5703125" customWidth="1"/>
    <col min="14314" max="14314" width="13.85546875" customWidth="1"/>
    <col min="14562" max="14562" width="4.7109375" customWidth="1"/>
    <col min="14563" max="14563" width="49.42578125" customWidth="1"/>
    <col min="14564" max="14565" width="9.140625" customWidth="1"/>
    <col min="14566" max="14569" width="12.5703125" customWidth="1"/>
    <col min="14570" max="14570" width="13.85546875" customWidth="1"/>
    <col min="14818" max="14818" width="4.7109375" customWidth="1"/>
    <col min="14819" max="14819" width="49.42578125" customWidth="1"/>
    <col min="14820" max="14821" width="9.140625" customWidth="1"/>
    <col min="14822" max="14825" width="12.5703125" customWidth="1"/>
    <col min="14826" max="14826" width="13.85546875" customWidth="1"/>
    <col min="15074" max="15074" width="4.7109375" customWidth="1"/>
    <col min="15075" max="15075" width="49.42578125" customWidth="1"/>
    <col min="15076" max="15077" width="9.140625" customWidth="1"/>
    <col min="15078" max="15081" width="12.5703125" customWidth="1"/>
    <col min="15082" max="15082" width="13.85546875" customWidth="1"/>
    <col min="15330" max="15330" width="4.7109375" customWidth="1"/>
    <col min="15331" max="15331" width="49.42578125" customWidth="1"/>
    <col min="15332" max="15333" width="9.140625" customWidth="1"/>
    <col min="15334" max="15337" width="12.5703125" customWidth="1"/>
    <col min="15338" max="15338" width="13.85546875" customWidth="1"/>
    <col min="15586" max="15586" width="4.7109375" customWidth="1"/>
    <col min="15587" max="15587" width="49.42578125" customWidth="1"/>
    <col min="15588" max="15589" width="9.140625" customWidth="1"/>
    <col min="15590" max="15593" width="12.5703125" customWidth="1"/>
    <col min="15594" max="15594" width="13.85546875" customWidth="1"/>
    <col min="15842" max="15842" width="4.7109375" customWidth="1"/>
    <col min="15843" max="15843" width="49.42578125" customWidth="1"/>
    <col min="15844" max="15845" width="9.140625" customWidth="1"/>
    <col min="15846" max="15849" width="12.5703125" customWidth="1"/>
    <col min="15850" max="15850" width="13.85546875" customWidth="1"/>
    <col min="16098" max="16098" width="4.7109375" customWidth="1"/>
    <col min="16099" max="16099" width="49.42578125" customWidth="1"/>
    <col min="16100" max="16101" width="9.140625" customWidth="1"/>
    <col min="16102" max="16105" width="12.5703125" customWidth="1"/>
    <col min="16106" max="16106" width="13.85546875" customWidth="1"/>
  </cols>
  <sheetData>
    <row r="1" spans="1:16" ht="15.75" outlineLevel="1">
      <c r="A1" s="928" t="s">
        <v>17</v>
      </c>
      <c r="B1" s="928"/>
      <c r="C1" s="13"/>
      <c r="D1" s="27"/>
      <c r="E1" s="14"/>
      <c r="F1" s="14"/>
      <c r="G1" s="14"/>
      <c r="H1" s="28"/>
      <c r="I1" s="32"/>
      <c r="J1" s="9"/>
    </row>
    <row r="2" spans="1:16" ht="18" outlineLevel="1">
      <c r="A2" s="53" t="s">
        <v>18</v>
      </c>
      <c r="B2" s="16"/>
      <c r="C2" s="13"/>
      <c r="D2" s="27"/>
      <c r="E2" s="14"/>
      <c r="F2" s="14"/>
      <c r="G2" s="14"/>
      <c r="H2" s="28"/>
      <c r="I2" s="32"/>
      <c r="J2" s="9"/>
    </row>
    <row r="3" spans="1:16" ht="15.75" outlineLevel="1">
      <c r="A3" s="928" t="s">
        <v>19</v>
      </c>
      <c r="B3" s="928"/>
      <c r="C3" s="13"/>
      <c r="D3" s="27"/>
      <c r="E3" s="14"/>
      <c r="F3" s="14"/>
      <c r="G3" s="14"/>
      <c r="H3" s="28"/>
      <c r="I3" s="32"/>
      <c r="J3" s="9"/>
    </row>
    <row r="4" spans="1:16" ht="7.5" customHeight="1" outlineLevel="1">
      <c r="A4" s="929"/>
      <c r="B4" s="929"/>
      <c r="C4" s="56"/>
      <c r="D4" s="57"/>
      <c r="E4" s="57"/>
      <c r="F4" s="57"/>
      <c r="G4" s="57"/>
      <c r="H4" s="58"/>
      <c r="I4" s="32"/>
      <c r="J4" s="59"/>
    </row>
    <row r="5" spans="1:16" ht="18" outlineLevel="1">
      <c r="A5" s="930" t="s">
        <v>127</v>
      </c>
      <c r="B5" s="930"/>
      <c r="C5" s="930"/>
      <c r="D5" s="930"/>
      <c r="E5" s="930"/>
      <c r="F5" s="930"/>
      <c r="G5" s="930"/>
      <c r="H5" s="930"/>
      <c r="I5" s="930"/>
      <c r="J5" s="930"/>
      <c r="K5" s="930"/>
      <c r="L5" s="930"/>
      <c r="M5" s="930"/>
    </row>
    <row r="6" spans="1:16" ht="18" outlineLevel="1">
      <c r="A6" s="927" t="s">
        <v>21</v>
      </c>
      <c r="B6" s="927"/>
      <c r="C6" s="927"/>
      <c r="D6" s="927"/>
      <c r="E6" s="927"/>
      <c r="F6" s="927"/>
      <c r="G6" s="927"/>
      <c r="H6" s="927"/>
      <c r="I6" s="31"/>
      <c r="J6" s="10"/>
      <c r="K6" s="22"/>
      <c r="L6" s="22"/>
      <c r="M6" s="26"/>
      <c r="N6" s="10"/>
      <c r="O6" s="10"/>
      <c r="P6" s="10"/>
    </row>
    <row r="7" spans="1:16" ht="18" outlineLevel="1">
      <c r="A7" s="927" t="s">
        <v>22</v>
      </c>
      <c r="B7" s="927"/>
      <c r="C7" s="927"/>
      <c r="D7" s="927"/>
      <c r="E7" s="927"/>
      <c r="F7" s="927"/>
      <c r="G7" s="927"/>
      <c r="H7" s="927"/>
      <c r="I7" s="31"/>
      <c r="J7" s="10"/>
      <c r="K7" s="22"/>
      <c r="L7" s="22"/>
      <c r="M7" s="26"/>
      <c r="N7" s="10"/>
      <c r="O7" s="10"/>
      <c r="P7" s="10"/>
    </row>
    <row r="8" spans="1:16" ht="18" customHeight="1" thickBot="1">
      <c r="A8" s="931"/>
      <c r="B8" s="931"/>
      <c r="C8" s="56"/>
      <c r="D8" s="57"/>
      <c r="E8" s="57"/>
      <c r="F8" s="57"/>
      <c r="G8" s="57"/>
      <c r="H8" s="58"/>
      <c r="I8" s="32"/>
      <c r="J8" s="59"/>
    </row>
    <row r="9" spans="1:16" ht="95.25" customHeight="1">
      <c r="A9" s="932" t="s">
        <v>2</v>
      </c>
      <c r="B9" s="935" t="s">
        <v>16</v>
      </c>
      <c r="C9" s="64" t="s">
        <v>4</v>
      </c>
      <c r="D9" s="60" t="s">
        <v>26</v>
      </c>
      <c r="E9" s="61" t="s">
        <v>113</v>
      </c>
      <c r="F9" s="61" t="s">
        <v>112</v>
      </c>
      <c r="G9" s="61" t="s">
        <v>47</v>
      </c>
      <c r="H9" s="65" t="s">
        <v>48</v>
      </c>
      <c r="I9" s="938" t="s">
        <v>25</v>
      </c>
      <c r="J9" s="940" t="s">
        <v>27</v>
      </c>
      <c r="K9" s="956" t="s">
        <v>25</v>
      </c>
      <c r="L9" s="944" t="s">
        <v>27</v>
      </c>
      <c r="M9" s="946" t="s">
        <v>31</v>
      </c>
    </row>
    <row r="10" spans="1:16" s="5" customFormat="1" ht="28.5" customHeight="1">
      <c r="A10" s="933"/>
      <c r="B10" s="936"/>
      <c r="C10" s="948" t="s">
        <v>20</v>
      </c>
      <c r="D10" s="949"/>
      <c r="E10" s="62">
        <f>'площади '!C2*E11</f>
        <v>43.649999999999991</v>
      </c>
      <c r="F10" s="62">
        <f>'площади '!D2*F11</f>
        <v>34.79</v>
      </c>
      <c r="G10" s="62">
        <f>20*G11</f>
        <v>20</v>
      </c>
      <c r="H10" s="66">
        <f>E10+F10+G10</f>
        <v>98.44</v>
      </c>
      <c r="I10" s="939"/>
      <c r="J10" s="941"/>
      <c r="K10" s="957"/>
      <c r="L10" s="945"/>
      <c r="M10" s="947"/>
    </row>
    <row r="11" spans="1:16" s="5" customFormat="1" ht="17.25" customHeight="1" thickBot="1">
      <c r="A11" s="934"/>
      <c r="B11" s="937"/>
      <c r="C11" s="950" t="s">
        <v>111</v>
      </c>
      <c r="D11" s="951"/>
      <c r="E11" s="63">
        <v>1</v>
      </c>
      <c r="F11" s="63">
        <v>1</v>
      </c>
      <c r="G11" s="63">
        <v>1</v>
      </c>
      <c r="H11" s="345"/>
      <c r="I11" s="952" t="s">
        <v>28</v>
      </c>
      <c r="J11" s="953"/>
      <c r="K11" s="954" t="s">
        <v>29</v>
      </c>
      <c r="L11" s="955"/>
      <c r="M11" s="104"/>
    </row>
    <row r="12" spans="1:16" ht="18.75" customHeight="1" thickBot="1">
      <c r="A12" s="121"/>
      <c r="B12" s="121"/>
      <c r="C12" s="958" t="s">
        <v>5</v>
      </c>
      <c r="D12" s="959"/>
      <c r="E12" s="959"/>
      <c r="F12" s="959"/>
      <c r="G12" s="959"/>
      <c r="H12" s="960"/>
      <c r="I12" s="122"/>
      <c r="J12" s="123"/>
      <c r="K12" s="122"/>
      <c r="L12" s="123"/>
      <c r="M12" s="121"/>
    </row>
    <row r="13" spans="1:16" ht="17.25" customHeight="1" thickBot="1">
      <c r="A13" s="118"/>
      <c r="B13" s="118"/>
      <c r="C13" s="961" t="s">
        <v>6</v>
      </c>
      <c r="D13" s="962"/>
      <c r="E13" s="962"/>
      <c r="F13" s="962"/>
      <c r="G13" s="962"/>
      <c r="H13" s="963"/>
      <c r="I13" s="119"/>
      <c r="J13" s="120"/>
      <c r="K13" s="119"/>
      <c r="L13" s="120"/>
      <c r="M13" s="118"/>
    </row>
    <row r="14" spans="1:16" ht="24.75" customHeight="1">
      <c r="A14" s="116">
        <v>1</v>
      </c>
      <c r="B14" s="111" t="s">
        <v>49</v>
      </c>
      <c r="C14" s="70" t="s">
        <v>0</v>
      </c>
      <c r="D14" s="71"/>
      <c r="E14" s="71">
        <f>('площади '!C2-2.8)*E11</f>
        <v>40.849999999999994</v>
      </c>
      <c r="F14" s="71">
        <f>'площади '!D2*F11</f>
        <v>34.79</v>
      </c>
      <c r="G14" s="71">
        <f>G11*0</f>
        <v>0</v>
      </c>
      <c r="H14" s="72">
        <f t="shared" ref="H14:H19" si="0">E14+F14+G14</f>
        <v>75.639999999999986</v>
      </c>
      <c r="I14" s="86"/>
      <c r="J14" s="87"/>
      <c r="K14" s="95">
        <f>560</f>
        <v>560</v>
      </c>
      <c r="L14" s="96"/>
      <c r="M14" s="105"/>
    </row>
    <row r="15" spans="1:16" ht="18.75" customHeight="1">
      <c r="A15" s="115"/>
      <c r="B15" s="109" t="s">
        <v>116</v>
      </c>
      <c r="C15" s="67" t="s">
        <v>3</v>
      </c>
      <c r="D15" s="40">
        <f>0.5</f>
        <v>0.5</v>
      </c>
      <c r="E15" s="40">
        <f>E14*D15</f>
        <v>20.424999999999997</v>
      </c>
      <c r="F15" s="40">
        <f>F14*D15</f>
        <v>17.395</v>
      </c>
      <c r="G15" s="40">
        <f>G14*D15</f>
        <v>0</v>
      </c>
      <c r="H15" s="68">
        <f t="shared" si="0"/>
        <v>37.819999999999993</v>
      </c>
      <c r="I15" s="343">
        <f>51.6</f>
        <v>51.6</v>
      </c>
      <c r="J15" s="85">
        <f>H15*I15</f>
        <v>1951.5119999999997</v>
      </c>
      <c r="K15" s="97"/>
      <c r="L15" s="98"/>
      <c r="M15" s="106"/>
    </row>
    <row r="16" spans="1:16" ht="18.75" customHeight="1">
      <c r="A16" s="115"/>
      <c r="B16" s="301" t="s">
        <v>117</v>
      </c>
      <c r="C16" s="67" t="s">
        <v>3</v>
      </c>
      <c r="D16" s="40">
        <f>10</f>
        <v>10</v>
      </c>
      <c r="E16" s="40">
        <f>E14*D16</f>
        <v>408.49999999999994</v>
      </c>
      <c r="F16" s="40">
        <f>F14*D16</f>
        <v>347.9</v>
      </c>
      <c r="G16" s="40">
        <f>G14*D16</f>
        <v>0</v>
      </c>
      <c r="H16" s="68">
        <f t="shared" si="0"/>
        <v>756.39999999999986</v>
      </c>
      <c r="I16" s="88">
        <f>8.31</f>
        <v>8.31</v>
      </c>
      <c r="J16" s="85">
        <f t="shared" ref="J16:J19" si="1">H16*I16</f>
        <v>6285.6839999999993</v>
      </c>
      <c r="K16" s="97"/>
      <c r="L16" s="98"/>
      <c r="M16" s="106"/>
    </row>
    <row r="17" spans="1:13" ht="18.75" customHeight="1">
      <c r="A17" s="115"/>
      <c r="B17" s="110" t="s">
        <v>64</v>
      </c>
      <c r="C17" s="67" t="s">
        <v>3</v>
      </c>
      <c r="D17" s="40">
        <v>0.3</v>
      </c>
      <c r="E17" s="40">
        <f>E14*D17</f>
        <v>12.254999999999997</v>
      </c>
      <c r="F17" s="40">
        <f>F14*D17</f>
        <v>10.436999999999999</v>
      </c>
      <c r="G17" s="40">
        <f>G14*D17</f>
        <v>0</v>
      </c>
      <c r="H17" s="68">
        <f t="shared" si="0"/>
        <v>22.691999999999997</v>
      </c>
      <c r="I17" s="88">
        <f>30.28</f>
        <v>30.28</v>
      </c>
      <c r="J17" s="85">
        <f>H17*I17</f>
        <v>687.11375999999996</v>
      </c>
      <c r="K17" s="97"/>
      <c r="L17" s="98"/>
      <c r="M17" s="106"/>
    </row>
    <row r="18" spans="1:13" ht="18.75" customHeight="1">
      <c r="A18" s="117"/>
      <c r="B18" s="112" t="s">
        <v>50</v>
      </c>
      <c r="C18" s="73" t="s">
        <v>0</v>
      </c>
      <c r="D18" s="39">
        <v>1.08</v>
      </c>
      <c r="E18" s="39">
        <f>(E14-E19)*D18</f>
        <v>41.178671999999992</v>
      </c>
      <c r="F18" s="39">
        <f>F14*D18</f>
        <v>37.5732</v>
      </c>
      <c r="G18" s="39">
        <f>G14*D18</f>
        <v>0</v>
      </c>
      <c r="H18" s="74">
        <f t="shared" si="0"/>
        <v>78.751871999999992</v>
      </c>
      <c r="I18" s="300">
        <v>645</v>
      </c>
      <c r="J18" s="89">
        <f t="shared" si="1"/>
        <v>50794.957439999991</v>
      </c>
      <c r="K18" s="99"/>
      <c r="L18" s="100"/>
      <c r="M18" s="107"/>
    </row>
    <row r="19" spans="1:13" ht="18.75" customHeight="1">
      <c r="A19" s="117"/>
      <c r="B19" s="112" t="s">
        <v>106</v>
      </c>
      <c r="C19" s="73" t="s">
        <v>0</v>
      </c>
      <c r="D19" s="39">
        <v>1.08</v>
      </c>
      <c r="E19" s="39">
        <f>'площади '!C3*E11*D19</f>
        <v>2.7216</v>
      </c>
      <c r="F19" s="39">
        <f>0*F11</f>
        <v>0</v>
      </c>
      <c r="G19" s="39">
        <f>G14*D19</f>
        <v>0</v>
      </c>
      <c r="H19" s="74">
        <f t="shared" si="0"/>
        <v>2.7216</v>
      </c>
      <c r="I19" s="300">
        <v>1100</v>
      </c>
      <c r="J19" s="89">
        <f t="shared" si="1"/>
        <v>2993.76</v>
      </c>
      <c r="K19" s="99"/>
      <c r="L19" s="100"/>
      <c r="M19" s="107"/>
    </row>
    <row r="20" spans="1:13" ht="18.75" customHeight="1">
      <c r="A20" s="117"/>
      <c r="B20" s="113" t="s">
        <v>30</v>
      </c>
      <c r="C20" s="75"/>
      <c r="D20" s="76"/>
      <c r="E20" s="76"/>
      <c r="F20" s="76"/>
      <c r="G20" s="76"/>
      <c r="H20" s="77"/>
      <c r="I20" s="90"/>
      <c r="J20" s="91">
        <f>J15+J16+J17+J18+J19</f>
        <v>62713.02719999999</v>
      </c>
      <c r="K20" s="94"/>
      <c r="L20" s="101">
        <f>K14*H14</f>
        <v>42358.399999999994</v>
      </c>
      <c r="M20" s="108">
        <f>J20+L20</f>
        <v>105071.42719999998</v>
      </c>
    </row>
    <row r="21" spans="1:13" ht="18.75" customHeight="1">
      <c r="A21" s="116">
        <v>2</v>
      </c>
      <c r="B21" s="162" t="s">
        <v>61</v>
      </c>
      <c r="C21" s="70" t="s">
        <v>10</v>
      </c>
      <c r="D21" s="71"/>
      <c r="E21" s="71">
        <f>2*E11</f>
        <v>2</v>
      </c>
      <c r="F21" s="71">
        <f>2*F11</f>
        <v>2</v>
      </c>
      <c r="G21" s="71">
        <f>G11*0</f>
        <v>0</v>
      </c>
      <c r="H21" s="72">
        <f>E21+F21+G21</f>
        <v>4</v>
      </c>
      <c r="I21" s="86"/>
      <c r="J21" s="87"/>
      <c r="K21" s="95">
        <v>1200</v>
      </c>
      <c r="L21" s="96"/>
      <c r="M21" s="105"/>
    </row>
    <row r="22" spans="1:13" ht="18.75" customHeight="1">
      <c r="A22" s="115"/>
      <c r="B22" s="114" t="s">
        <v>62</v>
      </c>
      <c r="C22" s="67" t="s">
        <v>63</v>
      </c>
      <c r="D22" s="40">
        <f>0.3</f>
        <v>0.3</v>
      </c>
      <c r="E22" s="40">
        <f>E21*D22</f>
        <v>0.6</v>
      </c>
      <c r="F22" s="40">
        <f>F21*D22</f>
        <v>0.6</v>
      </c>
      <c r="G22" s="40">
        <f>G21*E22</f>
        <v>0</v>
      </c>
      <c r="H22" s="81">
        <f>E22+F22+G22</f>
        <v>1.2</v>
      </c>
      <c r="I22" s="88">
        <f>490</f>
        <v>490</v>
      </c>
      <c r="J22" s="85">
        <f>H22*I22</f>
        <v>588</v>
      </c>
      <c r="K22" s="159"/>
      <c r="L22" s="160"/>
      <c r="M22" s="161"/>
    </row>
    <row r="23" spans="1:13" ht="18.75" customHeight="1">
      <c r="A23" s="117"/>
      <c r="B23" s="112" t="s">
        <v>110</v>
      </c>
      <c r="C23" s="73" t="s">
        <v>10</v>
      </c>
      <c r="D23" s="39">
        <f>1</f>
        <v>1</v>
      </c>
      <c r="E23" s="39">
        <f>1*E11</f>
        <v>1</v>
      </c>
      <c r="F23" s="39">
        <f>1*F11</f>
        <v>1</v>
      </c>
      <c r="G23" s="39">
        <f>G21*0</f>
        <v>0</v>
      </c>
      <c r="H23" s="82">
        <f t="shared" ref="H23:H24" si="2">E23+F23+G23</f>
        <v>2</v>
      </c>
      <c r="I23" s="300">
        <v>900</v>
      </c>
      <c r="J23" s="89">
        <f>H23*I23</f>
        <v>1800</v>
      </c>
      <c r="K23" s="99"/>
      <c r="L23" s="100"/>
      <c r="M23" s="107"/>
    </row>
    <row r="24" spans="1:13" ht="18.75" customHeight="1">
      <c r="A24" s="117"/>
      <c r="B24" s="112" t="s">
        <v>110</v>
      </c>
      <c r="C24" s="73" t="s">
        <v>10</v>
      </c>
      <c r="D24" s="39">
        <f>1</f>
        <v>1</v>
      </c>
      <c r="E24" s="39">
        <f>1*E11</f>
        <v>1</v>
      </c>
      <c r="F24" s="39">
        <f>1*F11</f>
        <v>1</v>
      </c>
      <c r="G24" s="39">
        <f>G21*0</f>
        <v>0</v>
      </c>
      <c r="H24" s="82">
        <f t="shared" si="2"/>
        <v>2</v>
      </c>
      <c r="I24" s="300">
        <v>1300</v>
      </c>
      <c r="J24" s="89">
        <f>H24*I24</f>
        <v>2600</v>
      </c>
      <c r="K24" s="99"/>
      <c r="L24" s="100"/>
      <c r="M24" s="107"/>
    </row>
    <row r="25" spans="1:13" ht="18.75" customHeight="1" thickBot="1">
      <c r="A25" s="117"/>
      <c r="B25" s="113" t="s">
        <v>30</v>
      </c>
      <c r="C25" s="75"/>
      <c r="D25" s="76"/>
      <c r="E25" s="76"/>
      <c r="F25" s="76"/>
      <c r="G25" s="76"/>
      <c r="H25" s="77"/>
      <c r="I25" s="90"/>
      <c r="J25" s="91">
        <f>J22+J23+J24</f>
        <v>4988</v>
      </c>
      <c r="K25" s="94"/>
      <c r="L25" s="101">
        <f>K21*H21</f>
        <v>4800</v>
      </c>
      <c r="M25" s="108">
        <f>J25+L25</f>
        <v>9788</v>
      </c>
    </row>
    <row r="26" spans="1:13" ht="15.75" customHeight="1" thickBot="1">
      <c r="A26" s="121"/>
      <c r="B26" s="121"/>
      <c r="C26" s="958" t="s">
        <v>7</v>
      </c>
      <c r="D26" s="959"/>
      <c r="E26" s="959"/>
      <c r="F26" s="959"/>
      <c r="G26" s="959"/>
      <c r="H26" s="960"/>
      <c r="I26" s="122"/>
      <c r="J26" s="123"/>
      <c r="K26" s="122"/>
      <c r="L26" s="123"/>
      <c r="M26" s="133"/>
    </row>
    <row r="27" spans="1:13" ht="18" customHeight="1">
      <c r="A27" s="188">
        <v>3</v>
      </c>
      <c r="B27" s="199" t="s">
        <v>59</v>
      </c>
      <c r="C27" s="209" t="s">
        <v>0</v>
      </c>
      <c r="D27" s="71"/>
      <c r="E27" s="71">
        <f>'площади '!C11*E11</f>
        <v>98.05</v>
      </c>
      <c r="F27" s="71">
        <f>'площади '!D11*F11</f>
        <v>110.9</v>
      </c>
      <c r="G27" s="71">
        <f>G11*60</f>
        <v>60</v>
      </c>
      <c r="H27" s="262">
        <f>E27+F27+G27</f>
        <v>268.95</v>
      </c>
      <c r="I27" s="200"/>
      <c r="J27" s="201"/>
      <c r="K27" s="169">
        <f>170</f>
        <v>170</v>
      </c>
      <c r="L27" s="257"/>
      <c r="M27" s="176"/>
    </row>
    <row r="28" spans="1:13" ht="18.75" customHeight="1">
      <c r="A28" s="189"/>
      <c r="B28" s="110" t="s">
        <v>116</v>
      </c>
      <c r="C28" s="206" t="s">
        <v>3</v>
      </c>
      <c r="D28" s="40">
        <f>D15</f>
        <v>0.5</v>
      </c>
      <c r="E28" s="40">
        <f>E27*D28</f>
        <v>49.024999999999999</v>
      </c>
      <c r="F28" s="40">
        <f>F27*D28</f>
        <v>55.45</v>
      </c>
      <c r="G28" s="40">
        <f>G27*D28</f>
        <v>30</v>
      </c>
      <c r="H28" s="238">
        <f>E28+F28+G28</f>
        <v>134.47499999999999</v>
      </c>
      <c r="I28" s="177">
        <f>I15</f>
        <v>51.6</v>
      </c>
      <c r="J28" s="85">
        <f>H28*I28</f>
        <v>6938.91</v>
      </c>
      <c r="K28" s="184"/>
      <c r="L28" s="235"/>
      <c r="M28" s="106"/>
    </row>
    <row r="29" spans="1:13" ht="18.75" customHeight="1">
      <c r="A29" s="189"/>
      <c r="B29" s="307" t="s">
        <v>119</v>
      </c>
      <c r="C29" s="206" t="s">
        <v>3</v>
      </c>
      <c r="D29" s="40">
        <f>4</f>
        <v>4</v>
      </c>
      <c r="E29" s="40">
        <f>E27*D29</f>
        <v>392.2</v>
      </c>
      <c r="F29" s="40">
        <f>F27*D29</f>
        <v>443.6</v>
      </c>
      <c r="G29" s="40">
        <f>G27*D29</f>
        <v>240</v>
      </c>
      <c r="H29" s="238">
        <f t="shared" ref="H29:H56" si="3">E29+F29+G29</f>
        <v>1075.8</v>
      </c>
      <c r="I29" s="177">
        <f>9</f>
        <v>9</v>
      </c>
      <c r="J29" s="85">
        <f>H29*I29</f>
        <v>9682.1999999999989</v>
      </c>
      <c r="K29" s="184"/>
      <c r="L29" s="235"/>
      <c r="M29" s="106"/>
    </row>
    <row r="30" spans="1:13" ht="18.75" customHeight="1">
      <c r="A30" s="189"/>
      <c r="B30" s="110" t="s">
        <v>118</v>
      </c>
      <c r="C30" s="206" t="s">
        <v>1</v>
      </c>
      <c r="D30" s="40">
        <f>0.2</f>
        <v>0.2</v>
      </c>
      <c r="E30" s="40">
        <f>E27*D30</f>
        <v>19.61</v>
      </c>
      <c r="F30" s="40">
        <f>F27*D30</f>
        <v>22.180000000000003</v>
      </c>
      <c r="G30" s="40">
        <f>G27*2*D30</f>
        <v>24</v>
      </c>
      <c r="H30" s="238">
        <f t="shared" si="3"/>
        <v>65.790000000000006</v>
      </c>
      <c r="I30" s="177">
        <f>29.4</f>
        <v>29.4</v>
      </c>
      <c r="J30" s="85">
        <f>H30*I30</f>
        <v>1934.2260000000001</v>
      </c>
      <c r="K30" s="184"/>
      <c r="L30" s="235"/>
      <c r="M30" s="106"/>
    </row>
    <row r="31" spans="1:13" ht="18.75" customHeight="1">
      <c r="A31" s="189"/>
      <c r="B31" s="307" t="s">
        <v>120</v>
      </c>
      <c r="C31" s="206" t="s">
        <v>3</v>
      </c>
      <c r="D31" s="40">
        <f>3</f>
        <v>3</v>
      </c>
      <c r="E31" s="40">
        <f>E27*D31</f>
        <v>294.14999999999998</v>
      </c>
      <c r="F31" s="40">
        <f>F27*D31</f>
        <v>332.70000000000005</v>
      </c>
      <c r="G31" s="40">
        <f>G27*D31</f>
        <v>180</v>
      </c>
      <c r="H31" s="238">
        <f t="shared" si="3"/>
        <v>806.85</v>
      </c>
      <c r="I31" s="177">
        <f>13.23</f>
        <v>13.23</v>
      </c>
      <c r="J31" s="85">
        <f t="shared" ref="J31" si="4">H31*I31</f>
        <v>10674.6255</v>
      </c>
      <c r="K31" s="184"/>
      <c r="L31" s="235"/>
      <c r="M31" s="106"/>
    </row>
    <row r="32" spans="1:13" ht="18.75" customHeight="1">
      <c r="A32" s="189"/>
      <c r="B32" s="213" t="s">
        <v>66</v>
      </c>
      <c r="C32" s="206" t="s">
        <v>10</v>
      </c>
      <c r="D32" s="40">
        <v>1</v>
      </c>
      <c r="E32" s="40">
        <f>20*E11</f>
        <v>20</v>
      </c>
      <c r="F32" s="40">
        <f>15*F11</f>
        <v>15</v>
      </c>
      <c r="G32" s="40">
        <f>15*G11</f>
        <v>15</v>
      </c>
      <c r="H32" s="238">
        <f t="shared" si="3"/>
        <v>50</v>
      </c>
      <c r="I32" s="177">
        <f>18*3</f>
        <v>54</v>
      </c>
      <c r="J32" s="85">
        <f>H32*I32</f>
        <v>2700</v>
      </c>
      <c r="K32" s="184"/>
      <c r="L32" s="235"/>
      <c r="M32" s="106"/>
    </row>
    <row r="33" spans="1:13" ht="18.75" customHeight="1">
      <c r="A33" s="190"/>
      <c r="B33" s="202" t="s">
        <v>30</v>
      </c>
      <c r="C33" s="210"/>
      <c r="D33" s="78"/>
      <c r="E33" s="78"/>
      <c r="F33" s="78"/>
      <c r="G33" s="78"/>
      <c r="H33" s="238"/>
      <c r="I33" s="219"/>
      <c r="J33" s="92">
        <f>J28+J29+J30+J31+J32</f>
        <v>31929.961499999998</v>
      </c>
      <c r="K33" s="185"/>
      <c r="L33" s="256">
        <f>K27*H27</f>
        <v>45721.5</v>
      </c>
      <c r="M33" s="108">
        <f>J33+L33</f>
        <v>77651.461500000005</v>
      </c>
    </row>
    <row r="34" spans="1:13" ht="17.25" customHeight="1" collapsed="1">
      <c r="A34" s="191">
        <v>4</v>
      </c>
      <c r="B34" s="214" t="s">
        <v>54</v>
      </c>
      <c r="C34" s="209" t="s">
        <v>0</v>
      </c>
      <c r="D34" s="71"/>
      <c r="E34" s="71">
        <f>'площади '!C12*E11</f>
        <v>32.010000000000005</v>
      </c>
      <c r="F34" s="71">
        <f>'площади '!D12*F11</f>
        <v>11.58</v>
      </c>
      <c r="G34" s="71">
        <f>G11*0</f>
        <v>0</v>
      </c>
      <c r="H34" s="262">
        <f t="shared" ref="H34:H41" si="5">E34+F34+G34</f>
        <v>43.59</v>
      </c>
      <c r="I34" s="220"/>
      <c r="J34" s="87"/>
      <c r="K34" s="169">
        <f>620</f>
        <v>620</v>
      </c>
      <c r="L34" s="257"/>
      <c r="M34" s="105"/>
    </row>
    <row r="35" spans="1:13" ht="18.75" customHeight="1">
      <c r="A35" s="192"/>
      <c r="B35" s="109" t="s">
        <v>121</v>
      </c>
      <c r="C35" s="206" t="s">
        <v>3</v>
      </c>
      <c r="D35" s="40">
        <f>0.5</f>
        <v>0.5</v>
      </c>
      <c r="E35" s="40">
        <f>E34*D35</f>
        <v>16.005000000000003</v>
      </c>
      <c r="F35" s="40">
        <f>F34*D35</f>
        <v>5.79</v>
      </c>
      <c r="G35" s="40">
        <f>G34*D35</f>
        <v>0</v>
      </c>
      <c r="H35" s="272">
        <f t="shared" si="5"/>
        <v>21.795000000000002</v>
      </c>
      <c r="I35" s="344">
        <f>I15</f>
        <v>51.6</v>
      </c>
      <c r="J35" s="85">
        <f>H35*I35</f>
        <v>1124.6220000000001</v>
      </c>
      <c r="K35" s="184"/>
      <c r="L35" s="235"/>
      <c r="M35" s="106"/>
    </row>
    <row r="36" spans="1:13" ht="18.75" customHeight="1">
      <c r="A36" s="193"/>
      <c r="B36" s="308" t="s">
        <v>117</v>
      </c>
      <c r="C36" s="206" t="s">
        <v>3</v>
      </c>
      <c r="D36" s="40">
        <f>8</f>
        <v>8</v>
      </c>
      <c r="E36" s="40">
        <f>E34*D36</f>
        <v>256.08000000000004</v>
      </c>
      <c r="F36" s="40">
        <f>F34*D36</f>
        <v>92.64</v>
      </c>
      <c r="G36" s="40">
        <f>G34*D36</f>
        <v>0</v>
      </c>
      <c r="H36" s="272">
        <f t="shared" si="5"/>
        <v>348.72</v>
      </c>
      <c r="I36" s="177">
        <f>I16</f>
        <v>8.31</v>
      </c>
      <c r="J36" s="85">
        <f t="shared" ref="J36:J41" si="6">H36*I36</f>
        <v>2897.8632000000002</v>
      </c>
      <c r="K36" s="184"/>
      <c r="L36" s="235"/>
      <c r="M36" s="106"/>
    </row>
    <row r="37" spans="1:13" ht="18" customHeight="1">
      <c r="A37" s="193"/>
      <c r="B37" s="110" t="s">
        <v>65</v>
      </c>
      <c r="C37" s="206" t="s">
        <v>3</v>
      </c>
      <c r="D37" s="40">
        <f>0.3</f>
        <v>0.3</v>
      </c>
      <c r="E37" s="40">
        <f>(E39+E41)*D37</f>
        <v>7.51356</v>
      </c>
      <c r="F37" s="40">
        <f>F34*D37</f>
        <v>3.4739999999999998</v>
      </c>
      <c r="G37" s="40">
        <f>G34*D37</f>
        <v>0</v>
      </c>
      <c r="H37" s="272">
        <f t="shared" si="5"/>
        <v>10.98756</v>
      </c>
      <c r="I37" s="177">
        <f>I17</f>
        <v>30.28</v>
      </c>
      <c r="J37" s="85">
        <f t="shared" si="6"/>
        <v>332.70331680000004</v>
      </c>
      <c r="K37" s="184"/>
      <c r="L37" s="235"/>
      <c r="M37" s="106"/>
    </row>
    <row r="38" spans="1:13" ht="18" customHeight="1">
      <c r="A38" s="193"/>
      <c r="B38" s="110" t="s">
        <v>67</v>
      </c>
      <c r="C38" s="206" t="s">
        <v>3</v>
      </c>
      <c r="D38" s="40">
        <f>0.3</f>
        <v>0.3</v>
      </c>
      <c r="E38" s="40">
        <f>E40*D38</f>
        <v>2.8576800000000002</v>
      </c>
      <c r="F38" s="40">
        <f>F34*0</f>
        <v>0</v>
      </c>
      <c r="G38" s="40">
        <f>G34*D38</f>
        <v>0</v>
      </c>
      <c r="H38" s="272">
        <f t="shared" si="5"/>
        <v>2.8576800000000002</v>
      </c>
      <c r="I38" s="177">
        <f>I17</f>
        <v>30.28</v>
      </c>
      <c r="J38" s="85">
        <f>H38*I38</f>
        <v>86.53055040000001</v>
      </c>
      <c r="K38" s="184"/>
      <c r="L38" s="235"/>
      <c r="M38" s="106"/>
    </row>
    <row r="39" spans="1:13" ht="18" customHeight="1">
      <c r="A39" s="193"/>
      <c r="B39" s="112" t="s">
        <v>51</v>
      </c>
      <c r="C39" s="211" t="s">
        <v>0</v>
      </c>
      <c r="D39" s="39">
        <v>1.08</v>
      </c>
      <c r="E39" s="39">
        <f>(1.75+2.18+1.51+2.83)*E11*D39</f>
        <v>8.9315999999999995</v>
      </c>
      <c r="F39" s="39">
        <f>F34*D39</f>
        <v>12.506400000000001</v>
      </c>
      <c r="G39" s="39">
        <f>G34*D39</f>
        <v>0</v>
      </c>
      <c r="H39" s="273">
        <f t="shared" si="5"/>
        <v>21.438000000000002</v>
      </c>
      <c r="I39" s="294">
        <f>500</f>
        <v>500</v>
      </c>
      <c r="J39" s="89">
        <f t="shared" si="6"/>
        <v>10719.000000000002</v>
      </c>
      <c r="K39" s="186"/>
      <c r="L39" s="236"/>
      <c r="M39" s="107"/>
    </row>
    <row r="40" spans="1:13" ht="18" customHeight="1">
      <c r="A40" s="193"/>
      <c r="B40" s="112" t="s">
        <v>52</v>
      </c>
      <c r="C40" s="211" t="s">
        <v>0</v>
      </c>
      <c r="D40" s="39">
        <v>1.08</v>
      </c>
      <c r="E40" s="39">
        <f>8.82*E11*D40</f>
        <v>9.5256000000000007</v>
      </c>
      <c r="F40" s="39">
        <f>F34*0</f>
        <v>0</v>
      </c>
      <c r="G40" s="39">
        <f>G34*D40</f>
        <v>0</v>
      </c>
      <c r="H40" s="273">
        <f t="shared" si="5"/>
        <v>9.5256000000000007</v>
      </c>
      <c r="I40" s="294">
        <f>500</f>
        <v>500</v>
      </c>
      <c r="J40" s="89">
        <f t="shared" si="6"/>
        <v>4762.8</v>
      </c>
      <c r="K40" s="186"/>
      <c r="L40" s="236"/>
      <c r="M40" s="107"/>
    </row>
    <row r="41" spans="1:13" ht="18" customHeight="1">
      <c r="A41" s="193"/>
      <c r="B41" s="112" t="s">
        <v>53</v>
      </c>
      <c r="C41" s="211" t="s">
        <v>0</v>
      </c>
      <c r="D41" s="39">
        <v>1.08</v>
      </c>
      <c r="E41" s="39">
        <f>14.92*E11*D41</f>
        <v>16.113600000000002</v>
      </c>
      <c r="F41" s="39">
        <f>F34*0</f>
        <v>0</v>
      </c>
      <c r="G41" s="39">
        <f>G34*D41</f>
        <v>0</v>
      </c>
      <c r="H41" s="273">
        <f t="shared" si="5"/>
        <v>16.113600000000002</v>
      </c>
      <c r="I41" s="294">
        <f>500</f>
        <v>500</v>
      </c>
      <c r="J41" s="89">
        <f t="shared" si="6"/>
        <v>8056.8000000000011</v>
      </c>
      <c r="K41" s="186"/>
      <c r="L41" s="236"/>
      <c r="M41" s="107"/>
    </row>
    <row r="42" spans="1:13" ht="19.5" customHeight="1">
      <c r="A42" s="194"/>
      <c r="B42" s="202" t="s">
        <v>30</v>
      </c>
      <c r="C42" s="212"/>
      <c r="D42" s="69"/>
      <c r="E42" s="69"/>
      <c r="F42" s="69"/>
      <c r="G42" s="69"/>
      <c r="H42" s="274"/>
      <c r="I42" s="219"/>
      <c r="J42" s="91">
        <f>J35+J36+J37+J38+J39+J40+J41</f>
        <v>27980.319067200006</v>
      </c>
      <c r="K42" s="185"/>
      <c r="L42" s="256">
        <f>K34*H34</f>
        <v>27025.800000000003</v>
      </c>
      <c r="M42" s="108">
        <f>J42+L42</f>
        <v>55006.119067200008</v>
      </c>
    </row>
    <row r="43" spans="1:13" ht="18.75" customHeight="1">
      <c r="A43" s="196">
        <v>5</v>
      </c>
      <c r="B43" s="215" t="s">
        <v>108</v>
      </c>
      <c r="C43" s="204" t="s">
        <v>11</v>
      </c>
      <c r="D43" s="80"/>
      <c r="E43" s="80">
        <f>11*E11</f>
        <v>11</v>
      </c>
      <c r="F43" s="80">
        <f>0*F11</f>
        <v>0</v>
      </c>
      <c r="G43" s="80">
        <f>0*G11</f>
        <v>0</v>
      </c>
      <c r="H43" s="263">
        <f t="shared" ref="H43:H45" si="7">E43+F43+G43</f>
        <v>11</v>
      </c>
      <c r="I43" s="222"/>
      <c r="J43" s="93"/>
      <c r="K43" s="169">
        <f>150</f>
        <v>150</v>
      </c>
      <c r="L43" s="257"/>
      <c r="M43" s="105"/>
    </row>
    <row r="44" spans="1:13" ht="18.75" customHeight="1">
      <c r="A44" s="241"/>
      <c r="B44" s="114" t="s">
        <v>101</v>
      </c>
      <c r="C44" s="206" t="s">
        <v>13</v>
      </c>
      <c r="D44" s="40">
        <v>1</v>
      </c>
      <c r="E44" s="40">
        <f>1*E11</f>
        <v>1</v>
      </c>
      <c r="F44" s="40">
        <f>0*F11</f>
        <v>0</v>
      </c>
      <c r="G44" s="40">
        <f>0*G11</f>
        <v>0</v>
      </c>
      <c r="H44" s="163">
        <f t="shared" si="7"/>
        <v>1</v>
      </c>
      <c r="I44" s="164">
        <f>140</f>
        <v>140</v>
      </c>
      <c r="J44" s="85">
        <f t="shared" ref="J44" si="8">H44*I44</f>
        <v>140</v>
      </c>
      <c r="K44" s="178"/>
      <c r="L44" s="98"/>
      <c r="M44" s="106"/>
    </row>
    <row r="45" spans="1:13" ht="18.75" customHeight="1">
      <c r="A45" s="290"/>
      <c r="B45" s="291" t="s">
        <v>107</v>
      </c>
      <c r="C45" s="292" t="s">
        <v>11</v>
      </c>
      <c r="D45" s="39">
        <f>1</f>
        <v>1</v>
      </c>
      <c r="E45" s="39">
        <f>E43*D45</f>
        <v>11</v>
      </c>
      <c r="F45" s="39">
        <f>F43*D45</f>
        <v>0</v>
      </c>
      <c r="G45" s="39">
        <f>G43*D45</f>
        <v>0</v>
      </c>
      <c r="H45" s="293">
        <f t="shared" si="7"/>
        <v>11</v>
      </c>
      <c r="I45" s="294">
        <f>586.6</f>
        <v>586.6</v>
      </c>
      <c r="J45" s="89">
        <f>H45*I45</f>
        <v>6452.6</v>
      </c>
      <c r="K45" s="295"/>
      <c r="L45" s="296"/>
      <c r="M45" s="297"/>
    </row>
    <row r="46" spans="1:13" ht="18.75" customHeight="1">
      <c r="A46" s="198"/>
      <c r="B46" s="208" t="s">
        <v>30</v>
      </c>
      <c r="C46" s="207"/>
      <c r="D46" s="124"/>
      <c r="E46" s="124"/>
      <c r="F46" s="124"/>
      <c r="G46" s="124"/>
      <c r="H46" s="238"/>
      <c r="I46" s="223"/>
      <c r="J46" s="125">
        <f>J44+J45</f>
        <v>6592.6</v>
      </c>
      <c r="K46" s="218"/>
      <c r="L46" s="237">
        <f>H43*K43</f>
        <v>1650</v>
      </c>
      <c r="M46" s="128">
        <f>J46+L46</f>
        <v>8242.6</v>
      </c>
    </row>
    <row r="47" spans="1:13" ht="15.75" customHeight="1" collapsed="1">
      <c r="A47" s="191">
        <v>6</v>
      </c>
      <c r="B47" s="214" t="s">
        <v>58</v>
      </c>
      <c r="C47" s="209" t="s">
        <v>0</v>
      </c>
      <c r="D47" s="79"/>
      <c r="E47" s="71">
        <f>'площади '!C13*E11</f>
        <v>66.039999999999992</v>
      </c>
      <c r="F47" s="71">
        <f>'площади '!D13*F11</f>
        <v>99.320000000000007</v>
      </c>
      <c r="G47" s="71">
        <f>G11*60</f>
        <v>60</v>
      </c>
      <c r="H47" s="262">
        <f>E47+F47+G47</f>
        <v>225.36</v>
      </c>
      <c r="I47" s="220"/>
      <c r="J47" s="87"/>
      <c r="K47" s="169">
        <f>120</f>
        <v>120</v>
      </c>
      <c r="L47" s="257"/>
      <c r="M47" s="105"/>
    </row>
    <row r="48" spans="1:13" ht="18.75" customHeight="1">
      <c r="A48" s="189"/>
      <c r="B48" s="110" t="s">
        <v>118</v>
      </c>
      <c r="C48" s="206" t="s">
        <v>1</v>
      </c>
      <c r="D48" s="40">
        <f>0.2</f>
        <v>0.2</v>
      </c>
      <c r="E48" s="40">
        <f>E47*D48</f>
        <v>13.207999999999998</v>
      </c>
      <c r="F48" s="40">
        <f>F47*D48</f>
        <v>19.864000000000004</v>
      </c>
      <c r="G48" s="40">
        <f>G47*D48</f>
        <v>12</v>
      </c>
      <c r="H48" s="238">
        <f t="shared" si="3"/>
        <v>45.072000000000003</v>
      </c>
      <c r="I48" s="177">
        <f>I30</f>
        <v>29.4</v>
      </c>
      <c r="J48" s="85">
        <f>H48*I48</f>
        <v>1325.1168</v>
      </c>
      <c r="K48" s="184"/>
      <c r="L48" s="235"/>
      <c r="M48" s="106"/>
    </row>
    <row r="49" spans="1:13" ht="18.75" customHeight="1">
      <c r="A49" s="195"/>
      <c r="B49" s="203" t="s">
        <v>60</v>
      </c>
      <c r="C49" s="211" t="s">
        <v>3</v>
      </c>
      <c r="D49" s="39">
        <f>1.5</f>
        <v>1.5</v>
      </c>
      <c r="E49" s="39">
        <f>E47*D49</f>
        <v>99.059999999999988</v>
      </c>
      <c r="F49" s="39">
        <f>F47*D49</f>
        <v>148.98000000000002</v>
      </c>
      <c r="G49" s="39">
        <f>G47*D49</f>
        <v>90</v>
      </c>
      <c r="H49" s="238">
        <f t="shared" si="3"/>
        <v>338.04</v>
      </c>
      <c r="I49" s="294">
        <f>79</f>
        <v>79</v>
      </c>
      <c r="J49" s="89">
        <f>H49*I49</f>
        <v>26705.16</v>
      </c>
      <c r="K49" s="186"/>
      <c r="L49" s="236"/>
      <c r="M49" s="107"/>
    </row>
    <row r="50" spans="1:13" ht="18.75" customHeight="1">
      <c r="A50" s="190"/>
      <c r="B50" s="202" t="s">
        <v>30</v>
      </c>
      <c r="C50" s="210"/>
      <c r="D50" s="78"/>
      <c r="E50" s="78"/>
      <c r="F50" s="78"/>
      <c r="G50" s="78"/>
      <c r="H50" s="238"/>
      <c r="I50" s="219"/>
      <c r="J50" s="92">
        <f>J48+J49</f>
        <v>28030.2768</v>
      </c>
      <c r="K50" s="185"/>
      <c r="L50" s="256">
        <f>K47*H47</f>
        <v>27043.200000000001</v>
      </c>
      <c r="M50" s="108">
        <f>J50+L50</f>
        <v>55073.476800000004</v>
      </c>
    </row>
    <row r="51" spans="1:13" ht="18.75" customHeight="1">
      <c r="A51" s="196">
        <v>7</v>
      </c>
      <c r="B51" s="215" t="s">
        <v>90</v>
      </c>
      <c r="C51" s="204" t="s">
        <v>10</v>
      </c>
      <c r="D51" s="80"/>
      <c r="E51" s="80">
        <f>E11*0</f>
        <v>0</v>
      </c>
      <c r="F51" s="80">
        <f>1*F11</f>
        <v>1</v>
      </c>
      <c r="G51" s="80">
        <f>0*G11</f>
        <v>0</v>
      </c>
      <c r="H51" s="263">
        <f t="shared" ref="H51:H52" si="9">E51+F51+G51</f>
        <v>1</v>
      </c>
      <c r="I51" s="222"/>
      <c r="J51" s="93"/>
      <c r="K51" s="169">
        <f>800</f>
        <v>800</v>
      </c>
      <c r="L51" s="257"/>
      <c r="M51" s="105"/>
    </row>
    <row r="52" spans="1:13" ht="18.75" customHeight="1">
      <c r="A52" s="197"/>
      <c r="B52" s="216" t="s">
        <v>114</v>
      </c>
      <c r="C52" s="205" t="s">
        <v>3</v>
      </c>
      <c r="D52" s="40">
        <f>2.5</f>
        <v>2.5</v>
      </c>
      <c r="E52" s="40">
        <f>E51*D52</f>
        <v>0</v>
      </c>
      <c r="F52" s="40">
        <f>F51*D52</f>
        <v>2.5</v>
      </c>
      <c r="G52" s="40">
        <f>G51*D52</f>
        <v>0</v>
      </c>
      <c r="H52" s="238">
        <f t="shared" si="9"/>
        <v>2.5</v>
      </c>
      <c r="I52" s="177">
        <f>161.1</f>
        <v>161.1</v>
      </c>
      <c r="J52" s="85">
        <f>H52*I52</f>
        <v>402.75</v>
      </c>
      <c r="K52" s="184"/>
      <c r="L52" s="235"/>
      <c r="M52" s="106"/>
    </row>
    <row r="53" spans="1:13" ht="18.75" customHeight="1">
      <c r="A53" s="198"/>
      <c r="B53" s="208" t="s">
        <v>30</v>
      </c>
      <c r="C53" s="207"/>
      <c r="D53" s="124"/>
      <c r="E53" s="124"/>
      <c r="F53" s="124"/>
      <c r="G53" s="124"/>
      <c r="H53" s="238"/>
      <c r="I53" s="223"/>
      <c r="J53" s="125">
        <f>J51+J52</f>
        <v>402.75</v>
      </c>
      <c r="K53" s="218"/>
      <c r="L53" s="237">
        <f>H51*K51</f>
        <v>800</v>
      </c>
      <c r="M53" s="128">
        <f>J53+L53</f>
        <v>1202.75</v>
      </c>
    </row>
    <row r="54" spans="1:13" ht="18.75" customHeight="1">
      <c r="A54" s="196">
        <v>8</v>
      </c>
      <c r="B54" s="215" t="s">
        <v>32</v>
      </c>
      <c r="C54" s="204" t="s">
        <v>10</v>
      </c>
      <c r="D54" s="80"/>
      <c r="E54" s="80">
        <f>4*E11</f>
        <v>4</v>
      </c>
      <c r="F54" s="80">
        <f>4*F11</f>
        <v>4</v>
      </c>
      <c r="G54" s="80">
        <f>2*G11</f>
        <v>2</v>
      </c>
      <c r="H54" s="263">
        <f t="shared" si="3"/>
        <v>10</v>
      </c>
      <c r="I54" s="222"/>
      <c r="J54" s="93"/>
      <c r="K54" s="169">
        <f>200</f>
        <v>200</v>
      </c>
      <c r="L54" s="257"/>
      <c r="M54" s="105"/>
    </row>
    <row r="55" spans="1:13" ht="18.75" customHeight="1">
      <c r="A55" s="197"/>
      <c r="B55" s="216" t="s">
        <v>89</v>
      </c>
      <c r="C55" s="205" t="s">
        <v>3</v>
      </c>
      <c r="D55" s="40">
        <f>0.5</f>
        <v>0.5</v>
      </c>
      <c r="E55" s="40">
        <f>E54*D55</f>
        <v>2</v>
      </c>
      <c r="F55" s="40">
        <f>F54*D55</f>
        <v>2</v>
      </c>
      <c r="G55" s="40">
        <f>G54*D55</f>
        <v>1</v>
      </c>
      <c r="H55" s="238">
        <f t="shared" si="3"/>
        <v>5</v>
      </c>
      <c r="I55" s="177">
        <f>161.1</f>
        <v>161.1</v>
      </c>
      <c r="J55" s="85">
        <f>H55*I55</f>
        <v>805.5</v>
      </c>
      <c r="K55" s="184"/>
      <c r="L55" s="235"/>
      <c r="M55" s="106"/>
    </row>
    <row r="56" spans="1:13" ht="18.75" customHeight="1">
      <c r="A56" s="189"/>
      <c r="B56" s="217" t="s">
        <v>33</v>
      </c>
      <c r="C56" s="206" t="s">
        <v>13</v>
      </c>
      <c r="D56" s="40">
        <v>1</v>
      </c>
      <c r="E56" s="40">
        <f>E11*D56*1.5</f>
        <v>1.5</v>
      </c>
      <c r="F56" s="40">
        <f>1.5*D56*F11</f>
        <v>1.5</v>
      </c>
      <c r="G56" s="40">
        <f>G55*D56</f>
        <v>1</v>
      </c>
      <c r="H56" s="238">
        <f t="shared" si="3"/>
        <v>4</v>
      </c>
      <c r="I56" s="177">
        <f>250</f>
        <v>250</v>
      </c>
      <c r="J56" s="85">
        <f>H56*I56</f>
        <v>1000</v>
      </c>
      <c r="K56" s="184"/>
      <c r="L56" s="235"/>
      <c r="M56" s="106"/>
    </row>
    <row r="57" spans="1:13" ht="18.75" customHeight="1">
      <c r="A57" s="198"/>
      <c r="B57" s="208" t="s">
        <v>30</v>
      </c>
      <c r="C57" s="207"/>
      <c r="D57" s="124"/>
      <c r="E57" s="124"/>
      <c r="F57" s="124"/>
      <c r="G57" s="124"/>
      <c r="H57" s="238"/>
      <c r="I57" s="223"/>
      <c r="J57" s="125">
        <f>J55+J56</f>
        <v>1805.5</v>
      </c>
      <c r="K57" s="218"/>
      <c r="L57" s="237">
        <f>K54*H54</f>
        <v>2000</v>
      </c>
      <c r="M57" s="128">
        <f>J57+L57</f>
        <v>3805.5</v>
      </c>
    </row>
    <row r="58" spans="1:13" ht="18.75" customHeight="1">
      <c r="A58" s="191">
        <v>9</v>
      </c>
      <c r="B58" s="253" t="s">
        <v>103</v>
      </c>
      <c r="C58" s="209" t="s">
        <v>10</v>
      </c>
      <c r="D58" s="79"/>
      <c r="E58" s="71">
        <f>11*E11</f>
        <v>11</v>
      </c>
      <c r="F58" s="71">
        <f>0*F11</f>
        <v>0</v>
      </c>
      <c r="G58" s="71">
        <f>0*G11</f>
        <v>0</v>
      </c>
      <c r="H58" s="263">
        <f>E58+F58+G58</f>
        <v>11</v>
      </c>
      <c r="I58" s="220"/>
      <c r="J58" s="87"/>
      <c r="K58" s="169">
        <f>120*6</f>
        <v>720</v>
      </c>
      <c r="L58" s="102"/>
      <c r="M58" s="105"/>
    </row>
    <row r="59" spans="1:13" ht="18.75" customHeight="1">
      <c r="A59" s="241"/>
      <c r="B59" s="114" t="s">
        <v>102</v>
      </c>
      <c r="C59" s="206" t="s">
        <v>10</v>
      </c>
      <c r="D59" s="40">
        <f>1</f>
        <v>1</v>
      </c>
      <c r="E59" s="40">
        <f>4*11*E11</f>
        <v>44</v>
      </c>
      <c r="F59" s="40">
        <f>2*F58</f>
        <v>0</v>
      </c>
      <c r="G59" s="40">
        <f t="shared" ref="G59" si="10">2*G58</f>
        <v>0</v>
      </c>
      <c r="H59" s="238">
        <f t="shared" ref="H59:H60" si="11">E59+F59+G59</f>
        <v>44</v>
      </c>
      <c r="I59" s="177">
        <f>5</f>
        <v>5</v>
      </c>
      <c r="J59" s="85">
        <f t="shared" ref="J59" si="12">H59*I59</f>
        <v>220</v>
      </c>
      <c r="K59" s="184"/>
      <c r="L59" s="98"/>
      <c r="M59" s="106"/>
    </row>
    <row r="60" spans="1:13" ht="18.75" customHeight="1">
      <c r="A60" s="195"/>
      <c r="B60" s="243" t="s">
        <v>104</v>
      </c>
      <c r="C60" s="211" t="s">
        <v>10</v>
      </c>
      <c r="D60" s="39">
        <f>1</f>
        <v>1</v>
      </c>
      <c r="E60" s="39">
        <f>E58</f>
        <v>11</v>
      </c>
      <c r="F60" s="39">
        <f>F58*D60</f>
        <v>0</v>
      </c>
      <c r="G60" s="39">
        <f>G58*D60</f>
        <v>0</v>
      </c>
      <c r="H60" s="239">
        <f t="shared" si="11"/>
        <v>11</v>
      </c>
      <c r="I60" s="294">
        <f>399.42*6</f>
        <v>2396.52</v>
      </c>
      <c r="J60" s="89">
        <f>H60*I60</f>
        <v>26361.72</v>
      </c>
      <c r="K60" s="186"/>
      <c r="L60" s="100"/>
      <c r="M60" s="107"/>
    </row>
    <row r="61" spans="1:13" ht="15.75">
      <c r="A61" s="190"/>
      <c r="B61" s="208" t="s">
        <v>30</v>
      </c>
      <c r="C61" s="207"/>
      <c r="D61" s="124"/>
      <c r="E61" s="124"/>
      <c r="F61" s="124"/>
      <c r="G61" s="124"/>
      <c r="H61" s="275"/>
      <c r="I61" s="219"/>
      <c r="J61" s="92">
        <f>J59+J60</f>
        <v>26581.72</v>
      </c>
      <c r="K61" s="218"/>
      <c r="L61" s="127">
        <f>H58*K58</f>
        <v>7920</v>
      </c>
      <c r="M61" s="128">
        <f>J61+L61</f>
        <v>34501.72</v>
      </c>
    </row>
    <row r="62" spans="1:13" ht="18.75" customHeight="1">
      <c r="A62" s="191">
        <v>10</v>
      </c>
      <c r="B62" s="253" t="s">
        <v>97</v>
      </c>
      <c r="C62" s="209" t="s">
        <v>0</v>
      </c>
      <c r="D62" s="170"/>
      <c r="E62" s="170">
        <f>2*E11</f>
        <v>2</v>
      </c>
      <c r="F62" s="170">
        <f>3*F11</f>
        <v>3</v>
      </c>
      <c r="G62" s="170">
        <f>0*G11</f>
        <v>0</v>
      </c>
      <c r="H62" s="175">
        <f>E62+F62+G62</f>
        <v>5</v>
      </c>
      <c r="I62" s="289"/>
      <c r="J62" s="84"/>
      <c r="K62" s="169">
        <f>300</f>
        <v>300</v>
      </c>
      <c r="L62" s="179"/>
      <c r="M62" s="180"/>
    </row>
    <row r="63" spans="1:13" ht="18.75" customHeight="1">
      <c r="A63" s="241"/>
      <c r="B63" s="114" t="s">
        <v>101</v>
      </c>
      <c r="C63" s="206" t="s">
        <v>13</v>
      </c>
      <c r="D63" s="40">
        <v>1</v>
      </c>
      <c r="E63" s="40">
        <f>0.5*E11</f>
        <v>0.5</v>
      </c>
      <c r="F63" s="40">
        <f>0.5*3*F11</f>
        <v>1.5</v>
      </c>
      <c r="G63" s="40">
        <f>0*G11</f>
        <v>0</v>
      </c>
      <c r="H63" s="163">
        <f t="shared" ref="H63:H64" si="13">E63+F63+G63</f>
        <v>2</v>
      </c>
      <c r="I63" s="164">
        <f>I44</f>
        <v>140</v>
      </c>
      <c r="J63" s="85">
        <f t="shared" ref="J63:J64" si="14">H63*I63</f>
        <v>280</v>
      </c>
      <c r="K63" s="178"/>
      <c r="L63" s="98"/>
      <c r="M63" s="106"/>
    </row>
    <row r="64" spans="1:13" ht="18.75" customHeight="1">
      <c r="A64" s="241"/>
      <c r="B64" s="114" t="s">
        <v>102</v>
      </c>
      <c r="C64" s="206" t="s">
        <v>10</v>
      </c>
      <c r="D64" s="40">
        <f>1</f>
        <v>1</v>
      </c>
      <c r="E64" s="40">
        <f>4*2*E11</f>
        <v>8</v>
      </c>
      <c r="F64" s="40">
        <f>(4*2+8)*F11</f>
        <v>16</v>
      </c>
      <c r="G64" s="40">
        <f>G11*0</f>
        <v>0</v>
      </c>
      <c r="H64" s="163">
        <f t="shared" si="13"/>
        <v>24</v>
      </c>
      <c r="I64" s="164">
        <f>5</f>
        <v>5</v>
      </c>
      <c r="J64" s="85">
        <f t="shared" si="14"/>
        <v>120</v>
      </c>
      <c r="K64" s="178"/>
      <c r="L64" s="98"/>
      <c r="M64" s="106"/>
    </row>
    <row r="65" spans="1:14" ht="18.75" customHeight="1">
      <c r="A65" s="242"/>
      <c r="B65" s="112" t="s">
        <v>98</v>
      </c>
      <c r="C65" s="303" t="s">
        <v>10</v>
      </c>
      <c r="D65" s="39">
        <v>1</v>
      </c>
      <c r="E65" s="39">
        <f>2*E11</f>
        <v>2</v>
      </c>
      <c r="F65" s="39">
        <f>1*F11</f>
        <v>1</v>
      </c>
      <c r="G65" s="39">
        <f>0*G11</f>
        <v>0</v>
      </c>
      <c r="H65" s="163">
        <f>E65+F65+G65</f>
        <v>3</v>
      </c>
      <c r="I65" s="277">
        <f>112.4</f>
        <v>112.4</v>
      </c>
      <c r="J65" s="89">
        <f>H65*I65</f>
        <v>337.20000000000005</v>
      </c>
      <c r="K65" s="246"/>
      <c r="L65" s="247"/>
      <c r="M65" s="248"/>
    </row>
    <row r="66" spans="1:14" ht="18.75" customHeight="1">
      <c r="A66" s="255"/>
      <c r="B66" s="112" t="s">
        <v>99</v>
      </c>
      <c r="C66" s="303" t="s">
        <v>10</v>
      </c>
      <c r="D66" s="39">
        <v>1</v>
      </c>
      <c r="E66" s="39">
        <f>0*E11</f>
        <v>0</v>
      </c>
      <c r="F66" s="39">
        <f>1*F11</f>
        <v>1</v>
      </c>
      <c r="G66" s="39">
        <f>G65*D66</f>
        <v>0</v>
      </c>
      <c r="H66" s="163">
        <f t="shared" ref="H66:H67" si="15">E66+F66+G66</f>
        <v>1</v>
      </c>
      <c r="I66" s="277">
        <f>212</f>
        <v>212</v>
      </c>
      <c r="J66" s="89">
        <f t="shared" ref="J66:J67" si="16">H66*I66</f>
        <v>212</v>
      </c>
      <c r="K66" s="246"/>
      <c r="L66" s="247"/>
      <c r="M66" s="248"/>
    </row>
    <row r="67" spans="1:14" ht="18.75" customHeight="1">
      <c r="A67" s="255"/>
      <c r="B67" s="112" t="s">
        <v>100</v>
      </c>
      <c r="C67" s="303" t="s">
        <v>10</v>
      </c>
      <c r="D67" s="39">
        <v>1</v>
      </c>
      <c r="E67" s="39">
        <f>0*E11</f>
        <v>0</v>
      </c>
      <c r="F67" s="39">
        <f>1*F11</f>
        <v>1</v>
      </c>
      <c r="G67" s="39">
        <f>G62*D67</f>
        <v>0</v>
      </c>
      <c r="H67" s="163">
        <f t="shared" si="15"/>
        <v>1</v>
      </c>
      <c r="I67" s="277">
        <v>712</v>
      </c>
      <c r="J67" s="89">
        <f t="shared" si="16"/>
        <v>712</v>
      </c>
      <c r="K67" s="246"/>
      <c r="L67" s="247"/>
      <c r="M67" s="248"/>
    </row>
    <row r="68" spans="1:14" ht="18.75" customHeight="1" thickBot="1">
      <c r="A68" s="198"/>
      <c r="B68" s="208" t="s">
        <v>30</v>
      </c>
      <c r="C68" s="304"/>
      <c r="D68" s="233"/>
      <c r="E68" s="233"/>
      <c r="F68" s="233"/>
      <c r="G68" s="233"/>
      <c r="H68" s="174"/>
      <c r="I68" s="249"/>
      <c r="J68" s="125">
        <f>J63+J64+J65+J66+J67</f>
        <v>1661.2</v>
      </c>
      <c r="K68" s="126"/>
      <c r="L68" s="127">
        <f>K62*H62</f>
        <v>1500</v>
      </c>
      <c r="M68" s="128">
        <f>J68+L68</f>
        <v>3161.2</v>
      </c>
    </row>
    <row r="69" spans="1:14" ht="16.5" customHeight="1" thickBot="1">
      <c r="A69" s="122"/>
      <c r="B69" s="121"/>
      <c r="C69" s="959" t="s">
        <v>12</v>
      </c>
      <c r="D69" s="959"/>
      <c r="E69" s="959"/>
      <c r="F69" s="959"/>
      <c r="G69" s="959"/>
      <c r="H69" s="960"/>
      <c r="I69" s="165"/>
      <c r="J69" s="123"/>
      <c r="K69" s="122"/>
      <c r="L69" s="165"/>
      <c r="M69" s="121"/>
    </row>
    <row r="70" spans="1:14" ht="18.75" customHeight="1">
      <c r="A70" s="240">
        <v>11</v>
      </c>
      <c r="B70" s="250" t="s">
        <v>78</v>
      </c>
      <c r="C70" s="270" t="s">
        <v>0</v>
      </c>
      <c r="D70" s="166"/>
      <c r="E70" s="166">
        <f>'площади '!C7*E11</f>
        <v>12.53</v>
      </c>
      <c r="F70" s="166">
        <f>'площади '!D7*F11</f>
        <v>2.2999999999999998</v>
      </c>
      <c r="G70" s="166">
        <f>0*G11</f>
        <v>0</v>
      </c>
      <c r="H70" s="167">
        <f t="shared" ref="H70:H80" si="17">E70+F70+G70</f>
        <v>14.829999999999998</v>
      </c>
      <c r="I70" s="264"/>
      <c r="J70" s="168"/>
      <c r="K70" s="156">
        <f>470+220</f>
        <v>690</v>
      </c>
      <c r="L70" s="157"/>
      <c r="M70" s="176"/>
      <c r="N70" s="299"/>
    </row>
    <row r="71" spans="1:14" ht="18" customHeight="1">
      <c r="A71" s="197"/>
      <c r="B71" s="258" t="s">
        <v>44</v>
      </c>
      <c r="C71" s="205" t="s">
        <v>0</v>
      </c>
      <c r="D71" s="40">
        <f>1.05</f>
        <v>1.05</v>
      </c>
      <c r="E71" s="40">
        <f>15*E11</f>
        <v>15</v>
      </c>
      <c r="F71" s="40">
        <f>15*F11</f>
        <v>15</v>
      </c>
      <c r="G71" s="40">
        <f>0*G11</f>
        <v>0</v>
      </c>
      <c r="H71" s="171">
        <f t="shared" si="17"/>
        <v>30</v>
      </c>
      <c r="I71" s="177">
        <f>97</f>
        <v>97</v>
      </c>
      <c r="J71" s="85">
        <f t="shared" ref="J71:J79" si="18">H71*I71</f>
        <v>2910</v>
      </c>
      <c r="K71" s="178"/>
      <c r="L71" s="98"/>
      <c r="M71" s="106"/>
    </row>
    <row r="72" spans="1:14" ht="18" customHeight="1">
      <c r="A72" s="197"/>
      <c r="B72" s="258" t="s">
        <v>76</v>
      </c>
      <c r="C72" s="205" t="s">
        <v>11</v>
      </c>
      <c r="D72" s="40">
        <f>1</f>
        <v>1</v>
      </c>
      <c r="E72" s="40">
        <f>54*E11</f>
        <v>54</v>
      </c>
      <c r="F72" s="40">
        <f>54*F11</f>
        <v>54</v>
      </c>
      <c r="G72" s="40">
        <f>0*G11</f>
        <v>0</v>
      </c>
      <c r="H72" s="171">
        <f t="shared" si="17"/>
        <v>108</v>
      </c>
      <c r="I72" s="177">
        <f>33.81</f>
        <v>33.81</v>
      </c>
      <c r="J72" s="85">
        <f t="shared" si="18"/>
        <v>3651.4800000000005</v>
      </c>
      <c r="K72" s="178"/>
      <c r="L72" s="98"/>
      <c r="M72" s="106"/>
    </row>
    <row r="73" spans="1:14" ht="18" customHeight="1">
      <c r="A73" s="197"/>
      <c r="B73" s="258" t="s">
        <v>77</v>
      </c>
      <c r="C73" s="205" t="s">
        <v>11</v>
      </c>
      <c r="D73" s="40">
        <f>1</f>
        <v>1</v>
      </c>
      <c r="E73" s="40">
        <f>42*E11</f>
        <v>42</v>
      </c>
      <c r="F73" s="40">
        <f>42*F11</f>
        <v>42</v>
      </c>
      <c r="G73" s="40">
        <f>0*G11</f>
        <v>0</v>
      </c>
      <c r="H73" s="171">
        <f t="shared" si="17"/>
        <v>84</v>
      </c>
      <c r="I73" s="177">
        <f>47.63</f>
        <v>47.63</v>
      </c>
      <c r="J73" s="85">
        <f t="shared" si="18"/>
        <v>4000.92</v>
      </c>
      <c r="K73" s="178"/>
      <c r="L73" s="98"/>
      <c r="M73" s="106"/>
    </row>
    <row r="74" spans="1:14" ht="18" customHeight="1">
      <c r="A74" s="197"/>
      <c r="B74" s="258" t="s">
        <v>75</v>
      </c>
      <c r="C74" s="205" t="s">
        <v>10</v>
      </c>
      <c r="D74" s="40">
        <f>1</f>
        <v>1</v>
      </c>
      <c r="E74" s="40">
        <f>200*E11</f>
        <v>200</v>
      </c>
      <c r="F74" s="40">
        <f>200*F11</f>
        <v>200</v>
      </c>
      <c r="G74" s="40">
        <f>0*G11</f>
        <v>0</v>
      </c>
      <c r="H74" s="171">
        <f t="shared" si="17"/>
        <v>400</v>
      </c>
      <c r="I74" s="177">
        <f>0.45</f>
        <v>0.45</v>
      </c>
      <c r="J74" s="85">
        <f t="shared" si="18"/>
        <v>180</v>
      </c>
      <c r="K74" s="178"/>
      <c r="L74" s="98"/>
      <c r="M74" s="106"/>
    </row>
    <row r="75" spans="1:14" ht="18" customHeight="1">
      <c r="A75" s="197"/>
      <c r="B75" s="268" t="s">
        <v>74</v>
      </c>
      <c r="C75" s="205" t="s">
        <v>10</v>
      </c>
      <c r="D75" s="40">
        <f>1</f>
        <v>1</v>
      </c>
      <c r="E75" s="40">
        <f>25*E11</f>
        <v>25</v>
      </c>
      <c r="F75" s="40">
        <f>25*F11</f>
        <v>25</v>
      </c>
      <c r="G75" s="40">
        <f>0*G12</f>
        <v>0</v>
      </c>
      <c r="H75" s="171">
        <f t="shared" si="17"/>
        <v>50</v>
      </c>
      <c r="I75" s="177">
        <f>49.81</f>
        <v>49.81</v>
      </c>
      <c r="J75" s="85">
        <f t="shared" si="18"/>
        <v>2490.5</v>
      </c>
      <c r="K75" s="178"/>
      <c r="L75" s="98"/>
      <c r="M75" s="106"/>
    </row>
    <row r="76" spans="1:14" ht="18" customHeight="1">
      <c r="A76" s="197"/>
      <c r="B76" s="258" t="s">
        <v>73</v>
      </c>
      <c r="C76" s="205" t="s">
        <v>10</v>
      </c>
      <c r="D76" s="40">
        <f>1</f>
        <v>1</v>
      </c>
      <c r="E76" s="40">
        <f>75*E11</f>
        <v>75</v>
      </c>
      <c r="F76" s="40">
        <f>75*F11</f>
        <v>75</v>
      </c>
      <c r="G76" s="40">
        <f>0*G12</f>
        <v>0</v>
      </c>
      <c r="H76" s="171">
        <f t="shared" si="17"/>
        <v>150</v>
      </c>
      <c r="I76" s="177">
        <f>12.57</f>
        <v>12.57</v>
      </c>
      <c r="J76" s="85">
        <f t="shared" si="18"/>
        <v>1885.5</v>
      </c>
      <c r="K76" s="178"/>
      <c r="L76" s="98"/>
      <c r="M76" s="106"/>
    </row>
    <row r="77" spans="1:14" ht="18" customHeight="1">
      <c r="A77" s="197"/>
      <c r="B77" s="110" t="s">
        <v>45</v>
      </c>
      <c r="C77" s="205" t="s">
        <v>10</v>
      </c>
      <c r="D77" s="40">
        <f>1</f>
        <v>1</v>
      </c>
      <c r="E77" s="40">
        <f>75*E11</f>
        <v>75</v>
      </c>
      <c r="F77" s="40">
        <f>75*F11</f>
        <v>75</v>
      </c>
      <c r="G77" s="40">
        <f>0*G11</f>
        <v>0</v>
      </c>
      <c r="H77" s="171">
        <f t="shared" si="17"/>
        <v>150</v>
      </c>
      <c r="I77" s="177">
        <f>300/1000</f>
        <v>0.3</v>
      </c>
      <c r="J77" s="85">
        <f t="shared" si="18"/>
        <v>45</v>
      </c>
      <c r="K77" s="178"/>
      <c r="L77" s="98"/>
      <c r="M77" s="106"/>
    </row>
    <row r="78" spans="1:14" ht="18" customHeight="1">
      <c r="A78" s="197"/>
      <c r="B78" s="258" t="s">
        <v>46</v>
      </c>
      <c r="C78" s="205" t="s">
        <v>10</v>
      </c>
      <c r="D78" s="40">
        <f>1</f>
        <v>1</v>
      </c>
      <c r="E78" s="40">
        <f>400*E11</f>
        <v>400</v>
      </c>
      <c r="F78" s="40">
        <f>400*F11</f>
        <v>400</v>
      </c>
      <c r="G78" s="40">
        <f>0*G11</f>
        <v>0</v>
      </c>
      <c r="H78" s="171">
        <f t="shared" si="17"/>
        <v>800</v>
      </c>
      <c r="I78" s="177">
        <f>15</f>
        <v>15</v>
      </c>
      <c r="J78" s="85">
        <f t="shared" si="18"/>
        <v>12000</v>
      </c>
      <c r="K78" s="178"/>
      <c r="L78" s="98"/>
      <c r="M78" s="106"/>
    </row>
    <row r="79" spans="1:14" ht="18.75" customHeight="1">
      <c r="A79" s="189"/>
      <c r="B79" s="110" t="s">
        <v>118</v>
      </c>
      <c r="C79" s="206" t="s">
        <v>1</v>
      </c>
      <c r="D79" s="40">
        <f>D48</f>
        <v>0.2</v>
      </c>
      <c r="E79" s="40">
        <f>E70*D79</f>
        <v>2.5060000000000002</v>
      </c>
      <c r="F79" s="40">
        <f>F70*D79</f>
        <v>0.45999999999999996</v>
      </c>
      <c r="G79" s="40">
        <f>G70*G11</f>
        <v>0</v>
      </c>
      <c r="H79" s="163">
        <f t="shared" si="17"/>
        <v>2.9660000000000002</v>
      </c>
      <c r="I79" s="177">
        <f>I30</f>
        <v>29.4</v>
      </c>
      <c r="J79" s="85">
        <f t="shared" si="18"/>
        <v>87.200400000000002</v>
      </c>
      <c r="K79" s="178"/>
      <c r="L79" s="98"/>
      <c r="M79" s="106"/>
    </row>
    <row r="80" spans="1:14" ht="18.75" customHeight="1">
      <c r="A80" s="189"/>
      <c r="B80" s="213" t="s">
        <v>66</v>
      </c>
      <c r="C80" s="206" t="s">
        <v>10</v>
      </c>
      <c r="D80" s="40">
        <v>1</v>
      </c>
      <c r="E80" s="40">
        <f>6*E11</f>
        <v>6</v>
      </c>
      <c r="F80" s="40">
        <f>6*F11</f>
        <v>6</v>
      </c>
      <c r="G80" s="40">
        <f>0*G11</f>
        <v>0</v>
      </c>
      <c r="H80" s="238">
        <f t="shared" si="17"/>
        <v>12</v>
      </c>
      <c r="I80" s="177">
        <f>18*3</f>
        <v>54</v>
      </c>
      <c r="J80" s="85">
        <f>H80*I80</f>
        <v>648</v>
      </c>
      <c r="K80" s="184"/>
      <c r="L80" s="235"/>
      <c r="M80" s="106"/>
    </row>
    <row r="81" spans="1:13" ht="18.75" customHeight="1">
      <c r="A81" s="189"/>
      <c r="B81" s="307" t="s">
        <v>120</v>
      </c>
      <c r="C81" s="206" t="s">
        <v>3</v>
      </c>
      <c r="D81" s="40">
        <f>3</f>
        <v>3</v>
      </c>
      <c r="E81" s="40">
        <f>E70*D81</f>
        <v>37.589999999999996</v>
      </c>
      <c r="F81" s="40">
        <f>F70*D81</f>
        <v>6.8999999999999995</v>
      </c>
      <c r="G81" s="40">
        <f>G70*G11</f>
        <v>0</v>
      </c>
      <c r="H81" s="163">
        <f>E81+F81+G81</f>
        <v>44.489999999999995</v>
      </c>
      <c r="I81" s="177">
        <f>I31</f>
        <v>13.23</v>
      </c>
      <c r="J81" s="85">
        <f t="shared" ref="J81" si="19">H81*I81</f>
        <v>588.60269999999991</v>
      </c>
      <c r="K81" s="178"/>
      <c r="L81" s="98"/>
      <c r="M81" s="106"/>
    </row>
    <row r="82" spans="1:13" ht="16.5" customHeight="1">
      <c r="A82" s="190"/>
      <c r="B82" s="202" t="s">
        <v>30</v>
      </c>
      <c r="C82" s="210"/>
      <c r="D82" s="78"/>
      <c r="E82" s="78"/>
      <c r="F82" s="78"/>
      <c r="G82" s="78"/>
      <c r="H82" s="163"/>
      <c r="I82" s="219"/>
      <c r="J82" s="92">
        <f>J71+J72+J73+J74+J75+J76+J77+J78+J79+J80+J81</f>
        <v>28487.203100000002</v>
      </c>
      <c r="K82" s="298"/>
      <c r="L82" s="101">
        <f>K70*H70</f>
        <v>10232.699999999999</v>
      </c>
      <c r="M82" s="108">
        <f>J82+L82</f>
        <v>38719.903100000003</v>
      </c>
    </row>
    <row r="83" spans="1:13" ht="18.75" customHeight="1">
      <c r="A83" s="266">
        <v>12</v>
      </c>
      <c r="B83" s="129" t="s">
        <v>115</v>
      </c>
      <c r="C83" s="271" t="s">
        <v>0</v>
      </c>
      <c r="D83" s="48"/>
      <c r="E83" s="48">
        <f>'площади '!C6*E11</f>
        <v>2.8</v>
      </c>
      <c r="F83" s="48">
        <f>'площади '!D6*F11</f>
        <v>22.96</v>
      </c>
      <c r="G83" s="48">
        <f>20*G11</f>
        <v>20</v>
      </c>
      <c r="H83" s="72">
        <f>E83+F83+G83</f>
        <v>45.760000000000005</v>
      </c>
      <c r="I83" s="265"/>
      <c r="J83" s="84"/>
      <c r="K83" s="260">
        <f>220</f>
        <v>220</v>
      </c>
      <c r="L83" s="131"/>
      <c r="M83" s="132"/>
    </row>
    <row r="84" spans="1:13" ht="18.75" customHeight="1">
      <c r="A84" s="189"/>
      <c r="B84" s="110" t="s">
        <v>116</v>
      </c>
      <c r="C84" s="206" t="s">
        <v>3</v>
      </c>
      <c r="D84" s="40">
        <f>D15</f>
        <v>0.5</v>
      </c>
      <c r="E84" s="40">
        <f>E83*D84</f>
        <v>1.4</v>
      </c>
      <c r="F84" s="40">
        <f>F83*D84</f>
        <v>11.48</v>
      </c>
      <c r="G84" s="40">
        <f>G83*D84</f>
        <v>10</v>
      </c>
      <c r="H84" s="163">
        <f t="shared" ref="H84:H95" si="20">E84+F84+G84</f>
        <v>22.880000000000003</v>
      </c>
      <c r="I84" s="221">
        <f>I15</f>
        <v>51.6</v>
      </c>
      <c r="J84" s="85">
        <f>H84*I84</f>
        <v>1180.6080000000002</v>
      </c>
      <c r="K84" s="178"/>
      <c r="L84" s="98"/>
      <c r="M84" s="106"/>
    </row>
    <row r="85" spans="1:13" ht="18.75" customHeight="1">
      <c r="A85" s="189"/>
      <c r="B85" s="307" t="s">
        <v>120</v>
      </c>
      <c r="C85" s="206" t="s">
        <v>3</v>
      </c>
      <c r="D85" s="40">
        <f>5</f>
        <v>5</v>
      </c>
      <c r="E85" s="40">
        <f>E83*D85</f>
        <v>14</v>
      </c>
      <c r="F85" s="40">
        <f>F83*D85</f>
        <v>114.80000000000001</v>
      </c>
      <c r="G85" s="40">
        <f>G83*D85</f>
        <v>100</v>
      </c>
      <c r="H85" s="163">
        <f t="shared" si="20"/>
        <v>228.8</v>
      </c>
      <c r="I85" s="221">
        <f>I31</f>
        <v>13.23</v>
      </c>
      <c r="J85" s="85">
        <f t="shared" ref="J85" si="21">H85*I85</f>
        <v>3027.0240000000003</v>
      </c>
      <c r="K85" s="178"/>
      <c r="L85" s="98"/>
      <c r="M85" s="106"/>
    </row>
    <row r="86" spans="1:13" ht="18.75" customHeight="1">
      <c r="A86" s="190"/>
      <c r="B86" s="202" t="s">
        <v>30</v>
      </c>
      <c r="C86" s="210"/>
      <c r="D86" s="78"/>
      <c r="E86" s="78"/>
      <c r="F86" s="78"/>
      <c r="G86" s="78"/>
      <c r="H86" s="163"/>
      <c r="I86" s="219"/>
      <c r="J86" s="92">
        <f>J84++J85</f>
        <v>4207.6320000000005</v>
      </c>
      <c r="K86" s="298"/>
      <c r="L86" s="101">
        <f>K83*H83</f>
        <v>10067.200000000001</v>
      </c>
      <c r="M86" s="108">
        <f>J86+L86</f>
        <v>14274.832000000002</v>
      </c>
    </row>
    <row r="87" spans="1:13" ht="18.75" customHeight="1" collapsed="1">
      <c r="A87" s="196">
        <v>13</v>
      </c>
      <c r="B87" s="259" t="s">
        <v>79</v>
      </c>
      <c r="C87" s="209" t="s">
        <v>0</v>
      </c>
      <c r="D87" s="79"/>
      <c r="E87" s="71">
        <f>('площади '!C6+'площади '!C7)*E11</f>
        <v>15.329999999999998</v>
      </c>
      <c r="F87" s="71">
        <f>('площади '!D6+'площади '!D7)*F11</f>
        <v>25.26</v>
      </c>
      <c r="G87" s="71">
        <f>20*G11</f>
        <v>20</v>
      </c>
      <c r="H87" s="130">
        <f>E87+F87+G87</f>
        <v>60.59</v>
      </c>
      <c r="I87" s="220"/>
      <c r="J87" s="87"/>
      <c r="K87" s="261">
        <f>80</f>
        <v>80</v>
      </c>
      <c r="L87" s="102"/>
      <c r="M87" s="105"/>
    </row>
    <row r="88" spans="1:13" ht="18.75" customHeight="1">
      <c r="A88" s="192"/>
      <c r="B88" s="110" t="s">
        <v>118</v>
      </c>
      <c r="C88" s="206" t="s">
        <v>1</v>
      </c>
      <c r="D88" s="40">
        <f>D30</f>
        <v>0.2</v>
      </c>
      <c r="E88" s="40">
        <f>E87*D88</f>
        <v>3.0659999999999998</v>
      </c>
      <c r="F88" s="40">
        <f>F87*D88</f>
        <v>5.0520000000000005</v>
      </c>
      <c r="G88" s="40">
        <f>G87*D88</f>
        <v>4</v>
      </c>
      <c r="H88" s="163">
        <f>E88+F88+G88</f>
        <v>12.118</v>
      </c>
      <c r="I88" s="221">
        <f>I30</f>
        <v>29.4</v>
      </c>
      <c r="J88" s="85">
        <f>H88*I88</f>
        <v>356.26920000000001</v>
      </c>
      <c r="K88" s="178"/>
      <c r="L88" s="98"/>
      <c r="M88" s="106"/>
    </row>
    <row r="89" spans="1:13" ht="18.75" customHeight="1">
      <c r="A89" s="193"/>
      <c r="B89" s="203" t="s">
        <v>42</v>
      </c>
      <c r="C89" s="211" t="s">
        <v>3</v>
      </c>
      <c r="D89" s="39">
        <f>0.3</f>
        <v>0.3</v>
      </c>
      <c r="E89" s="39">
        <f>E87*D89</f>
        <v>4.5989999999999993</v>
      </c>
      <c r="F89" s="39">
        <f>F87*D89</f>
        <v>7.5780000000000003</v>
      </c>
      <c r="G89" s="39">
        <f>G87*D89</f>
        <v>6</v>
      </c>
      <c r="H89" s="163">
        <f>E89+F89+G89</f>
        <v>18.177</v>
      </c>
      <c r="I89" s="294">
        <f>115</f>
        <v>115</v>
      </c>
      <c r="J89" s="89">
        <f>H89*I89</f>
        <v>2090.355</v>
      </c>
      <c r="K89" s="181"/>
      <c r="L89" s="100"/>
      <c r="M89" s="107"/>
    </row>
    <row r="90" spans="1:13" ht="18.75" customHeight="1">
      <c r="A90" s="267"/>
      <c r="B90" s="202" t="s">
        <v>30</v>
      </c>
      <c r="C90" s="207"/>
      <c r="D90" s="124"/>
      <c r="E90" s="124"/>
      <c r="F90" s="124"/>
      <c r="G90" s="124"/>
      <c r="H90" s="174"/>
      <c r="I90" s="223"/>
      <c r="J90" s="125">
        <f>J88+J89</f>
        <v>2446.6242000000002</v>
      </c>
      <c r="K90" s="231"/>
      <c r="L90" s="101">
        <f>K87*H87</f>
        <v>4847.2000000000007</v>
      </c>
      <c r="M90" s="108">
        <f>J90+L90</f>
        <v>7293.8242000000009</v>
      </c>
    </row>
    <row r="91" spans="1:13" ht="18.75" customHeight="1">
      <c r="A91" s="191">
        <v>14</v>
      </c>
      <c r="B91" s="253" t="s">
        <v>80</v>
      </c>
      <c r="C91" s="209" t="s">
        <v>0</v>
      </c>
      <c r="D91" s="71"/>
      <c r="E91" s="71">
        <f>'площади '!C8*E11</f>
        <v>11.65</v>
      </c>
      <c r="F91" s="71">
        <f>0*F11</f>
        <v>0</v>
      </c>
      <c r="G91" s="71">
        <f>0*G11</f>
        <v>0</v>
      </c>
      <c r="H91" s="254">
        <f>E91+F91+G91</f>
        <v>11.65</v>
      </c>
      <c r="I91" s="220"/>
      <c r="J91" s="87"/>
      <c r="K91" s="261">
        <f>310</f>
        <v>310</v>
      </c>
      <c r="L91" s="102"/>
      <c r="M91" s="105"/>
    </row>
    <row r="92" spans="1:13" ht="33" customHeight="1">
      <c r="A92" s="195"/>
      <c r="B92" s="243" t="s">
        <v>105</v>
      </c>
      <c r="C92" s="211" t="s">
        <v>11</v>
      </c>
      <c r="D92" s="39">
        <v>1.1000000000000001</v>
      </c>
      <c r="E92" s="39">
        <f>E91*D92</f>
        <v>12.815000000000001</v>
      </c>
      <c r="F92" s="39">
        <f>F91*D92</f>
        <v>0</v>
      </c>
      <c r="G92" s="39">
        <f>G91*D92</f>
        <v>0</v>
      </c>
      <c r="H92" s="163">
        <f t="shared" si="20"/>
        <v>12.815000000000001</v>
      </c>
      <c r="I92" s="294">
        <f>554.55</f>
        <v>554.54999999999995</v>
      </c>
      <c r="J92" s="89">
        <f>H92*I92</f>
        <v>7106.55825</v>
      </c>
      <c r="K92" s="181"/>
      <c r="L92" s="100"/>
      <c r="M92" s="107"/>
    </row>
    <row r="93" spans="1:13" ht="18.75" customHeight="1">
      <c r="A93" s="190"/>
      <c r="B93" s="202" t="s">
        <v>30</v>
      </c>
      <c r="C93" s="210"/>
      <c r="D93" s="78"/>
      <c r="E93" s="78"/>
      <c r="F93" s="78"/>
      <c r="G93" s="78"/>
      <c r="H93" s="163"/>
      <c r="I93" s="219"/>
      <c r="J93" s="92">
        <f>J92</f>
        <v>7106.55825</v>
      </c>
      <c r="K93" s="231"/>
      <c r="L93" s="101">
        <f>K91*H91</f>
        <v>3611.5</v>
      </c>
      <c r="M93" s="108">
        <f>J93+L93</f>
        <v>10718.05825</v>
      </c>
    </row>
    <row r="94" spans="1:13" ht="19.5" customHeight="1">
      <c r="A94" s="191">
        <v>15</v>
      </c>
      <c r="B94" s="253" t="s">
        <v>72</v>
      </c>
      <c r="C94" s="209" t="s">
        <v>0</v>
      </c>
      <c r="D94" s="79"/>
      <c r="E94" s="71">
        <f>'площади '!C9*E11</f>
        <v>5.51</v>
      </c>
      <c r="F94" s="71">
        <f>0*F11</f>
        <v>0</v>
      </c>
      <c r="G94" s="71">
        <f>'площади '!E9*G11</f>
        <v>0</v>
      </c>
      <c r="H94" s="130">
        <f>E94+F94+G94</f>
        <v>5.51</v>
      </c>
      <c r="I94" s="220"/>
      <c r="J94" s="87"/>
      <c r="K94" s="261">
        <f>410</f>
        <v>410</v>
      </c>
      <c r="L94" s="102"/>
      <c r="M94" s="105"/>
    </row>
    <row r="95" spans="1:13" ht="18.75" customHeight="1">
      <c r="A95" s="195"/>
      <c r="B95" s="243" t="s">
        <v>109</v>
      </c>
      <c r="C95" s="211" t="s">
        <v>0</v>
      </c>
      <c r="D95" s="39">
        <v>1.1000000000000001</v>
      </c>
      <c r="E95" s="39">
        <f>E94*D95</f>
        <v>6.0609999999999999</v>
      </c>
      <c r="F95" s="39">
        <f>F94*D95</f>
        <v>0</v>
      </c>
      <c r="G95" s="39">
        <f>G94*D95</f>
        <v>0</v>
      </c>
      <c r="H95" s="230">
        <f t="shared" si="20"/>
        <v>6.0609999999999999</v>
      </c>
      <c r="I95" s="294">
        <v>1489</v>
      </c>
      <c r="J95" s="89">
        <f>H95*I95</f>
        <v>9024.8289999999997</v>
      </c>
      <c r="K95" s="181"/>
      <c r="L95" s="100"/>
      <c r="M95" s="107"/>
    </row>
    <row r="96" spans="1:13" ht="18.75" customHeight="1" thickBot="1">
      <c r="A96" s="269"/>
      <c r="B96" s="309" t="s">
        <v>30</v>
      </c>
      <c r="C96" s="207"/>
      <c r="D96" s="124"/>
      <c r="E96" s="124"/>
      <c r="F96" s="124"/>
      <c r="G96" s="124"/>
      <c r="H96" s="245"/>
      <c r="I96" s="223"/>
      <c r="J96" s="125">
        <f>J95</f>
        <v>9024.8289999999997</v>
      </c>
      <c r="K96" s="126"/>
      <c r="L96" s="127">
        <f>H94*K94</f>
        <v>2259.1</v>
      </c>
      <c r="M96" s="128">
        <f>J96+L96</f>
        <v>11283.929</v>
      </c>
    </row>
    <row r="97" spans="1:13" ht="18.75" customHeight="1" thickBot="1">
      <c r="A97" s="135"/>
      <c r="B97" s="134"/>
      <c r="C97" s="964" t="s">
        <v>14</v>
      </c>
      <c r="D97" s="964"/>
      <c r="E97" s="964"/>
      <c r="F97" s="964"/>
      <c r="G97" s="964"/>
      <c r="H97" s="965"/>
      <c r="I97" s="310"/>
      <c r="J97" s="312"/>
      <c r="K97" s="310"/>
      <c r="L97" s="312"/>
      <c r="M97" s="311"/>
    </row>
    <row r="98" spans="1:13" ht="18.75" customHeight="1">
      <c r="A98" s="313">
        <v>16</v>
      </c>
      <c r="B98" s="314" t="s">
        <v>125</v>
      </c>
      <c r="C98" s="325"/>
      <c r="D98" s="326"/>
      <c r="E98" s="326">
        <f>0*E11</f>
        <v>0</v>
      </c>
      <c r="F98" s="326">
        <f>4*F11</f>
        <v>4</v>
      </c>
      <c r="G98" s="326">
        <f t="shared" ref="G98" si="22">0*G11</f>
        <v>0</v>
      </c>
      <c r="H98" s="331">
        <f>E98+F98+G98</f>
        <v>4</v>
      </c>
      <c r="I98" s="327"/>
      <c r="J98" s="328"/>
      <c r="K98" s="156">
        <f>3940</f>
        <v>3940</v>
      </c>
      <c r="L98" s="328"/>
      <c r="M98" s="329"/>
    </row>
    <row r="99" spans="1:13" ht="18.75" customHeight="1">
      <c r="A99" s="332"/>
      <c r="B99" s="330" t="s">
        <v>34</v>
      </c>
      <c r="C99" s="172" t="s">
        <v>15</v>
      </c>
      <c r="D99" s="40">
        <v>1</v>
      </c>
      <c r="E99" s="40">
        <f>E98*D99</f>
        <v>0</v>
      </c>
      <c r="F99" s="40">
        <f>F98*D99</f>
        <v>4</v>
      </c>
      <c r="G99" s="40">
        <f>G98*D99</f>
        <v>0</v>
      </c>
      <c r="H99" s="163">
        <f>E99+F99+G99</f>
        <v>4</v>
      </c>
      <c r="I99" s="164">
        <f>450</f>
        <v>450</v>
      </c>
      <c r="J99" s="85">
        <f>H99*I99</f>
        <v>1800</v>
      </c>
      <c r="K99" s="323"/>
      <c r="L99" s="319"/>
      <c r="M99" s="324"/>
    </row>
    <row r="100" spans="1:13" ht="18.75" customHeight="1">
      <c r="A100" s="332"/>
      <c r="B100" s="330" t="s">
        <v>87</v>
      </c>
      <c r="C100" s="172" t="s">
        <v>10</v>
      </c>
      <c r="D100" s="40">
        <f>10</f>
        <v>10</v>
      </c>
      <c r="E100" s="40">
        <f>E98*D100</f>
        <v>0</v>
      </c>
      <c r="F100" s="40">
        <f>F98*D100</f>
        <v>40</v>
      </c>
      <c r="G100" s="40">
        <f>G99*D100</f>
        <v>0</v>
      </c>
      <c r="H100" s="163">
        <f t="shared" ref="H100:H103" si="23">E100+F100+G100</f>
        <v>40</v>
      </c>
      <c r="I100" s="164">
        <f>70</f>
        <v>70</v>
      </c>
      <c r="J100" s="85">
        <f t="shared" ref="J100:J102" si="24">H100*I100</f>
        <v>2800</v>
      </c>
      <c r="K100" s="323"/>
      <c r="L100" s="319"/>
      <c r="M100" s="324"/>
    </row>
    <row r="101" spans="1:13" ht="18.75" customHeight="1">
      <c r="A101" s="333"/>
      <c r="B101" s="334" t="s">
        <v>122</v>
      </c>
      <c r="C101" s="173" t="s">
        <v>10</v>
      </c>
      <c r="D101" s="39">
        <v>1</v>
      </c>
      <c r="E101" s="39">
        <f>1*E4</f>
        <v>0</v>
      </c>
      <c r="F101" s="39">
        <f>F98</f>
        <v>4</v>
      </c>
      <c r="G101" s="39">
        <f>0*G4</f>
        <v>0</v>
      </c>
      <c r="H101" s="163">
        <f t="shared" si="23"/>
        <v>4</v>
      </c>
      <c r="I101" s="276">
        <v>23350</v>
      </c>
      <c r="J101" s="89">
        <f t="shared" si="24"/>
        <v>93400</v>
      </c>
      <c r="K101" s="323"/>
      <c r="L101" s="319"/>
      <c r="M101" s="324"/>
    </row>
    <row r="102" spans="1:13" ht="18.75" customHeight="1">
      <c r="A102" s="333"/>
      <c r="B102" s="335" t="s">
        <v>123</v>
      </c>
      <c r="C102" s="173" t="s">
        <v>10</v>
      </c>
      <c r="D102" s="39">
        <v>1</v>
      </c>
      <c r="E102" s="39">
        <f>0*E4</f>
        <v>0</v>
      </c>
      <c r="F102" s="39">
        <v>2.5</v>
      </c>
      <c r="G102" s="39">
        <f>0*G4</f>
        <v>0</v>
      </c>
      <c r="H102" s="163">
        <f t="shared" si="23"/>
        <v>2.5</v>
      </c>
      <c r="I102" s="276">
        <v>211</v>
      </c>
      <c r="J102" s="89">
        <f t="shared" si="24"/>
        <v>527.5</v>
      </c>
      <c r="K102" s="323"/>
      <c r="L102" s="319"/>
      <c r="M102" s="324"/>
    </row>
    <row r="103" spans="1:13" ht="18.75" customHeight="1">
      <c r="A103" s="333"/>
      <c r="B103" s="335" t="s">
        <v>124</v>
      </c>
      <c r="C103" s="173" t="s">
        <v>10</v>
      </c>
      <c r="D103" s="39">
        <v>1</v>
      </c>
      <c r="E103" s="39">
        <f>0*E4</f>
        <v>0</v>
      </c>
      <c r="F103" s="39">
        <v>2.5</v>
      </c>
      <c r="G103" s="39">
        <f>1*G4</f>
        <v>0</v>
      </c>
      <c r="H103" s="163">
        <f t="shared" si="23"/>
        <v>2.5</v>
      </c>
      <c r="I103" s="276">
        <v>96</v>
      </c>
      <c r="J103" s="89">
        <f>H103*I103</f>
        <v>240</v>
      </c>
      <c r="K103" s="323"/>
      <c r="L103" s="319"/>
      <c r="M103" s="324"/>
    </row>
    <row r="104" spans="1:13" ht="18.75" customHeight="1" thickBot="1">
      <c r="A104" s="336"/>
      <c r="B104" s="337" t="s">
        <v>30</v>
      </c>
      <c r="C104" s="320"/>
      <c r="D104" s="321"/>
      <c r="E104" s="321"/>
      <c r="F104" s="321"/>
      <c r="G104" s="321"/>
      <c r="H104" s="322"/>
      <c r="I104" s="346"/>
      <c r="J104" s="347">
        <f>J99+J100+J101+J102+J103</f>
        <v>98767.5</v>
      </c>
      <c r="K104" s="346"/>
      <c r="L104" s="347">
        <f>H98*K98</f>
        <v>15760</v>
      </c>
      <c r="M104" s="128">
        <f>J104+L104</f>
        <v>114527.5</v>
      </c>
    </row>
    <row r="105" spans="1:13" ht="18.75" customHeight="1">
      <c r="A105" s="278">
        <v>17</v>
      </c>
      <c r="B105" s="279" t="s">
        <v>81</v>
      </c>
      <c r="C105" s="315" t="s">
        <v>10</v>
      </c>
      <c r="D105" s="316"/>
      <c r="E105" s="317">
        <f>4*E11</f>
        <v>4</v>
      </c>
      <c r="F105" s="317">
        <f>3*F11</f>
        <v>3</v>
      </c>
      <c r="G105" s="317">
        <f>0*G11</f>
        <v>0</v>
      </c>
      <c r="H105" s="318">
        <f>E105+F105+G105</f>
        <v>7</v>
      </c>
      <c r="I105" s="348"/>
      <c r="J105" s="349"/>
      <c r="K105" s="280">
        <f>3940</f>
        <v>3940</v>
      </c>
      <c r="L105" s="281"/>
      <c r="M105" s="282"/>
    </row>
    <row r="106" spans="1:13" ht="18.75" customHeight="1">
      <c r="A106" s="241"/>
      <c r="B106" s="114" t="s">
        <v>34</v>
      </c>
      <c r="C106" s="206" t="s">
        <v>15</v>
      </c>
      <c r="D106" s="40">
        <v>1</v>
      </c>
      <c r="E106" s="40">
        <f>E105*D106</f>
        <v>4</v>
      </c>
      <c r="F106" s="40">
        <f>F105*D106</f>
        <v>3</v>
      </c>
      <c r="G106" s="40">
        <f>G105*D106</f>
        <v>0</v>
      </c>
      <c r="H106" s="163">
        <f t="shared" ref="H106:H113" si="25">E106+F106+G106</f>
        <v>7</v>
      </c>
      <c r="I106" s="177">
        <f>450</f>
        <v>450</v>
      </c>
      <c r="J106" s="85">
        <f>H106*I106</f>
        <v>3150</v>
      </c>
      <c r="K106" s="178"/>
      <c r="L106" s="98"/>
      <c r="M106" s="106"/>
    </row>
    <row r="107" spans="1:13" ht="18.75" customHeight="1">
      <c r="A107" s="241"/>
      <c r="B107" s="114" t="s">
        <v>87</v>
      </c>
      <c r="C107" s="206" t="s">
        <v>10</v>
      </c>
      <c r="D107" s="40">
        <f>10</f>
        <v>10</v>
      </c>
      <c r="E107" s="40">
        <f>E105*D107</f>
        <v>40</v>
      </c>
      <c r="F107" s="40">
        <f>F105*D107</f>
        <v>30</v>
      </c>
      <c r="G107" s="40">
        <f>G106*D107</f>
        <v>0</v>
      </c>
      <c r="H107" s="163">
        <f t="shared" si="25"/>
        <v>70</v>
      </c>
      <c r="I107" s="177">
        <f>70</f>
        <v>70</v>
      </c>
      <c r="J107" s="85">
        <f t="shared" ref="J107:J113" si="26">H107*I107</f>
        <v>4900</v>
      </c>
      <c r="K107" s="178"/>
      <c r="L107" s="98"/>
      <c r="M107" s="106"/>
    </row>
    <row r="108" spans="1:13" ht="18.75" customHeight="1">
      <c r="A108" s="241"/>
      <c r="B108" s="112" t="s">
        <v>82</v>
      </c>
      <c r="C108" s="211" t="s">
        <v>10</v>
      </c>
      <c r="D108" s="39">
        <v>1</v>
      </c>
      <c r="E108" s="39">
        <f>1*E11</f>
        <v>1</v>
      </c>
      <c r="F108" s="39">
        <f>1*F11</f>
        <v>1</v>
      </c>
      <c r="G108" s="39">
        <f>0*G11</f>
        <v>0</v>
      </c>
      <c r="H108" s="163">
        <f t="shared" si="25"/>
        <v>2</v>
      </c>
      <c r="I108" s="350">
        <f>11510</f>
        <v>11510</v>
      </c>
      <c r="J108" s="89">
        <f t="shared" si="26"/>
        <v>23020</v>
      </c>
      <c r="K108" s="181"/>
      <c r="L108" s="100"/>
      <c r="M108" s="107"/>
    </row>
    <row r="109" spans="1:13" ht="31.5" customHeight="1">
      <c r="A109" s="241"/>
      <c r="B109" s="243" t="s">
        <v>88</v>
      </c>
      <c r="C109" s="211" t="s">
        <v>10</v>
      </c>
      <c r="D109" s="39">
        <v>1</v>
      </c>
      <c r="E109" s="39">
        <f>0*E11</f>
        <v>0</v>
      </c>
      <c r="F109" s="39">
        <f>1*F11</f>
        <v>1</v>
      </c>
      <c r="G109" s="39">
        <f>0*G11</f>
        <v>0</v>
      </c>
      <c r="H109" s="163">
        <f t="shared" si="25"/>
        <v>1</v>
      </c>
      <c r="I109" s="350">
        <f>14660</f>
        <v>14660</v>
      </c>
      <c r="J109" s="89">
        <f t="shared" si="26"/>
        <v>14660</v>
      </c>
      <c r="K109" s="181"/>
      <c r="L109" s="100"/>
      <c r="M109" s="107"/>
    </row>
    <row r="110" spans="1:13" ht="18.75" customHeight="1">
      <c r="A110" s="241"/>
      <c r="B110" s="112" t="s">
        <v>86</v>
      </c>
      <c r="C110" s="211" t="s">
        <v>10</v>
      </c>
      <c r="D110" s="39">
        <v>1</v>
      </c>
      <c r="E110" s="39">
        <f>0*E11</f>
        <v>0</v>
      </c>
      <c r="F110" s="39">
        <f>1*F11</f>
        <v>1</v>
      </c>
      <c r="G110" s="39">
        <f>0*G11</f>
        <v>0</v>
      </c>
      <c r="H110" s="163">
        <f t="shared" si="25"/>
        <v>1</v>
      </c>
      <c r="I110" s="350">
        <v>20417</v>
      </c>
      <c r="J110" s="89">
        <f t="shared" si="26"/>
        <v>20417</v>
      </c>
      <c r="K110" s="181"/>
      <c r="L110" s="100"/>
      <c r="M110" s="107"/>
    </row>
    <row r="111" spans="1:13" ht="18.75" customHeight="1">
      <c r="A111" s="241"/>
      <c r="B111" s="112" t="s">
        <v>84</v>
      </c>
      <c r="C111" s="211" t="s">
        <v>10</v>
      </c>
      <c r="D111" s="39">
        <v>1</v>
      </c>
      <c r="E111" s="39">
        <f>1*E11</f>
        <v>1</v>
      </c>
      <c r="F111" s="39">
        <f>0*F11</f>
        <v>0</v>
      </c>
      <c r="G111" s="39">
        <f>0*G11</f>
        <v>0</v>
      </c>
      <c r="H111" s="163">
        <f t="shared" si="25"/>
        <v>1</v>
      </c>
      <c r="I111" s="350">
        <v>20417</v>
      </c>
      <c r="J111" s="89">
        <f t="shared" si="26"/>
        <v>20417</v>
      </c>
      <c r="K111" s="181"/>
      <c r="L111" s="100"/>
      <c r="M111" s="107"/>
    </row>
    <row r="112" spans="1:13" ht="18.75" customHeight="1">
      <c r="A112" s="241"/>
      <c r="B112" s="112" t="s">
        <v>83</v>
      </c>
      <c r="C112" s="211" t="s">
        <v>10</v>
      </c>
      <c r="D112" s="39">
        <v>1</v>
      </c>
      <c r="E112" s="39">
        <f>1*E11</f>
        <v>1</v>
      </c>
      <c r="F112" s="39">
        <f>0*F11</f>
        <v>0</v>
      </c>
      <c r="G112" s="39">
        <f>0*G11</f>
        <v>0</v>
      </c>
      <c r="H112" s="163">
        <f t="shared" si="25"/>
        <v>1</v>
      </c>
      <c r="I112" s="350">
        <f>84195</f>
        <v>84195</v>
      </c>
      <c r="J112" s="89">
        <f t="shared" si="26"/>
        <v>84195</v>
      </c>
      <c r="K112" s="178"/>
      <c r="L112" s="98"/>
      <c r="M112" s="106"/>
    </row>
    <row r="113" spans="1:13" ht="18.75" customHeight="1">
      <c r="A113" s="241"/>
      <c r="B113" s="244" t="s">
        <v>85</v>
      </c>
      <c r="C113" s="211" t="s">
        <v>10</v>
      </c>
      <c r="D113" s="39">
        <v>1</v>
      </c>
      <c r="E113" s="39">
        <f>1*E11</f>
        <v>1</v>
      </c>
      <c r="F113" s="39">
        <f>0*F11</f>
        <v>0</v>
      </c>
      <c r="G113" s="39">
        <f>0*G11</f>
        <v>0</v>
      </c>
      <c r="H113" s="163">
        <f t="shared" si="25"/>
        <v>1</v>
      </c>
      <c r="I113" s="350">
        <v>29700</v>
      </c>
      <c r="J113" s="89">
        <f t="shared" si="26"/>
        <v>29700</v>
      </c>
      <c r="K113" s="178"/>
      <c r="L113" s="98"/>
      <c r="M113" s="106"/>
    </row>
    <row r="114" spans="1:13" ht="18.75" customHeight="1" thickBot="1">
      <c r="A114" s="198"/>
      <c r="B114" s="208" t="s">
        <v>30</v>
      </c>
      <c r="C114" s="304"/>
      <c r="D114" s="233"/>
      <c r="E114" s="233"/>
      <c r="F114" s="233"/>
      <c r="G114" s="233"/>
      <c r="H114" s="174"/>
      <c r="I114" s="351"/>
      <c r="J114" s="352">
        <f>(J106+J107+J108+J109+J110+J111+J112+J113)</f>
        <v>200459</v>
      </c>
      <c r="K114" s="353"/>
      <c r="L114" s="354">
        <f>K105*H105</f>
        <v>27580</v>
      </c>
      <c r="M114" s="355">
        <f>J114+L114</f>
        <v>228039</v>
      </c>
    </row>
    <row r="115" spans="1:13" ht="18.75" customHeight="1" thickBot="1">
      <c r="A115" s="135"/>
      <c r="B115" s="134"/>
      <c r="C115" s="942" t="s">
        <v>91</v>
      </c>
      <c r="D115" s="942"/>
      <c r="E115" s="942"/>
      <c r="F115" s="942"/>
      <c r="G115" s="942"/>
      <c r="H115" s="943"/>
      <c r="I115" s="135"/>
      <c r="J115" s="136"/>
      <c r="K115" s="135"/>
      <c r="L115" s="136"/>
      <c r="M115" s="134"/>
    </row>
    <row r="116" spans="1:13" ht="18.75" customHeight="1">
      <c r="A116" s="278">
        <v>18</v>
      </c>
      <c r="B116" s="283" t="s">
        <v>92</v>
      </c>
      <c r="C116" s="305" t="s">
        <v>10</v>
      </c>
      <c r="D116" s="284"/>
      <c r="E116" s="285">
        <f>7*E11</f>
        <v>7</v>
      </c>
      <c r="F116" s="285">
        <f>7*F11</f>
        <v>7</v>
      </c>
      <c r="G116" s="285">
        <f>0*G11</f>
        <v>0</v>
      </c>
      <c r="H116" s="286">
        <f>E116+F116+G116</f>
        <v>14</v>
      </c>
      <c r="I116" s="287"/>
      <c r="J116" s="288"/>
      <c r="K116" s="280">
        <f>300</f>
        <v>300</v>
      </c>
      <c r="L116" s="281"/>
      <c r="M116" s="282"/>
    </row>
    <row r="117" spans="1:13" ht="18.75" customHeight="1">
      <c r="A117" s="302"/>
      <c r="B117" s="232" t="s">
        <v>96</v>
      </c>
      <c r="C117" s="303" t="s">
        <v>10</v>
      </c>
      <c r="D117" s="39">
        <v>1</v>
      </c>
      <c r="E117" s="39">
        <f>3*E11</f>
        <v>3</v>
      </c>
      <c r="F117" s="39">
        <f>3*F11</f>
        <v>3</v>
      </c>
      <c r="G117" s="39">
        <f>G116*D117</f>
        <v>0</v>
      </c>
      <c r="H117" s="163">
        <f t="shared" ref="H117:H120" si="27">E117+F117+G117</f>
        <v>6</v>
      </c>
      <c r="I117" s="277">
        <v>300</v>
      </c>
      <c r="J117" s="89">
        <f t="shared" ref="J117:J120" si="28">H117*I117</f>
        <v>1800</v>
      </c>
      <c r="K117" s="246"/>
      <c r="L117" s="247"/>
      <c r="M117" s="248"/>
    </row>
    <row r="118" spans="1:13" ht="18.75" customHeight="1">
      <c r="A118" s="302"/>
      <c r="B118" s="232" t="s">
        <v>95</v>
      </c>
      <c r="C118" s="303" t="s">
        <v>10</v>
      </c>
      <c r="D118" s="39">
        <v>1</v>
      </c>
      <c r="E118" s="39">
        <f>2*E11</f>
        <v>2</v>
      </c>
      <c r="F118" s="39">
        <f>1*F11</f>
        <v>1</v>
      </c>
      <c r="G118" s="39">
        <f>G117*D118</f>
        <v>0</v>
      </c>
      <c r="H118" s="163">
        <f t="shared" si="27"/>
        <v>3</v>
      </c>
      <c r="I118" s="277">
        <v>500</v>
      </c>
      <c r="J118" s="89">
        <f t="shared" si="28"/>
        <v>1500</v>
      </c>
      <c r="K118" s="246"/>
      <c r="L118" s="247"/>
      <c r="M118" s="248"/>
    </row>
    <row r="119" spans="1:13" ht="18.75" customHeight="1">
      <c r="A119" s="302"/>
      <c r="B119" s="232" t="s">
        <v>94</v>
      </c>
      <c r="C119" s="303" t="s">
        <v>10</v>
      </c>
      <c r="D119" s="39">
        <v>1</v>
      </c>
      <c r="E119" s="39">
        <f>2*E11</f>
        <v>2</v>
      </c>
      <c r="F119" s="39">
        <f>0*F11</f>
        <v>0</v>
      </c>
      <c r="G119" s="39">
        <f>G116*D119</f>
        <v>0</v>
      </c>
      <c r="H119" s="163">
        <f t="shared" si="27"/>
        <v>2</v>
      </c>
      <c r="I119" s="277">
        <v>1200</v>
      </c>
      <c r="J119" s="89">
        <f t="shared" si="28"/>
        <v>2400</v>
      </c>
      <c r="K119" s="246"/>
      <c r="L119" s="247"/>
      <c r="M119" s="248"/>
    </row>
    <row r="120" spans="1:13" ht="18.75" customHeight="1">
      <c r="A120" s="302"/>
      <c r="B120" s="232" t="s">
        <v>93</v>
      </c>
      <c r="C120" s="303" t="s">
        <v>10</v>
      </c>
      <c r="D120" s="39">
        <v>1</v>
      </c>
      <c r="E120" s="39">
        <f>0*E11</f>
        <v>0</v>
      </c>
      <c r="F120" s="39">
        <f>3*F11</f>
        <v>3</v>
      </c>
      <c r="G120" s="39">
        <f>G116*D120</f>
        <v>0</v>
      </c>
      <c r="H120" s="163">
        <f t="shared" si="27"/>
        <v>3</v>
      </c>
      <c r="I120" s="277">
        <v>1000</v>
      </c>
      <c r="J120" s="89">
        <f t="shared" si="28"/>
        <v>3000</v>
      </c>
      <c r="K120" s="246"/>
      <c r="L120" s="247"/>
      <c r="M120" s="248"/>
    </row>
    <row r="121" spans="1:13" ht="18.75" customHeight="1" thickBot="1">
      <c r="A121" s="251"/>
      <c r="B121" s="309" t="s">
        <v>30</v>
      </c>
      <c r="C121" s="306"/>
      <c r="D121" s="83"/>
      <c r="E121" s="83"/>
      <c r="F121" s="83"/>
      <c r="G121" s="83"/>
      <c r="H121" s="234"/>
      <c r="I121" s="252"/>
      <c r="J121" s="182">
        <f>(J117+J118+J119+J120)</f>
        <v>8700</v>
      </c>
      <c r="K121" s="103"/>
      <c r="L121" s="158">
        <f>(K116*H116)</f>
        <v>4200</v>
      </c>
      <c r="M121" s="183">
        <f>J121+L121</f>
        <v>12900</v>
      </c>
    </row>
    <row r="123" spans="1:13" ht="18.75" customHeight="1">
      <c r="A123" s="224"/>
      <c r="B123" s="225"/>
      <c r="C123" s="6"/>
      <c r="D123" s="7"/>
      <c r="E123" s="7"/>
      <c r="F123" s="7"/>
      <c r="G123" s="7"/>
      <c r="H123" s="226"/>
      <c r="I123" s="8"/>
      <c r="J123" s="227"/>
      <c r="K123" s="137"/>
      <c r="L123" s="228"/>
      <c r="M123" s="229"/>
    </row>
    <row r="124" spans="1:13" ht="18.75" customHeight="1">
      <c r="A124" s="224"/>
      <c r="B124" s="225"/>
      <c r="C124" s="6"/>
      <c r="D124" s="7"/>
      <c r="E124" s="7"/>
      <c r="F124" s="7"/>
      <c r="G124" s="7"/>
      <c r="H124" s="226"/>
      <c r="I124" s="8"/>
      <c r="J124" s="227"/>
      <c r="K124" s="137"/>
      <c r="L124" s="228"/>
      <c r="M124" s="229"/>
    </row>
    <row r="125" spans="1:13" ht="18.75" customHeight="1">
      <c r="A125" s="44"/>
      <c r="B125" s="18"/>
      <c r="C125" s="6"/>
      <c r="D125" s="7"/>
      <c r="E125" s="7"/>
      <c r="F125" s="7"/>
      <c r="G125" s="7"/>
      <c r="H125" s="29"/>
      <c r="I125" s="8"/>
      <c r="J125" s="17"/>
      <c r="K125" s="24"/>
      <c r="L125" s="24"/>
    </row>
    <row r="126" spans="1:13">
      <c r="A126" s="54"/>
      <c r="B126" s="143"/>
      <c r="C126" s="143"/>
      <c r="D126" s="144"/>
      <c r="E126" s="144"/>
      <c r="F126" s="144"/>
      <c r="G126" s="144"/>
      <c r="H126" s="145"/>
      <c r="I126" s="146"/>
      <c r="J126" s="147"/>
      <c r="K126" s="137"/>
      <c r="L126" s="137"/>
      <c r="M126" s="187"/>
    </row>
    <row r="127" spans="1:13">
      <c r="A127" s="54"/>
      <c r="B127" s="143"/>
      <c r="C127" s="970" t="s">
        <v>37</v>
      </c>
      <c r="D127" s="970"/>
      <c r="E127" s="970"/>
      <c r="F127" s="970"/>
      <c r="G127" s="970"/>
      <c r="H127" s="970"/>
      <c r="I127" s="49">
        <f>J131/H10</f>
        <v>973.97868170662321</v>
      </c>
      <c r="J127" s="147"/>
      <c r="K127" s="137"/>
      <c r="L127" s="137"/>
      <c r="M127" s="138"/>
    </row>
    <row r="128" spans="1:13">
      <c r="A128" s="54"/>
      <c r="B128" s="143"/>
      <c r="C128" s="971" t="s">
        <v>24</v>
      </c>
      <c r="D128" s="971"/>
      <c r="E128" s="971"/>
      <c r="F128" s="971"/>
      <c r="G128" s="971"/>
      <c r="H128" s="342"/>
      <c r="I128" s="50">
        <f>J132/H10</f>
        <v>4632.3266933157256</v>
      </c>
      <c r="J128" s="147"/>
      <c r="K128" s="137"/>
      <c r="L128" s="137"/>
      <c r="M128" s="138"/>
    </row>
    <row r="129" spans="1:15">
      <c r="A129" s="54"/>
      <c r="B129" s="143"/>
      <c r="C129" s="966" t="s">
        <v>40</v>
      </c>
      <c r="D129" s="966"/>
      <c r="E129" s="966"/>
      <c r="F129" s="966"/>
      <c r="G129" s="966"/>
      <c r="H129" s="51"/>
      <c r="I129" s="52">
        <f>J133/H10</f>
        <v>5606.3053750223498</v>
      </c>
      <c r="J129" s="147"/>
      <c r="K129" s="137"/>
      <c r="L129" s="137"/>
      <c r="M129" s="138"/>
      <c r="O129" s="153"/>
    </row>
    <row r="130" spans="1:15">
      <c r="A130" s="54"/>
      <c r="B130" s="143"/>
      <c r="C130" s="43"/>
      <c r="D130" s="338"/>
      <c r="E130" s="338"/>
      <c r="F130" s="338"/>
      <c r="G130" s="338"/>
      <c r="H130" s="338"/>
      <c r="I130" s="38"/>
      <c r="J130" s="147"/>
      <c r="K130" s="137"/>
      <c r="L130" s="137"/>
      <c r="M130" s="138"/>
      <c r="O130" s="1"/>
    </row>
    <row r="131" spans="1:15" ht="17.25" customHeight="1">
      <c r="A131" s="54"/>
      <c r="B131" s="19"/>
      <c r="C131" s="972" t="s">
        <v>41</v>
      </c>
      <c r="D131" s="972"/>
      <c r="E131" s="972"/>
      <c r="F131" s="972"/>
      <c r="G131" s="972"/>
      <c r="H131" s="972"/>
      <c r="I131" s="341"/>
      <c r="J131" s="35">
        <f>J15+J16+J17+J22+J28+J29+J30+J31+J32+J35+J36+J37+J38+J44+J48+J52+J55+J56+J59+J71+J72+J73+J74+J75+J76+J77+J78+J79+J80+J81+J84+J85+J88+J99+J100+J106+J107+J63+J64</f>
        <v>95878.461427199989</v>
      </c>
      <c r="K131" s="137"/>
      <c r="L131" s="137"/>
      <c r="M131" s="138"/>
      <c r="N131" s="11"/>
      <c r="O131" s="1"/>
    </row>
    <row r="132" spans="1:15" ht="17.25" customHeight="1">
      <c r="A132" s="54"/>
      <c r="B132" s="20"/>
      <c r="C132" s="973" t="s">
        <v>36</v>
      </c>
      <c r="D132" s="973"/>
      <c r="E132" s="973"/>
      <c r="F132" s="973"/>
      <c r="G132" s="973"/>
      <c r="H132" s="973"/>
      <c r="I132" s="340"/>
      <c r="J132" s="36">
        <f>J18+J19+J23+J24+J39+J40+J41+J45+J49+J60+J89+J92+J95+J108+J109+J110+J111+J112+J113+J65+J66+J67+J117+J118+J119+J120+J101+J102+J103</f>
        <v>456006.23969000002</v>
      </c>
      <c r="K132" s="137"/>
      <c r="L132" s="137"/>
      <c r="M132" s="138"/>
      <c r="O132" s="1"/>
    </row>
    <row r="133" spans="1:15" ht="17.25" customHeight="1">
      <c r="A133" s="54"/>
      <c r="B133" s="20"/>
      <c r="C133" s="967" t="s">
        <v>23</v>
      </c>
      <c r="D133" s="967"/>
      <c r="E133" s="967"/>
      <c r="F133" s="967"/>
      <c r="G133" s="967"/>
      <c r="H133" s="967"/>
      <c r="I133" s="339"/>
      <c r="J133" s="37">
        <f>J20+J25+J33+J42+J46+J50+J53+J57+J61+J82+J86+J90+J93+J96+J114+J68+J121+J104</f>
        <v>551884.70111720008</v>
      </c>
      <c r="K133" s="137"/>
      <c r="L133" s="137"/>
      <c r="M133" s="138"/>
      <c r="O133" s="153"/>
    </row>
    <row r="134" spans="1:15" ht="17.25" customHeight="1">
      <c r="A134" s="54"/>
      <c r="B134" s="20"/>
      <c r="C134" s="3"/>
      <c r="D134" s="15"/>
      <c r="E134" s="15"/>
      <c r="F134" s="15"/>
      <c r="G134" s="15"/>
      <c r="H134" s="148"/>
      <c r="I134" s="149"/>
      <c r="J134" s="36"/>
      <c r="K134" s="137"/>
      <c r="L134" s="137"/>
      <c r="M134" s="138"/>
      <c r="O134" s="1"/>
    </row>
    <row r="135" spans="1:15" ht="17.25" customHeight="1">
      <c r="A135" s="54"/>
      <c r="B135" s="20"/>
      <c r="C135" s="3"/>
      <c r="D135" s="15"/>
      <c r="E135" s="15"/>
      <c r="F135" s="15"/>
      <c r="G135" s="15"/>
      <c r="H135" s="148"/>
      <c r="I135" s="149"/>
      <c r="J135" s="36"/>
      <c r="K135" s="137"/>
      <c r="L135" s="137"/>
      <c r="M135" s="138"/>
      <c r="O135" s="1"/>
    </row>
    <row r="136" spans="1:15" ht="17.25" customHeight="1">
      <c r="A136" s="54"/>
      <c r="B136" s="21"/>
      <c r="C136" s="966" t="s">
        <v>43</v>
      </c>
      <c r="D136" s="966"/>
      <c r="E136" s="966"/>
      <c r="F136" s="966"/>
      <c r="G136" s="966"/>
      <c r="H136" s="150"/>
      <c r="I136" s="149"/>
      <c r="J136" s="139"/>
      <c r="K136" s="140">
        <f>L137/H10</f>
        <v>2431.700528240553</v>
      </c>
      <c r="L136" s="45"/>
      <c r="M136" s="138"/>
      <c r="O136" s="1"/>
    </row>
    <row r="137" spans="1:15" ht="17.25" customHeight="1">
      <c r="A137" s="54"/>
      <c r="B137" s="21"/>
      <c r="C137" s="967" t="s">
        <v>35</v>
      </c>
      <c r="D137" s="967"/>
      <c r="E137" s="967"/>
      <c r="F137" s="967"/>
      <c r="G137" s="967"/>
      <c r="H137" s="967"/>
      <c r="I137" s="149"/>
      <c r="J137" s="37"/>
      <c r="K137" s="45"/>
      <c r="L137" s="46">
        <f>L20+L25+L33+L42+L46+L50+L53+L57+L61+L82+L86+L90+L93+L96+L114+L68+L121+L104</f>
        <v>239376.60000000003</v>
      </c>
      <c r="M137" s="47"/>
      <c r="O137" s="153"/>
    </row>
    <row r="138" spans="1:15" s="3" customFormat="1" ht="17.25" customHeight="1">
      <c r="A138" s="54"/>
      <c r="B138" s="21"/>
      <c r="C138" s="43"/>
      <c r="D138" s="338"/>
      <c r="E138" s="338"/>
      <c r="F138" s="338"/>
      <c r="G138" s="338"/>
      <c r="H138" s="338"/>
      <c r="I138" s="38"/>
      <c r="J138" s="37"/>
      <c r="K138" s="45"/>
      <c r="L138" s="46"/>
      <c r="M138" s="47"/>
      <c r="O138" s="154"/>
    </row>
    <row r="139" spans="1:15" s="3" customFormat="1" ht="17.25" customHeight="1">
      <c r="A139" s="54"/>
      <c r="B139" s="21"/>
      <c r="C139" s="968" t="s">
        <v>39</v>
      </c>
      <c r="D139" s="968"/>
      <c r="E139" s="968"/>
      <c r="F139" s="968"/>
      <c r="G139" s="968"/>
      <c r="H139" s="968"/>
      <c r="I139" s="38"/>
      <c r="J139" s="37"/>
      <c r="K139" s="45"/>
      <c r="L139" s="46"/>
      <c r="M139" s="141">
        <f>M140/H10</f>
        <v>8038.0059032629006</v>
      </c>
      <c r="O139" s="154"/>
    </row>
    <row r="140" spans="1:15" ht="17.25" customHeight="1">
      <c r="A140" s="54"/>
      <c r="B140" s="21"/>
      <c r="C140" s="969" t="s">
        <v>38</v>
      </c>
      <c r="D140" s="969"/>
      <c r="E140" s="969"/>
      <c r="F140" s="969"/>
      <c r="G140" s="969"/>
      <c r="H140" s="969"/>
      <c r="I140" s="339"/>
      <c r="J140" s="37"/>
      <c r="K140" s="45"/>
      <c r="L140" s="142"/>
      <c r="M140" s="155">
        <f>M20+M25+M33+M42+M46+M50+M53+M57+M61+M82+M86+M90+M93+M96+M114+M68+M121+M104</f>
        <v>791261.30111719994</v>
      </c>
      <c r="O140" s="153"/>
    </row>
    <row r="141" spans="1:15" ht="17.25" customHeight="1">
      <c r="A141" s="54"/>
      <c r="B141" s="19"/>
      <c r="C141" s="3"/>
      <c r="D141" s="15"/>
      <c r="E141" s="15"/>
      <c r="F141" s="15"/>
      <c r="G141" s="15"/>
      <c r="H141" s="148"/>
      <c r="I141" s="149"/>
      <c r="J141" s="151"/>
      <c r="K141" s="12"/>
      <c r="L141" s="152"/>
      <c r="M141" s="47"/>
    </row>
    <row r="142" spans="1:15" ht="17.25" customHeight="1">
      <c r="A142" s="340"/>
      <c r="B142" s="20"/>
      <c r="K142" s="34"/>
      <c r="L142" s="42"/>
      <c r="M142" s="41"/>
    </row>
    <row r="143" spans="1:15" ht="17.25" customHeight="1">
      <c r="A143" s="340"/>
      <c r="B143" s="20"/>
      <c r="K143" s="34"/>
      <c r="L143" s="42"/>
      <c r="M143" s="41"/>
    </row>
  </sheetData>
  <autoFilter ref="A9:J126"/>
  <mergeCells count="34">
    <mergeCell ref="C136:G136"/>
    <mergeCell ref="C137:H137"/>
    <mergeCell ref="C139:H139"/>
    <mergeCell ref="C140:H140"/>
    <mergeCell ref="C127:H127"/>
    <mergeCell ref="C128:G128"/>
    <mergeCell ref="C129:G129"/>
    <mergeCell ref="C131:H131"/>
    <mergeCell ref="C132:H132"/>
    <mergeCell ref="C133:H133"/>
    <mergeCell ref="C115:H115"/>
    <mergeCell ref="L9:L10"/>
    <mergeCell ref="M9:M10"/>
    <mergeCell ref="C10:D10"/>
    <mergeCell ref="C11:D11"/>
    <mergeCell ref="I11:J11"/>
    <mergeCell ref="K11:L11"/>
    <mergeCell ref="K9:K10"/>
    <mergeCell ref="C12:H12"/>
    <mergeCell ref="C13:H13"/>
    <mergeCell ref="C26:H26"/>
    <mergeCell ref="C69:H69"/>
    <mergeCell ref="C97:H97"/>
    <mergeCell ref="A8:B8"/>
    <mergeCell ref="A9:A11"/>
    <mergeCell ref="B9:B11"/>
    <mergeCell ref="I9:I10"/>
    <mergeCell ref="J9:J10"/>
    <mergeCell ref="A7:H7"/>
    <mergeCell ref="A1:B1"/>
    <mergeCell ref="A3:B3"/>
    <mergeCell ref="A4:B4"/>
    <mergeCell ref="A5:M5"/>
    <mergeCell ref="A6:H6"/>
  </mergeCells>
  <pageMargins left="0" right="0" top="0" bottom="0" header="0" footer="0"/>
  <pageSetup paperSize="9" scale="55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площади </vt:lpstr>
      <vt:lpstr>расчет МОП К7С1С2</vt:lpstr>
      <vt:lpstr>расчет МОП К7</vt:lpstr>
      <vt:lpstr>'площади '!Область_печати</vt:lpstr>
      <vt:lpstr>'расчет МОП К7'!Область_печати</vt:lpstr>
      <vt:lpstr>'расчет МОП К7С1С2'!Область_печати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1</cp:lastModifiedBy>
  <cp:lastPrinted>2017-12-19T06:36:58Z</cp:lastPrinted>
  <dcterms:created xsi:type="dcterms:W3CDTF">2011-03-06T09:43:54Z</dcterms:created>
  <dcterms:modified xsi:type="dcterms:W3CDTF">2017-12-19T07:35:19Z</dcterms:modified>
</cp:coreProperties>
</file>