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Ярослав Тимощук\Desktop\"/>
    </mc:Choice>
  </mc:AlternateContent>
  <bookViews>
    <workbookView xWindow="720" yWindow="720" windowWidth="19635" windowHeight="7425" firstSheet="1" activeTab="1"/>
  </bookViews>
  <sheets>
    <sheet name="п.205.4 (02-04-01)" sheetId="1" r:id="rId1"/>
    <sheet name="п.205.4 (02-04-01) 01-2016" sheetId="3" r:id="rId2"/>
  </sheets>
  <definedNames>
    <definedName name="_xlnm.Print_Titles" localSheetId="0">'п.205.4 (02-04-01)'!$30:$34</definedName>
    <definedName name="_xlnm.Print_Titles" localSheetId="1">'п.205.4 (02-04-01) 01-2016'!$30:$34</definedName>
    <definedName name="_xlnm.Print_Area" localSheetId="0">'п.205.4 (02-04-01)'!$A$1:$O$117</definedName>
    <definedName name="_xlnm.Print_Area" localSheetId="1">'п.205.4 (02-04-01) 01-2016'!$A$1:$O$117</definedName>
  </definedNames>
  <calcPr calcId="152511"/>
</workbook>
</file>

<file path=xl/calcChain.xml><?xml version="1.0" encoding="utf-8"?>
<calcChain xmlns="http://schemas.openxmlformats.org/spreadsheetml/2006/main">
  <c r="R84" i="3" l="1"/>
  <c r="R91" i="3" s="1"/>
  <c r="V91" i="3" s="1"/>
  <c r="R89" i="3"/>
  <c r="V89" i="3" s="1"/>
  <c r="V84" i="3"/>
  <c r="V80" i="3"/>
  <c r="V78" i="3"/>
  <c r="V73" i="3"/>
  <c r="V70" i="3"/>
  <c r="V68" i="3"/>
  <c r="V63" i="3"/>
  <c r="V61" i="3"/>
  <c r="V56" i="3"/>
  <c r="V51" i="3"/>
  <c r="V44" i="3"/>
  <c r="V42" i="3"/>
  <c r="V37" i="3"/>
  <c r="R46" i="3"/>
  <c r="V46" i="3" s="1"/>
  <c r="I127" i="3"/>
  <c r="J127" i="3" s="1"/>
  <c r="G127" i="3"/>
  <c r="I126" i="3"/>
  <c r="G126" i="3"/>
  <c r="H112" i="3"/>
  <c r="L104" i="3"/>
  <c r="K104" i="3"/>
  <c r="J104" i="3"/>
  <c r="I104" i="3"/>
  <c r="L94" i="3"/>
  <c r="K94" i="3"/>
  <c r="J94" i="3"/>
  <c r="I94" i="3"/>
  <c r="K93" i="3"/>
  <c r="K103" i="3" s="1"/>
  <c r="M92" i="3"/>
  <c r="M91" i="3"/>
  <c r="L91" i="3"/>
  <c r="J91" i="3"/>
  <c r="I91" i="3"/>
  <c r="M90" i="3"/>
  <c r="M89" i="3"/>
  <c r="L89" i="3"/>
  <c r="J89" i="3"/>
  <c r="I89" i="3"/>
  <c r="O85" i="3"/>
  <c r="M85" i="3"/>
  <c r="O84" i="3"/>
  <c r="M84" i="3"/>
  <c r="L84" i="3"/>
  <c r="J84" i="3"/>
  <c r="I84" i="3"/>
  <c r="M81" i="3"/>
  <c r="M80" i="3"/>
  <c r="L80" i="3"/>
  <c r="J80" i="3"/>
  <c r="I80" i="3"/>
  <c r="M79" i="3"/>
  <c r="M78" i="3"/>
  <c r="L78" i="3"/>
  <c r="J78" i="3"/>
  <c r="I78" i="3"/>
  <c r="O74" i="3"/>
  <c r="M74" i="3"/>
  <c r="O73" i="3"/>
  <c r="M73" i="3"/>
  <c r="L73" i="3"/>
  <c r="J73" i="3"/>
  <c r="I73" i="3"/>
  <c r="M71" i="3"/>
  <c r="M70" i="3"/>
  <c r="L70" i="3"/>
  <c r="J70" i="3"/>
  <c r="I70" i="3"/>
  <c r="M69" i="3"/>
  <c r="M68" i="3"/>
  <c r="L68" i="3"/>
  <c r="J68" i="3"/>
  <c r="I68" i="3"/>
  <c r="O64" i="3"/>
  <c r="M64" i="3"/>
  <c r="O63" i="3"/>
  <c r="M63" i="3"/>
  <c r="L63" i="3"/>
  <c r="J63" i="3"/>
  <c r="I63" i="3"/>
  <c r="M62" i="3"/>
  <c r="M61" i="3"/>
  <c r="L61" i="3"/>
  <c r="J61" i="3"/>
  <c r="I61" i="3"/>
  <c r="O57" i="3"/>
  <c r="M57" i="3"/>
  <c r="O56" i="3"/>
  <c r="M56" i="3"/>
  <c r="L56" i="3"/>
  <c r="J56" i="3"/>
  <c r="I56" i="3"/>
  <c r="O52" i="3"/>
  <c r="M52" i="3"/>
  <c r="O51" i="3"/>
  <c r="M51" i="3"/>
  <c r="L51" i="3"/>
  <c r="J51" i="3"/>
  <c r="I51" i="3"/>
  <c r="O47" i="3"/>
  <c r="M47" i="3"/>
  <c r="O46" i="3"/>
  <c r="M46" i="3"/>
  <c r="L46" i="3"/>
  <c r="J46" i="3"/>
  <c r="I46" i="3"/>
  <c r="M45" i="3"/>
  <c r="M44" i="3"/>
  <c r="L44" i="3"/>
  <c r="J44" i="3"/>
  <c r="I44" i="3"/>
  <c r="M43" i="3"/>
  <c r="M42" i="3"/>
  <c r="L42" i="3"/>
  <c r="J42" i="3"/>
  <c r="I42" i="3"/>
  <c r="O38" i="3"/>
  <c r="M38" i="3"/>
  <c r="O37" i="3"/>
  <c r="M37" i="3"/>
  <c r="L37" i="3"/>
  <c r="J37" i="3"/>
  <c r="I37" i="3"/>
  <c r="I127" i="1"/>
  <c r="J127" i="1" s="1"/>
  <c r="G127" i="1"/>
  <c r="I126" i="1"/>
  <c r="G126" i="1"/>
  <c r="H112" i="1"/>
  <c r="L104" i="1"/>
  <c r="K104" i="1"/>
  <c r="J104" i="1"/>
  <c r="I104" i="1"/>
  <c r="L94" i="1"/>
  <c r="K94" i="1"/>
  <c r="J94" i="1"/>
  <c r="I94" i="1"/>
  <c r="K93" i="1"/>
  <c r="K103" i="1" s="1"/>
  <c r="M92" i="1"/>
  <c r="M91" i="1"/>
  <c r="L91" i="1"/>
  <c r="J91" i="1"/>
  <c r="I91" i="1"/>
  <c r="M90" i="1"/>
  <c r="M89" i="1"/>
  <c r="L89" i="1"/>
  <c r="J89" i="1"/>
  <c r="I89" i="1"/>
  <c r="O85" i="1"/>
  <c r="M85" i="1"/>
  <c r="O84" i="1"/>
  <c r="M84" i="1"/>
  <c r="L84" i="1"/>
  <c r="J84" i="1"/>
  <c r="I84" i="1"/>
  <c r="M81" i="1"/>
  <c r="M80" i="1"/>
  <c r="L80" i="1"/>
  <c r="J80" i="1"/>
  <c r="I80" i="1"/>
  <c r="M79" i="1"/>
  <c r="M78" i="1"/>
  <c r="L78" i="1"/>
  <c r="J78" i="1"/>
  <c r="I78" i="1"/>
  <c r="O74" i="1"/>
  <c r="M74" i="1"/>
  <c r="O73" i="1"/>
  <c r="M73" i="1"/>
  <c r="L73" i="1"/>
  <c r="I76" i="1" s="1"/>
  <c r="J73" i="1"/>
  <c r="I73" i="1"/>
  <c r="M71" i="1"/>
  <c r="M70" i="1"/>
  <c r="L70" i="1"/>
  <c r="J70" i="1"/>
  <c r="I70" i="1"/>
  <c r="M69" i="1"/>
  <c r="M68" i="1"/>
  <c r="L68" i="1"/>
  <c r="J68" i="1"/>
  <c r="I68" i="1"/>
  <c r="O64" i="1"/>
  <c r="M64" i="1"/>
  <c r="O63" i="1"/>
  <c r="M63" i="1"/>
  <c r="L63" i="1"/>
  <c r="J63" i="1"/>
  <c r="I63" i="1"/>
  <c r="M62" i="1"/>
  <c r="M61" i="1"/>
  <c r="L61" i="1"/>
  <c r="J61" i="1"/>
  <c r="I61" i="1"/>
  <c r="O57" i="1"/>
  <c r="M57" i="1"/>
  <c r="O56" i="1"/>
  <c r="M56" i="1"/>
  <c r="L56" i="1"/>
  <c r="J56" i="1"/>
  <c r="I56" i="1"/>
  <c r="O52" i="1"/>
  <c r="M52" i="1"/>
  <c r="O51" i="1"/>
  <c r="M51" i="1"/>
  <c r="L51" i="1"/>
  <c r="J51" i="1"/>
  <c r="I51" i="1"/>
  <c r="O47" i="1"/>
  <c r="M47" i="1"/>
  <c r="O46" i="1"/>
  <c r="M46" i="1"/>
  <c r="L46" i="1"/>
  <c r="J46" i="1"/>
  <c r="I46" i="1"/>
  <c r="M45" i="1"/>
  <c r="M44" i="1"/>
  <c r="L44" i="1"/>
  <c r="J44" i="1"/>
  <c r="I44" i="1"/>
  <c r="M43" i="1"/>
  <c r="M42" i="1"/>
  <c r="L42" i="1"/>
  <c r="J42" i="1"/>
  <c r="I42" i="1"/>
  <c r="O38" i="1"/>
  <c r="M38" i="1"/>
  <c r="O37" i="1"/>
  <c r="M37" i="1"/>
  <c r="L37" i="1"/>
  <c r="J37" i="1"/>
  <c r="I37" i="1"/>
  <c r="H22" i="1"/>
  <c r="B14" i="1"/>
  <c r="L93" i="3" l="1"/>
  <c r="L103" i="3" s="1"/>
  <c r="I105" i="3" s="1"/>
  <c r="O103" i="3"/>
  <c r="O104" i="3"/>
  <c r="I53" i="3"/>
  <c r="I76" i="3"/>
  <c r="I59" i="3"/>
  <c r="I65" i="3"/>
  <c r="I67" i="3" s="1"/>
  <c r="I86" i="3"/>
  <c r="I49" i="3"/>
  <c r="J93" i="3"/>
  <c r="J103" i="3" s="1"/>
  <c r="M103" i="3"/>
  <c r="I87" i="3"/>
  <c r="I88" i="3" s="1"/>
  <c r="I66" i="3"/>
  <c r="I54" i="3"/>
  <c r="I55" i="3" s="1"/>
  <c r="M104" i="3"/>
  <c r="I40" i="3"/>
  <c r="I112" i="3"/>
  <c r="I48" i="3"/>
  <c r="I58" i="3"/>
  <c r="I60" i="3" s="1"/>
  <c r="I75" i="3"/>
  <c r="I93" i="3"/>
  <c r="M93" i="3"/>
  <c r="M94" i="3"/>
  <c r="I95" i="3" s="1"/>
  <c r="I39" i="3"/>
  <c r="O93" i="3"/>
  <c r="O94" i="3"/>
  <c r="I48" i="1"/>
  <c r="I58" i="1"/>
  <c r="I66" i="1"/>
  <c r="I67" i="1" s="1"/>
  <c r="L93" i="1"/>
  <c r="O103" i="1"/>
  <c r="O104" i="1"/>
  <c r="I53" i="1"/>
  <c r="I65" i="1"/>
  <c r="I86" i="1"/>
  <c r="J93" i="1"/>
  <c r="J103" i="1" s="1"/>
  <c r="M103" i="1"/>
  <c r="M104" i="1"/>
  <c r="L103" i="1"/>
  <c r="I112" i="1"/>
  <c r="I40" i="1"/>
  <c r="I49" i="1"/>
  <c r="I50" i="1" s="1"/>
  <c r="I54" i="1"/>
  <c r="I59" i="1"/>
  <c r="I60" i="1" s="1"/>
  <c r="I75" i="1"/>
  <c r="I77" i="1" s="1"/>
  <c r="I87" i="1"/>
  <c r="I88" i="1" s="1"/>
  <c r="I93" i="1"/>
  <c r="M93" i="1"/>
  <c r="M94" i="1"/>
  <c r="I95" i="1" s="1"/>
  <c r="I39" i="1"/>
  <c r="O93" i="1"/>
  <c r="O94" i="1"/>
  <c r="I55" i="1" l="1"/>
  <c r="I77" i="3"/>
  <c r="I50" i="3"/>
  <c r="I97" i="3"/>
  <c r="I103" i="3"/>
  <c r="I96" i="3"/>
  <c r="I106" i="3" s="1"/>
  <c r="I41" i="3"/>
  <c r="I96" i="1"/>
  <c r="I106" i="1" s="1"/>
  <c r="I105" i="1"/>
  <c r="I103" i="1"/>
  <c r="I97" i="1"/>
  <c r="I41" i="1"/>
  <c r="I107" i="3" l="1"/>
  <c r="I108" i="3" s="1"/>
  <c r="J128" i="3" s="1"/>
  <c r="H100" i="3" s="1"/>
  <c r="I100" i="3" s="1"/>
  <c r="I110" i="3" s="1"/>
  <c r="J126" i="3" s="1"/>
  <c r="H126" i="3" s="1"/>
  <c r="I111" i="3"/>
  <c r="I98" i="3"/>
  <c r="I111" i="1"/>
  <c r="I107" i="1"/>
  <c r="I108" i="1" s="1"/>
  <c r="J128" i="1" s="1"/>
  <c r="H100" i="1" s="1"/>
  <c r="I98" i="1"/>
  <c r="I100" i="1" l="1"/>
  <c r="I110" i="1" s="1"/>
  <c r="J126" i="1" s="1"/>
  <c r="H126" i="1" s="1"/>
</calcChain>
</file>

<file path=xl/sharedStrings.xml><?xml version="1.0" encoding="utf-8"?>
<sst xmlns="http://schemas.openxmlformats.org/spreadsheetml/2006/main" count="393" uniqueCount="139">
  <si>
    <t>Утверждена постановлением Госкомстата России</t>
  </si>
  <si>
    <t>Код</t>
  </si>
  <si>
    <t>0322005</t>
  </si>
  <si>
    <t>00139229</t>
  </si>
  <si>
    <t>Инвестор</t>
  </si>
  <si>
    <t>АО "Транснефть-Сибирь", 625048, г.Тюмень, ул.Республики 139, тел.(3452) 32-27-10, факс (3452) 20-25-97</t>
  </si>
  <si>
    <t>организация, адрес, телефон, факс</t>
  </si>
  <si>
    <t>57020318</t>
  </si>
  <si>
    <t>Подрядчик:</t>
  </si>
  <si>
    <t>ООО "Строигазконсалтинг", Российская Федерация, 121151, г. Москва, Наб. Тараса Шевченко, д.23а тел. (495) 280-08-08, факс (495) 280-06-06</t>
  </si>
  <si>
    <t>12491411</t>
  </si>
  <si>
    <t>Субподрядчик:</t>
  </si>
  <si>
    <t xml:space="preserve">ООО "Ямалмеханизация ", Российская Федерация, 629300, Тюменская область,  Ямало-Ненецкий автономный округ, г. Новый Уренгой,ул. Комсомольская, 5д, т. (3494) 23-72-49, факс (3494) 23-72-28  </t>
  </si>
  <si>
    <t>Стройка:</t>
  </si>
  <si>
    <t>Трубопроводная система "Заполярье - НПС "Пур-Пе". 1 очередь. 2 этап. БПО и ЦРС в пос. Коротчаево в районе г. Н.Уренгой</t>
  </si>
  <si>
    <t>наименование, адрес</t>
  </si>
  <si>
    <t>Объект:</t>
  </si>
  <si>
    <t>наименование</t>
  </si>
  <si>
    <t>45.21.1</t>
  </si>
  <si>
    <t>Договор подряда (контракт)</t>
  </si>
  <si>
    <t>номер</t>
  </si>
  <si>
    <t>СГК-13-105/06</t>
  </si>
  <si>
    <t>дата</t>
  </si>
  <si>
    <t>15.04.2013</t>
  </si>
  <si>
    <t>Номер документа</t>
  </si>
  <si>
    <t>Дата составления</t>
  </si>
  <si>
    <t>Отчётный период</t>
  </si>
  <si>
    <t>Общестроительные работы</t>
  </si>
  <si>
    <t>с</t>
  </si>
  <si>
    <t>по</t>
  </si>
  <si>
    <t xml:space="preserve">  АКТ</t>
  </si>
  <si>
    <t xml:space="preserve">  О ПРИЁМКЕ ВЫПОЛНЕННЫХ РАБОТ</t>
  </si>
  <si>
    <t>Составлено в ценах на 01.07.2012г.</t>
  </si>
  <si>
    <t xml:space="preserve">Сметная (договорная) стоимость в соответствии с договором подряда (субподряда) </t>
  </si>
  <si>
    <t>в руб.</t>
  </si>
  <si>
    <t>Номер</t>
  </si>
  <si>
    <t>Наименование работ</t>
  </si>
  <si>
    <t>Номер единичной расценки</t>
  </si>
  <si>
    <t>Единица измерения</t>
  </si>
  <si>
    <t>Выполнено работ</t>
  </si>
  <si>
    <t>по порядку</t>
  </si>
  <si>
    <t>позиции по смете</t>
  </si>
  <si>
    <t>Количество</t>
  </si>
  <si>
    <t>Цена за единицу, руб.</t>
  </si>
  <si>
    <t>Стоимость, руб.</t>
  </si>
  <si>
    <t>Затраты труда рабочих, чел/час.</t>
  </si>
  <si>
    <t>Всего</t>
  </si>
  <si>
    <t>Эксплуатации машин</t>
  </si>
  <si>
    <t xml:space="preserve">в т.ч </t>
  </si>
  <si>
    <t>Основная зарплата</t>
  </si>
  <si>
    <t>На единицу</t>
  </si>
  <si>
    <t>в т.ч. основная зарплата</t>
  </si>
  <si>
    <t>в т.ч. зарплата</t>
  </si>
  <si>
    <t>материальные ресурсы</t>
  </si>
  <si>
    <t>в т.ч. труба</t>
  </si>
  <si>
    <t>Разборка железобетонных полов на толщ.200мм</t>
  </si>
  <si>
    <t>ФЕР46-04-003-06</t>
  </si>
  <si>
    <t>1 м3</t>
  </si>
  <si>
    <t>р</t>
  </si>
  <si>
    <t>м</t>
  </si>
  <si>
    <t xml:space="preserve">Накладные расходы от ОЗП+ЗПМ= </t>
  </si>
  <si>
    <t xml:space="preserve">Сметная прибыль от ОЗП+ЗПМ= </t>
  </si>
  <si>
    <t>Сметная стоимость</t>
  </si>
  <si>
    <t>Погрузочные работы при автомобильных перевозках: мусора строительного с погрузкой экскаваторами емкостью ковша до 0,5 м3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0%=0%*0.85 от ФОТ
СП 0%=0%*0.8 от ФОТ</t>
  </si>
  <si>
    <t>ФССЦпг-01-01-01-043
Приказ Минстроя России от 12.11.14 №703/пр</t>
  </si>
  <si>
    <t>1 т груза</t>
  </si>
  <si>
    <t>Вывоз мусора, на расстояние: до 80 км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0%=0%*0.85 от ФОТ
СП 0%=0%*0.8 от ФОТ</t>
  </si>
  <si>
    <t>ФССЦпг-03-21-01-080
Приказ Минстроя РФ от 30.01.14 №31/пр</t>
  </si>
  <si>
    <t>Устройство тепло- и звукоизоляции засыпной: керамзитовой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(111744 руб.): 115%=135%*0.85 от ФОТ
СП (58301 руб.): 60%=75%*0.8 от ФОТ</t>
  </si>
  <si>
    <t>ФЕР11-01-008-03
Приказ Минстроя РФ от 30.01.14 №31/пр</t>
  </si>
  <si>
    <t>1 м3 изоляции</t>
  </si>
  <si>
    <t>Устройство стяжек: бетонных толщиной 20 мм
367,66 = 1 591,66 - 2,04 x 600,00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(397348 руб.): 115%=135%*0.85 от ФОТ
СП (207312 руб.): 60%=75%*0.8 от ФОТ</t>
  </si>
  <si>
    <t>ФЕР11-01-011-03
Приказ Минстроя РФ от 30.01.14 №31/пр</t>
  </si>
  <si>
    <t>100 м2 стяжки</t>
  </si>
  <si>
    <t>Устройство стяжек: на каждые 5 мм изменения толщины стяжки добавлять или исключать к расценке 11-01-011-03
11,62 = 317,62 - 0,51 x 600,00
(До 50мм ПЗ=6 (ОЗП=6; ЭМ=6 к расх.; ЗПМ=6; МАТ=6 к расх.; ТЗ=6; ТЗМ=6))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(48082 руб.): 115%=135%*0.85 от ФОТ
СП (25086 руб.): 60%=75%*0.8 от ФОТ</t>
  </si>
  <si>
    <t>ФЕР11-01-011-04
Приказ Минстроя РФ от 30.01.14 №31/пр</t>
  </si>
  <si>
    <t>Бетон тяжелый, класс В15 (М200)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</t>
  </si>
  <si>
    <t>ФССЦ-401-0006
Приказ Минстроя России от 12.11.14 №703/пр</t>
  </si>
  <si>
    <t>м3</t>
  </si>
  <si>
    <t>Армирование подстилающих слоев и набетонок
149,09 = 6 084,69 - 0,028 x 10 200,00 - 1 x 5 650,00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(37034 руб.): 99%=116%*0.85 от ФОТ
СП (19452 руб.): 52%=65%*0.8 от ФОТ</t>
  </si>
  <si>
    <t>ФЕР06-01-015-10
Приказ Минстроя РФ от 30.01.14 №31/пр</t>
  </si>
  <si>
    <t>1 т</t>
  </si>
  <si>
    <t>Горячекатаная арматурная сталь периодического профиля класса А-III, диаметром 12 мм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</t>
  </si>
  <si>
    <t>ФССЦ-204-0022
Приказ Минстроя России от 12.11.14 №703/пр</t>
  </si>
  <si>
    <t>т</t>
  </si>
  <si>
    <t>Надбавки к ценам заготовок за сборку и сварку каркасов и сеток плоских, диаметром 12 мм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</t>
  </si>
  <si>
    <t>ФССЦ-204-0037
Приказ Минстроя России от 12.11.14 №703/пр</t>
  </si>
  <si>
    <t>Разборка: железобетонного пола толщ. 200 мм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(-3535019 руб.): 121%*0.85 от ФОТ
СП (-1924755 руб.): 70%*0.8 от ФОТ</t>
  </si>
  <si>
    <t>ФЕР46-04-001-03
Приказ Минстроя РФ от 30.01.14 №31/пр</t>
  </si>
  <si>
    <t>Погрузочные работы при автомобильных перевозках: мусора строительного с погрузкой транспортерами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0%*0.85 от ФОТ
СП 0%*0.8 от ФОТ</t>
  </si>
  <si>
    <t>ФССЦпг-01-01-01-042
Приказ Минстроя России от 12.11.14 №703/пр</t>
  </si>
  <si>
    <t>Перевозка грузов автомобилями-самосвалами грузоподъемностью 10 т, работающих вне карьера, на расстояние: до 80 км I класс груза
ИНДЕКС К ПОЗИЦИИ:
3 Отраслевой индекс ОЗП=1,63; ЭМ=1,21; ЗПМ=1,63
Пересчет в цены 1кв.2012г ОЗП=20,52; ЭМ=6,85; ЗПМ=20,52; МАТ=5,77 (3-й уровень);
Пересчет от 1 кв. 2012г к ценам 2 кв. 2012г ОЗП=1,0206; ЭМ=1,0206; ЗПМ=1,0206; МАТ=1,0206 (6-й уровень)
НР 0% от ФОТ
СП 0% от ФОТ</t>
  </si>
  <si>
    <t>Раздел 2. Демонтажные работы (работы выполненные и демонтированные)</t>
  </si>
  <si>
    <t>Разборка: железобетонных полов</t>
  </si>
  <si>
    <t>ФЕР46-04-001-03</t>
  </si>
  <si>
    <t>Погрузочные работы при автомобильных перевозках:  (с использованием погрузчика)</t>
  </si>
  <si>
    <t>ФССЦпг-01-01-01-045</t>
  </si>
  <si>
    <t>Вывоз мусора, на расстояние: до 80 км</t>
  </si>
  <si>
    <t>ФССЦпг-03-21-01-080</t>
  </si>
  <si>
    <t xml:space="preserve">Итого по разделу : </t>
  </si>
  <si>
    <t>ФОТ</t>
  </si>
  <si>
    <t>Накладные расходы по разделу:</t>
  </si>
  <si>
    <t>Сметная прибыль по разделу:</t>
  </si>
  <si>
    <t>Всего по разделу:</t>
  </si>
  <si>
    <t>Всего по разделу с коэф:</t>
  </si>
  <si>
    <t xml:space="preserve">Итого по п.   контракта </t>
  </si>
  <si>
    <t>Накладные расходы</t>
  </si>
  <si>
    <t>Сметная прибыль</t>
  </si>
  <si>
    <t>Всего по разделам:</t>
  </si>
  <si>
    <t>Всего по контракту: (по п.   и   .1)</t>
  </si>
  <si>
    <t>По КС-6 за отчетный период</t>
  </si>
  <si>
    <t xml:space="preserve">Составил:   </t>
  </si>
  <si>
    <t>СМУ   ООО "Ямалмеханизация"</t>
  </si>
  <si>
    <t>АОСР №</t>
  </si>
  <si>
    <t xml:space="preserve"> (подпись)     </t>
  </si>
  <si>
    <t>(расшифровка подписи)</t>
  </si>
  <si>
    <t>Единица изме рения</t>
  </si>
  <si>
    <t>Количество работ по смете</t>
  </si>
  <si>
    <t>Сметная (договорная) стоимость, руб.</t>
  </si>
  <si>
    <t>Всего по контракту</t>
  </si>
  <si>
    <t>берётся с контракта</t>
  </si>
  <si>
    <t>За отчетный период</t>
  </si>
  <si>
    <t>расчёт (не трогать формулы)</t>
  </si>
  <si>
    <t>приблизительно</t>
  </si>
  <si>
    <t>подставить вручную</t>
  </si>
  <si>
    <t>Разборка железобетонных полов .   (по контракту поз. 205.4 )</t>
  </si>
  <si>
    <r>
      <t xml:space="preserve"> Локальная смета №</t>
    </r>
    <r>
      <rPr>
        <b/>
        <sz val="11"/>
        <color rgb="FFFF0000"/>
        <rFont val="Times New Roman"/>
        <family val="1"/>
        <charset val="204"/>
      </rPr>
      <t xml:space="preserve"> 4-205.4</t>
    </r>
  </si>
  <si>
    <t>Гараж (656.2)</t>
  </si>
  <si>
    <t xml:space="preserve">№ 02-04-01 </t>
  </si>
  <si>
    <t>Основание: Г.4.0000.0001/1-И-СНП-Заполярье/ГТП/1.2-06.656.2 ВР АР,КЖ,КМ</t>
  </si>
  <si>
    <t>02-04-01  разр. 813-15  доб.</t>
  </si>
  <si>
    <t>02-04-01  разр. 902-15  искл.</t>
  </si>
  <si>
    <t>02-04-01  разр. 1028-15  добав</t>
  </si>
  <si>
    <t>всего</t>
  </si>
  <si>
    <t>остаток</t>
  </si>
  <si>
    <t>111</t>
  </si>
  <si>
    <r>
      <t xml:space="preserve"> Локальная смета №</t>
    </r>
    <r>
      <rPr>
        <b/>
        <sz val="11"/>
        <color rgb="FFFF0000"/>
        <rFont val="Times New Roman"/>
        <family val="1"/>
        <charset val="204"/>
      </rPr>
      <t xml:space="preserve"> 111</t>
    </r>
  </si>
  <si>
    <t>Основание:111</t>
  </si>
  <si>
    <t xml:space="preserve">Разборка железобетонных полов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</si>
</sst>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0.00000"/>
    <numFmt numFmtId="165" formatCode="_-* #,##0_р_._-;\-* #,##0_р_._-;_-* &quot;-&quot;??_р_._-;_-@_-"/>
    <numFmt numFmtId="166" formatCode="0.000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1"/>
      <color rgb="FFC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9" fillId="0" borderId="0"/>
    <xf numFmtId="0" fontId="2" fillId="0" borderId="0" applyFont="0" applyFill="0" applyBorder="0" applyAlignment="0" applyProtection="0"/>
    <xf numFmtId="0" fontId="9" fillId="0" borderId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5" fillId="0" borderId="1">
      <alignment horizontal="center"/>
    </xf>
    <xf numFmtId="0" fontId="2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1" applyFill="0" applyProtection="0">
      <alignment horizontal="center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 applyProtection="0"/>
    <xf numFmtId="0" fontId="2" fillId="0" borderId="0" applyProtection="0"/>
    <xf numFmtId="0" fontId="5" fillId="0" borderId="0"/>
    <xf numFmtId="0" fontId="5" fillId="0" borderId="1">
      <alignment horizontal="center" wrapText="1"/>
    </xf>
    <xf numFmtId="9" fontId="9" fillId="0" borderId="0" applyFont="0" applyFill="0" applyBorder="0" applyAlignment="0" applyProtection="0"/>
    <xf numFmtId="0" fontId="5" fillId="0" borderId="1">
      <alignment horizontal="center"/>
    </xf>
    <xf numFmtId="0" fontId="5" fillId="0" borderId="1">
      <alignment horizontal="center" wrapText="1"/>
    </xf>
    <xf numFmtId="0" fontId="2" fillId="0" borderId="0"/>
    <xf numFmtId="0" fontId="5" fillId="0" borderId="1">
      <alignment horizontal="center"/>
    </xf>
    <xf numFmtId="0" fontId="5" fillId="0" borderId="1">
      <alignment horizontal="center"/>
    </xf>
    <xf numFmtId="166" fontId="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>
      <alignment horizontal="left" vertical="top"/>
    </xf>
    <xf numFmtId="0" fontId="5" fillId="0" borderId="0"/>
  </cellStyleXfs>
  <cellXfs count="265">
    <xf numFmtId="0" fontId="0" fillId="0" borderId="0" xfId="0"/>
    <xf numFmtId="0" fontId="3" fillId="0" borderId="0" xfId="1" applyNumberFormat="1" applyFont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0" xfId="2" applyFont="1"/>
    <xf numFmtId="0" fontId="5" fillId="0" borderId="0" xfId="0" applyFont="1" applyFill="1"/>
    <xf numFmtId="0" fontId="3" fillId="0" borderId="0" xfId="1" applyFont="1" applyFill="1" applyAlignment="1">
      <alignment horizontal="right" vertical="center" wrapText="1"/>
    </xf>
    <xf numFmtId="0" fontId="3" fillId="0" borderId="0" xfId="2" applyFont="1"/>
    <xf numFmtId="0" fontId="5" fillId="0" borderId="0" xfId="2" applyFont="1"/>
    <xf numFmtId="0" fontId="6" fillId="0" borderId="0" xfId="3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7" fillId="0" borderId="0" xfId="1" applyNumberFormat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</xf>
    <xf numFmtId="0" fontId="3" fillId="0" borderId="0" xfId="1" applyNumberFormat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0" fontId="10" fillId="0" borderId="0" xfId="0" applyFont="1" applyFill="1"/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5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Alignment="1">
      <alignment horizontal="left"/>
    </xf>
    <xf numFmtId="49" fontId="5" fillId="0" borderId="0" xfId="5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NumberFormat="1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righ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NumberFormat="1" applyFont="1" applyFill="1" applyBorder="1" applyAlignment="1">
      <alignment horizontal="left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9" fontId="5" fillId="2" borderId="1" xfId="0" applyNumberFormat="1" applyFont="1" applyFill="1" applyBorder="1" applyAlignment="1">
      <alignment horizontal="center" vertical="center"/>
    </xf>
    <xf numFmtId="2" fontId="5" fillId="0" borderId="1" xfId="6" applyNumberFormat="1" applyFont="1" applyFill="1" applyBorder="1" applyAlignment="1">
      <alignment horizontal="center" vertical="center"/>
    </xf>
    <xf numFmtId="1" fontId="5" fillId="0" borderId="1" xfId="6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right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10" fillId="0" borderId="1" xfId="8" applyNumberFormat="1" applyFont="1" applyFill="1" applyBorder="1" applyAlignment="1">
      <alignment horizontal="center" vertical="center"/>
    </xf>
    <xf numFmtId="2" fontId="5" fillId="0" borderId="1" xfId="9" applyNumberFormat="1" applyFont="1" applyFill="1" applyBorder="1" applyAlignment="1">
      <alignment horizontal="center" vertical="center"/>
    </xf>
    <xf numFmtId="3" fontId="5" fillId="0" borderId="1" xfId="8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/>
    <xf numFmtId="0" fontId="14" fillId="0" borderId="0" xfId="0" applyFont="1" applyFill="1" applyAlignment="1">
      <alignment horizontal="left"/>
    </xf>
    <xf numFmtId="3" fontId="5" fillId="3" borderId="1" xfId="8" applyNumberFormat="1" applyFont="1" applyFill="1" applyBorder="1" applyAlignment="1">
      <alignment horizontal="center" vertical="center"/>
    </xf>
    <xf numFmtId="165" fontId="5" fillId="3" borderId="1" xfId="8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5" fillId="3" borderId="1" xfId="0" applyFont="1" applyFill="1" applyBorder="1"/>
    <xf numFmtId="0" fontId="10" fillId="3" borderId="14" xfId="0" applyFont="1" applyFill="1" applyBorder="1" applyAlignment="1">
      <alignment horizontal="right" vertical="center"/>
    </xf>
    <xf numFmtId="0" fontId="10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Border="1" applyAlignment="1">
      <alignment horizontal="right" vertical="center"/>
    </xf>
    <xf numFmtId="0" fontId="10" fillId="3" borderId="15" xfId="0" applyFont="1" applyFill="1" applyBorder="1" applyAlignment="1">
      <alignment horizontal="right" vertical="center"/>
    </xf>
    <xf numFmtId="164" fontId="5" fillId="3" borderId="12" xfId="9" applyNumberFormat="1" applyFont="1" applyFill="1" applyBorder="1" applyAlignment="1">
      <alignment horizontal="center" vertical="center"/>
    </xf>
    <xf numFmtId="4" fontId="6" fillId="3" borderId="12" xfId="8" applyNumberFormat="1" applyFont="1" applyFill="1" applyBorder="1" applyAlignment="1">
      <alignment horizontal="center" vertical="center"/>
    </xf>
    <xf numFmtId="0" fontId="5" fillId="3" borderId="11" xfId="0" applyFont="1" applyFill="1" applyBorder="1"/>
    <xf numFmtId="0" fontId="5" fillId="0" borderId="0" xfId="0" applyNumberFormat="1" applyFont="1" applyFill="1"/>
    <xf numFmtId="0" fontId="5" fillId="0" borderId="0" xfId="0" applyFont="1" applyFill="1" applyAlignment="1">
      <alignment wrapText="1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Border="1"/>
    <xf numFmtId="0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2" fillId="4" borderId="0" xfId="10" applyFont="1" applyFill="1" applyBorder="1"/>
    <xf numFmtId="0" fontId="2" fillId="0" borderId="0" xfId="10" applyFont="1" applyFill="1"/>
    <xf numFmtId="0" fontId="5" fillId="0" borderId="0" xfId="11" applyNumberFormat="1" applyFont="1" applyFill="1" applyBorder="1" applyAlignment="1">
      <alignment vertical="top"/>
    </xf>
    <xf numFmtId="0" fontId="5" fillId="5" borderId="0" xfId="0" applyFont="1" applyFill="1" applyBorder="1" applyAlignment="1">
      <alignment wrapText="1"/>
    </xf>
    <xf numFmtId="0" fontId="5" fillId="5" borderId="0" xfId="0" applyFont="1" applyFill="1" applyBorder="1"/>
    <xf numFmtId="0" fontId="5" fillId="0" borderId="0" xfId="11" applyFont="1" applyFill="1" applyBorder="1" applyAlignment="1">
      <alignment horizontal="center" vertical="top"/>
    </xf>
    <xf numFmtId="0" fontId="5" fillId="0" borderId="0" xfId="11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NumberFormat="1" applyFont="1" applyFill="1" applyBorder="1"/>
    <xf numFmtId="0" fontId="15" fillId="0" borderId="3" xfId="0" applyFont="1" applyFill="1" applyBorder="1"/>
    <xf numFmtId="3" fontId="11" fillId="0" borderId="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right"/>
    </xf>
    <xf numFmtId="0" fontId="17" fillId="0" borderId="0" xfId="0" applyFont="1" applyFill="1" applyBorder="1" applyAlignment="1"/>
    <xf numFmtId="0" fontId="15" fillId="0" borderId="0" xfId="0" applyFont="1" applyFill="1" applyBorder="1" applyAlignment="1"/>
    <xf numFmtId="0" fontId="10" fillId="0" borderId="0" xfId="0" applyFont="1" applyFill="1" applyBorder="1" applyAlignment="1"/>
    <xf numFmtId="3" fontId="15" fillId="0" borderId="0" xfId="0" applyNumberFormat="1" applyFont="1" applyFill="1" applyBorder="1" applyAlignment="1"/>
    <xf numFmtId="3" fontId="18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/>
    <xf numFmtId="0" fontId="19" fillId="0" borderId="0" xfId="0" applyFont="1" applyFill="1" applyBorder="1" applyAlignment="1"/>
    <xf numFmtId="0" fontId="5" fillId="0" borderId="0" xfId="0" applyFont="1" applyFill="1" applyBorder="1" applyAlignment="1">
      <alignment horizontal="left" vertical="top" wrapText="1"/>
    </xf>
    <xf numFmtId="0" fontId="11" fillId="0" borderId="0" xfId="12" applyFont="1" applyFill="1" applyBorder="1" applyAlignment="1"/>
    <xf numFmtId="2" fontId="11" fillId="0" borderId="0" xfId="12" applyNumberFormat="1" applyFont="1" applyFill="1" applyBorder="1" applyAlignment="1"/>
    <xf numFmtId="4" fontId="11" fillId="0" borderId="0" xfId="12" applyNumberFormat="1" applyFont="1" applyFill="1" applyBorder="1" applyAlignment="1">
      <alignment horizontal="center"/>
    </xf>
    <xf numFmtId="3" fontId="11" fillId="0" borderId="0" xfId="12" applyNumberFormat="1" applyFont="1" applyFill="1" applyBorder="1" applyAlignment="1">
      <alignment horizontal="center"/>
    </xf>
    <xf numFmtId="4" fontId="11" fillId="0" borderId="0" xfId="12" applyNumberFormat="1" applyFont="1" applyFill="1" applyBorder="1" applyAlignment="1"/>
    <xf numFmtId="0" fontId="5" fillId="0" borderId="0" xfId="0" applyNumberFormat="1" applyFont="1" applyFill="1" applyAlignment="1"/>
    <xf numFmtId="0" fontId="5" fillId="0" borderId="0" xfId="0" applyFont="1" applyFill="1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20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5" fillId="0" borderId="21" xfId="0" applyFont="1" applyFill="1" applyBorder="1"/>
    <xf numFmtId="0" fontId="21" fillId="0" borderId="22" xfId="0" applyFont="1" applyBorder="1" applyAlignment="1">
      <alignment horizontal="right" vertical="center"/>
    </xf>
    <xf numFmtId="0" fontId="0" fillId="0" borderId="23" xfId="0" applyBorder="1"/>
    <xf numFmtId="0" fontId="0" fillId="0" borderId="23" xfId="0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0" xfId="0" applyFont="1" applyFill="1" applyAlignment="1">
      <alignment vertical="top"/>
    </xf>
    <xf numFmtId="2" fontId="24" fillId="0" borderId="1" xfId="0" applyNumberFormat="1" applyFont="1" applyFill="1" applyBorder="1" applyAlignment="1">
      <alignment horizontal="center" vertical="center"/>
    </xf>
    <xf numFmtId="1" fontId="24" fillId="0" borderId="1" xfId="6" applyNumberFormat="1" applyFont="1" applyFill="1" applyBorder="1" applyAlignment="1">
      <alignment horizontal="center" vertical="center"/>
    </xf>
    <xf numFmtId="4" fontId="21" fillId="0" borderId="24" xfId="0" applyNumberFormat="1" applyFont="1" applyBorder="1" applyAlignment="1">
      <alignment horizontal="right" vertical="center"/>
    </xf>
    <xf numFmtId="4" fontId="24" fillId="0" borderId="0" xfId="0" applyNumberFormat="1" applyFont="1" applyFill="1" applyAlignment="1">
      <alignment horizontal="right" vertical="center"/>
    </xf>
    <xf numFmtId="0" fontId="25" fillId="0" borderId="0" xfId="0" applyFont="1"/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6" fillId="0" borderId="7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2" fontId="5" fillId="0" borderId="11" xfId="9" applyNumberFormat="1" applyFont="1" applyFill="1" applyBorder="1" applyAlignment="1">
      <alignment horizontal="center" vertical="center"/>
    </xf>
    <xf numFmtId="2" fontId="5" fillId="0" borderId="13" xfId="9" applyNumberFormat="1" applyFont="1" applyFill="1" applyBorder="1" applyAlignment="1">
      <alignment horizontal="center" vertical="center"/>
    </xf>
    <xf numFmtId="3" fontId="13" fillId="0" borderId="11" xfId="8" applyNumberFormat="1" applyFont="1" applyFill="1" applyBorder="1" applyAlignment="1">
      <alignment horizontal="center" vertical="center"/>
    </xf>
    <xf numFmtId="3" fontId="13" fillId="0" borderId="13" xfId="8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0" fillId="3" borderId="10" xfId="0" applyFont="1" applyFill="1" applyBorder="1" applyAlignment="1">
      <alignment horizontal="right" vertical="center"/>
    </xf>
    <xf numFmtId="164" fontId="5" fillId="3" borderId="11" xfId="9" applyNumberFormat="1" applyFont="1" applyFill="1" applyBorder="1" applyAlignment="1">
      <alignment horizontal="center" vertical="center"/>
    </xf>
    <xf numFmtId="164" fontId="5" fillId="3" borderId="13" xfId="9" applyNumberFormat="1" applyFont="1" applyFill="1" applyBorder="1" applyAlignment="1">
      <alignment horizontal="center" vertical="center"/>
    </xf>
    <xf numFmtId="4" fontId="6" fillId="3" borderId="11" xfId="8" applyNumberFormat="1" applyFont="1" applyFill="1" applyBorder="1" applyAlignment="1">
      <alignment horizontal="center" vertical="center"/>
    </xf>
    <xf numFmtId="4" fontId="6" fillId="3" borderId="13" xfId="8" applyNumberFormat="1" applyFont="1" applyFill="1" applyBorder="1" applyAlignment="1">
      <alignment horizontal="center" vertical="center"/>
    </xf>
    <xf numFmtId="3" fontId="10" fillId="0" borderId="11" xfId="8" applyNumberFormat="1" applyFont="1" applyFill="1" applyBorder="1" applyAlignment="1">
      <alignment horizontal="center" vertical="center"/>
    </xf>
    <xf numFmtId="3" fontId="10" fillId="0" borderId="13" xfId="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2" fontId="5" fillId="0" borderId="11" xfId="7" applyNumberFormat="1" applyFont="1" applyFill="1" applyBorder="1" applyAlignment="1">
      <alignment horizontal="center" vertical="center"/>
    </xf>
    <xf numFmtId="2" fontId="5" fillId="0" borderId="13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1" fontId="5" fillId="0" borderId="1" xfId="6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right" vertical="center"/>
    </xf>
    <xf numFmtId="0" fontId="5" fillId="0" borderId="6" xfId="0" applyNumberFormat="1" applyFont="1" applyFill="1" applyBorder="1" applyAlignment="1">
      <alignment horizontal="right" vertical="center"/>
    </xf>
    <xf numFmtId="1" fontId="5" fillId="0" borderId="11" xfId="0" applyNumberFormat="1" applyFont="1" applyFill="1" applyBorder="1" applyAlignment="1">
      <alignment horizontal="center" vertical="center"/>
    </xf>
    <xf numFmtId="1" fontId="5" fillId="0" borderId="13" xfId="0" applyNumberFormat="1" applyFont="1" applyFill="1" applyBorder="1" applyAlignment="1">
      <alignment horizontal="center" vertical="center"/>
    </xf>
    <xf numFmtId="1" fontId="5" fillId="0" borderId="11" xfId="6" applyNumberFormat="1" applyFont="1" applyFill="1" applyBorder="1" applyAlignment="1">
      <alignment horizontal="center" vertical="center"/>
    </xf>
    <xf numFmtId="1" fontId="5" fillId="0" borderId="13" xfId="6" applyNumberFormat="1" applyFont="1" applyFill="1" applyBorder="1" applyAlignment="1">
      <alignment horizontal="center" vertical="center"/>
    </xf>
    <xf numFmtId="1" fontId="24" fillId="0" borderId="1" xfId="6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10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0" fontId="5" fillId="0" borderId="7" xfId="5" applyFont="1" applyFill="1" applyBorder="1" applyAlignment="1" applyProtection="1">
      <alignment horizontal="center" vertical="center" wrapText="1"/>
      <protection locked="0"/>
    </xf>
    <xf numFmtId="0" fontId="5" fillId="0" borderId="8" xfId="5" applyFont="1" applyFill="1" applyBorder="1" applyAlignment="1" applyProtection="1">
      <alignment horizontal="center" vertical="center" wrapText="1"/>
      <protection locked="0"/>
    </xf>
    <xf numFmtId="0" fontId="5" fillId="0" borderId="9" xfId="5" applyFont="1" applyFill="1" applyBorder="1" applyAlignment="1" applyProtection="1">
      <alignment horizontal="center" vertical="center" wrapText="1"/>
      <protection locked="0"/>
    </xf>
    <xf numFmtId="0" fontId="5" fillId="0" borderId="10" xfId="5" applyFont="1" applyFill="1" applyBorder="1" applyAlignment="1" applyProtection="1">
      <alignment horizontal="center" vertical="center" wrapText="1"/>
      <protection locked="0"/>
    </xf>
    <xf numFmtId="49" fontId="5" fillId="0" borderId="2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5" applyNumberFormat="1" applyFont="1" applyFill="1" applyBorder="1" applyAlignment="1" applyProtection="1">
      <alignment horizontal="center" vertical="center" wrapText="1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6" xfId="0" applyNumberFormat="1" applyFont="1" applyFill="1" applyBorder="1"/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17" fontId="25" fillId="0" borderId="11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</cellXfs>
  <cellStyles count="52">
    <cellStyle name="Акт" xfId="13"/>
    <cellStyle name="АктМТСН" xfId="14"/>
    <cellStyle name="ВедРесурсов" xfId="15"/>
    <cellStyle name="ВедРесурсовАкт" xfId="16"/>
    <cellStyle name="Итоги" xfId="17"/>
    <cellStyle name="ИтогоАктБазЦ" xfId="18"/>
    <cellStyle name="ИтогоАктБИМ" xfId="19"/>
    <cellStyle name="ИтогоАктРесМет" xfId="20"/>
    <cellStyle name="ИтогоАктТекЦ" xfId="21"/>
    <cellStyle name="ИтогоБазЦ" xfId="22"/>
    <cellStyle name="ИтогоБИМ" xfId="23"/>
    <cellStyle name="ИтогоРесМет" xfId="24"/>
    <cellStyle name="ИтогоТекЦ" xfId="25"/>
    <cellStyle name="ЛокСмета" xfId="26"/>
    <cellStyle name="ЛокСмМТСН" xfId="27"/>
    <cellStyle name="М29" xfId="28"/>
    <cellStyle name="ОбСмета" xfId="29"/>
    <cellStyle name="Обычный" xfId="0" builtinId="0"/>
    <cellStyle name="Обычный 11" xfId="30"/>
    <cellStyle name="Обычный 2" xfId="31"/>
    <cellStyle name="Обычный 2 10" xfId="32"/>
    <cellStyle name="Обычный 2 2" xfId="10"/>
    <cellStyle name="Обычный 2 2 2 2" xfId="33"/>
    <cellStyle name="Обычный 3" xfId="34"/>
    <cellStyle name="Обычный 3 2" xfId="35"/>
    <cellStyle name="Обычный 3 3" xfId="36"/>
    <cellStyle name="Обычный 3 4" xfId="2"/>
    <cellStyle name="Обычный 4" xfId="37"/>
    <cellStyle name="Обычный 608" xfId="38"/>
    <cellStyle name="Обычный_2.Приложение2 КС-2 2" xfId="4"/>
    <cellStyle name="Обычный_КС-2 КСУ УЗА исправлено 2" xfId="1"/>
    <cellStyle name="Обычный_МС-12 Ф.2,Ф.3 март ." xfId="12"/>
    <cellStyle name="Обычный_Приложение Б. Форма КС-2" xfId="3"/>
    <cellStyle name="Обычный_СГАТ ПК 180" xfId="7"/>
    <cellStyle name="Обычный_Ф-2 ад2 2 2" xfId="11"/>
    <cellStyle name="Обычный_Ф-2 Апрель ЗПГС1" xfId="5"/>
    <cellStyle name="Параметр" xfId="39"/>
    <cellStyle name="ПеременныеСметы" xfId="40"/>
    <cellStyle name="Процентный 2" xfId="41"/>
    <cellStyle name="РесСмета" xfId="42"/>
    <cellStyle name="СводкаСтоимРаб" xfId="43"/>
    <cellStyle name="СводРасч" xfId="44"/>
    <cellStyle name="Титул" xfId="45"/>
    <cellStyle name="Титул 2" xfId="46"/>
    <cellStyle name="Финансовый 2" xfId="47"/>
    <cellStyle name="Финансовый 2 4" xfId="8"/>
    <cellStyle name="Финансовый 5" xfId="6"/>
    <cellStyle name="Финансовый 7" xfId="48"/>
    <cellStyle name="Финансовый 7 3" xfId="49"/>
    <cellStyle name="Финансовый_Земполотно лс5-10-1ри" xfId="9"/>
    <cellStyle name="Хвост" xfId="50"/>
    <cellStyle name="Экспертиза" xfId="5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V131"/>
  <sheetViews>
    <sheetView view="pageBreakPreview" topLeftCell="A68" zoomScale="70" zoomScaleNormal="100" zoomScaleSheetLayoutView="70" workbookViewId="0">
      <selection activeCell="H100" sqref="H100:H101"/>
    </sheetView>
  </sheetViews>
  <sheetFormatPr defaultRowHeight="12.75" x14ac:dyDescent="0.2"/>
  <cols>
    <col min="1" max="1" width="10.28515625" style="5" customWidth="1"/>
    <col min="2" max="2" width="8.5703125" style="92" customWidth="1"/>
    <col min="3" max="3" width="36.140625" style="93" customWidth="1"/>
    <col min="4" max="4" width="13.85546875" style="5" customWidth="1"/>
    <col min="5" max="5" width="11" style="5" customWidth="1"/>
    <col min="6" max="6" width="12.7109375" style="92" customWidth="1"/>
    <col min="7" max="7" width="13" style="5" customWidth="1"/>
    <col min="8" max="8" width="13.7109375" style="5" customWidth="1"/>
    <col min="9" max="9" width="14.7109375" style="29" customWidth="1"/>
    <col min="10" max="10" width="13.85546875" style="29" customWidth="1"/>
    <col min="11" max="12" width="12.5703125" style="29" customWidth="1"/>
    <col min="13" max="13" width="13.85546875" style="5" customWidth="1"/>
    <col min="14" max="15" width="11.85546875" style="5" customWidth="1"/>
    <col min="16" max="16" width="9.140625" style="5"/>
    <col min="17" max="17" width="10.140625" bestFit="1" customWidth="1"/>
    <col min="45" max="16384" width="9.140625" style="5"/>
  </cols>
  <sheetData>
    <row r="1" spans="1:256" ht="15" customHeight="1" x14ac:dyDescent="0.2">
      <c r="A1" s="1"/>
      <c r="B1" s="1"/>
      <c r="C1" s="2"/>
      <c r="D1" s="2"/>
      <c r="E1" s="2"/>
      <c r="F1" s="3"/>
      <c r="G1" s="3"/>
      <c r="H1" s="3"/>
      <c r="I1" s="3"/>
      <c r="J1" s="2"/>
      <c r="K1" s="2"/>
      <c r="L1" s="254" t="s">
        <v>0</v>
      </c>
      <c r="M1" s="254"/>
      <c r="N1" s="254"/>
      <c r="O1" s="254"/>
      <c r="P1" s="2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15" customHeight="1" x14ac:dyDescent="0.25">
      <c r="A2" s="2"/>
      <c r="B2" s="1"/>
      <c r="C2" s="2"/>
      <c r="D2" s="2"/>
      <c r="E2" s="2"/>
      <c r="F2" s="3"/>
      <c r="G2" s="3"/>
      <c r="H2" s="3"/>
      <c r="I2" s="3"/>
      <c r="J2" s="2"/>
      <c r="K2" s="2"/>
      <c r="L2" s="2"/>
      <c r="M2" s="2"/>
      <c r="N2" s="2"/>
      <c r="O2" s="2"/>
      <c r="P2" s="6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5" customHeight="1" x14ac:dyDescent="0.2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52" t="s">
        <v>1</v>
      </c>
      <c r="O3" s="253"/>
      <c r="P3" s="3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 x14ac:dyDescent="0.2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55" t="s">
        <v>2</v>
      </c>
      <c r="O4" s="256"/>
      <c r="P4" s="3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" customHeight="1" x14ac:dyDescent="0.2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55" t="s">
        <v>3</v>
      </c>
      <c r="O5" s="256"/>
      <c r="P5" s="3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5" customHeight="1" x14ac:dyDescent="0.25">
      <c r="A6" s="2" t="s">
        <v>4</v>
      </c>
      <c r="B6" s="257" t="s">
        <v>5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9"/>
      <c r="N6" s="255"/>
      <c r="O6" s="256"/>
      <c r="P6" s="9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15" customHeight="1" x14ac:dyDescent="0.2">
      <c r="A7" s="2"/>
      <c r="B7" s="241" t="s">
        <v>6</v>
      </c>
      <c r="C7" s="241"/>
      <c r="D7" s="241"/>
      <c r="E7" s="241"/>
      <c r="F7" s="241"/>
      <c r="G7" s="241"/>
      <c r="H7" s="10"/>
      <c r="I7" s="10"/>
      <c r="J7" s="10"/>
      <c r="K7" s="10"/>
      <c r="L7" s="10"/>
      <c r="M7" s="11"/>
      <c r="N7" s="249" t="s">
        <v>7</v>
      </c>
      <c r="O7" s="250"/>
      <c r="P7" s="11"/>
    </row>
    <row r="8" spans="1:256" ht="15" customHeight="1" x14ac:dyDescent="0.2">
      <c r="A8" s="2" t="s">
        <v>8</v>
      </c>
      <c r="B8" s="244" t="s">
        <v>9</v>
      </c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12"/>
      <c r="N8" s="249"/>
      <c r="O8" s="250"/>
      <c r="P8" s="12"/>
    </row>
    <row r="9" spans="1:256" ht="15" customHeight="1" x14ac:dyDescent="0.2">
      <c r="A9" s="2"/>
      <c r="B9" s="241" t="s">
        <v>6</v>
      </c>
      <c r="C9" s="241"/>
      <c r="D9" s="241"/>
      <c r="E9" s="241"/>
      <c r="F9" s="241"/>
      <c r="G9" s="241"/>
      <c r="H9" s="241"/>
      <c r="I9" s="241"/>
      <c r="J9" s="10"/>
      <c r="K9" s="10"/>
      <c r="L9" s="10"/>
      <c r="M9" s="11"/>
      <c r="N9" s="249" t="s">
        <v>10</v>
      </c>
      <c r="O9" s="250"/>
      <c r="P9" s="11"/>
    </row>
    <row r="10" spans="1:256" ht="15" customHeight="1" x14ac:dyDescent="0.2">
      <c r="A10" s="2" t="s">
        <v>11</v>
      </c>
      <c r="B10" s="251" t="s">
        <v>12</v>
      </c>
      <c r="C10" s="251"/>
      <c r="D10" s="251"/>
      <c r="E10" s="251"/>
      <c r="F10" s="251"/>
      <c r="G10" s="251"/>
      <c r="H10" s="251"/>
      <c r="I10" s="251"/>
      <c r="J10" s="251"/>
      <c r="K10" s="13"/>
      <c r="L10" s="13"/>
      <c r="M10" s="12"/>
      <c r="N10" s="249"/>
      <c r="O10" s="250"/>
      <c r="P10" s="12"/>
    </row>
    <row r="11" spans="1:256" ht="15" customHeight="1" x14ac:dyDescent="0.2">
      <c r="A11" s="2"/>
      <c r="B11" s="241" t="s">
        <v>6</v>
      </c>
      <c r="C11" s="241"/>
      <c r="D11" s="241"/>
      <c r="E11" s="241"/>
      <c r="F11" s="241"/>
      <c r="G11" s="241"/>
      <c r="H11" s="241"/>
      <c r="I11" s="241"/>
      <c r="J11" s="241"/>
      <c r="K11" s="10"/>
      <c r="L11" s="10"/>
      <c r="M11" s="11"/>
      <c r="N11" s="252"/>
      <c r="O11" s="253"/>
      <c r="P11" s="11"/>
    </row>
    <row r="12" spans="1:256" ht="15" customHeight="1" x14ac:dyDescent="0.2">
      <c r="A12" s="2" t="s">
        <v>13</v>
      </c>
      <c r="B12" s="244" t="s">
        <v>14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13"/>
      <c r="M12" s="12"/>
      <c r="N12" s="252"/>
      <c r="O12" s="253"/>
      <c r="P12" s="12"/>
    </row>
    <row r="13" spans="1:256" ht="15" customHeight="1" x14ac:dyDescent="0.2">
      <c r="A13" s="2"/>
      <c r="B13" s="241" t="s">
        <v>15</v>
      </c>
      <c r="C13" s="241"/>
      <c r="D13" s="241"/>
      <c r="E13" s="241"/>
      <c r="F13" s="241"/>
      <c r="G13" s="241"/>
      <c r="H13" s="241"/>
      <c r="I13" s="241"/>
      <c r="J13" s="241"/>
      <c r="K13" s="10"/>
      <c r="L13" s="10"/>
      <c r="M13" s="11"/>
      <c r="N13" s="242"/>
      <c r="O13" s="243"/>
      <c r="P13" s="11"/>
    </row>
    <row r="14" spans="1:256" ht="15" customHeight="1" x14ac:dyDescent="0.2">
      <c r="A14" s="2" t="s">
        <v>16</v>
      </c>
      <c r="B14" s="244" t="str">
        <f>B12</f>
        <v>Трубопроводная система "Заполярье - НПС "Пур-Пе". 1 очередь. 2 этап. БПО и ЦРС в пос. Коротчаево в районе г. Н.Уренгой</v>
      </c>
      <c r="C14" s="244"/>
      <c r="D14" s="244"/>
      <c r="E14" s="244"/>
      <c r="F14" s="244"/>
      <c r="G14" s="244"/>
      <c r="H14" s="244"/>
      <c r="I14" s="244"/>
      <c r="J14" s="244"/>
      <c r="K14" s="244"/>
      <c r="L14" s="13"/>
      <c r="M14" s="12"/>
      <c r="N14" s="242"/>
      <c r="O14" s="243"/>
      <c r="P14" s="12"/>
    </row>
    <row r="15" spans="1:256" ht="15" customHeight="1" x14ac:dyDescent="0.2">
      <c r="A15" s="2"/>
      <c r="B15" s="245" t="s">
        <v>17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"/>
      <c r="M15" s="3"/>
      <c r="N15" s="246" t="s">
        <v>18</v>
      </c>
      <c r="O15" s="247"/>
      <c r="P15" s="3"/>
    </row>
    <row r="16" spans="1:256" ht="15" customHeight="1" x14ac:dyDescent="0.2">
      <c r="A16" s="2"/>
      <c r="B16" s="1"/>
      <c r="C16" s="2"/>
      <c r="D16" s="2"/>
      <c r="E16" s="2"/>
      <c r="F16" s="3"/>
      <c r="G16" s="3"/>
      <c r="H16" s="3"/>
      <c r="I16" s="3"/>
      <c r="J16" s="2"/>
      <c r="K16" s="2"/>
      <c r="L16" s="2"/>
      <c r="M16" s="2"/>
      <c r="N16" s="246"/>
      <c r="O16" s="247"/>
      <c r="P16" s="3"/>
    </row>
    <row r="17" spans="1:16" ht="15" customHeight="1" x14ac:dyDescent="0.2">
      <c r="A17" s="2"/>
      <c r="B17" s="14"/>
      <c r="C17" s="15"/>
      <c r="D17" s="16"/>
      <c r="E17" s="16"/>
      <c r="F17" s="16"/>
      <c r="G17" s="16"/>
      <c r="H17" s="6"/>
      <c r="I17" s="6"/>
      <c r="J17" s="6"/>
      <c r="K17" s="6"/>
      <c r="L17" s="17" t="s">
        <v>19</v>
      </c>
      <c r="M17" s="18" t="s">
        <v>20</v>
      </c>
      <c r="N17" s="247" t="s">
        <v>21</v>
      </c>
      <c r="O17" s="248"/>
      <c r="P17" s="3"/>
    </row>
    <row r="18" spans="1:16" ht="15" customHeight="1" x14ac:dyDescent="0.2">
      <c r="A18" s="2"/>
      <c r="B18" s="1"/>
      <c r="C18" s="2"/>
      <c r="D18" s="2"/>
      <c r="E18" s="1"/>
      <c r="F18" s="1"/>
      <c r="G18" s="1"/>
      <c r="H18" s="1"/>
      <c r="I18" s="2"/>
      <c r="J18" s="2"/>
      <c r="K18" s="2"/>
      <c r="L18" s="2"/>
      <c r="M18" s="18" t="s">
        <v>22</v>
      </c>
      <c r="N18" s="229" t="s">
        <v>23</v>
      </c>
      <c r="O18" s="230"/>
      <c r="P18" s="3"/>
    </row>
    <row r="19" spans="1:16" ht="15" customHeight="1" x14ac:dyDescent="0.2">
      <c r="A19" s="2"/>
      <c r="B19" s="19" t="s">
        <v>127</v>
      </c>
      <c r="C19" s="20"/>
      <c r="D19" s="2"/>
      <c r="E19" s="2"/>
      <c r="F19" s="3"/>
      <c r="G19" s="3"/>
      <c r="H19" s="3"/>
      <c r="I19" s="3"/>
      <c r="J19" s="2"/>
      <c r="K19" s="2"/>
      <c r="L19" s="2"/>
      <c r="M19" s="2"/>
      <c r="N19" s="2"/>
      <c r="O19" s="2"/>
      <c r="P19" s="3"/>
    </row>
    <row r="20" spans="1:16" ht="9" customHeight="1" x14ac:dyDescent="0.2">
      <c r="A20" s="2"/>
      <c r="B20" s="1"/>
      <c r="C20"/>
      <c r="D20"/>
      <c r="E20" s="2"/>
      <c r="F20" s="231" t="s">
        <v>24</v>
      </c>
      <c r="G20" s="232"/>
      <c r="H20" s="231" t="s">
        <v>25</v>
      </c>
      <c r="I20" s="232"/>
      <c r="J20" s="2"/>
      <c r="K20" s="2"/>
      <c r="L20" s="2"/>
      <c r="M20" s="2"/>
      <c r="N20" s="2"/>
      <c r="O20" s="2"/>
      <c r="P20" s="3"/>
    </row>
    <row r="21" spans="1:16" ht="9" customHeight="1" x14ac:dyDescent="0.2">
      <c r="A21" s="2"/>
      <c r="B21" s="1"/>
      <c r="C21"/>
      <c r="D21"/>
      <c r="E21" s="2"/>
      <c r="F21" s="233"/>
      <c r="G21" s="234"/>
      <c r="H21" s="233"/>
      <c r="I21" s="234"/>
      <c r="J21" s="2"/>
      <c r="K21" s="2"/>
      <c r="L21" s="2"/>
      <c r="M21" s="2"/>
      <c r="N21" s="2"/>
      <c r="O21" s="2"/>
      <c r="P21" s="3"/>
    </row>
    <row r="22" spans="1:16" ht="15" customHeight="1" x14ac:dyDescent="0.2">
      <c r="A22" s="21"/>
      <c r="B22" s="22"/>
      <c r="C22" t="s">
        <v>128</v>
      </c>
      <c r="D22"/>
      <c r="E22" s="23"/>
      <c r="F22" s="235"/>
      <c r="G22" s="236"/>
      <c r="H22" s="237">
        <f>O24</f>
        <v>0</v>
      </c>
      <c r="I22" s="238"/>
      <c r="J22" s="24"/>
      <c r="K22" s="24"/>
      <c r="L22" s="24"/>
      <c r="M22" s="25"/>
      <c r="N22" s="239" t="s">
        <v>26</v>
      </c>
      <c r="O22" s="240"/>
      <c r="P22" s="3"/>
    </row>
    <row r="23" spans="1:16" ht="15" customHeight="1" x14ac:dyDescent="0.2">
      <c r="A23" s="26"/>
      <c r="B23" s="27"/>
      <c r="C23" s="28" t="s">
        <v>27</v>
      </c>
      <c r="D23"/>
      <c r="E23" s="23"/>
      <c r="F23" s="23"/>
      <c r="G23" s="23"/>
      <c r="H23" s="23"/>
      <c r="J23" s="24"/>
      <c r="K23" s="24"/>
      <c r="L23" s="24"/>
      <c r="M23" s="25"/>
      <c r="N23" s="30" t="s">
        <v>28</v>
      </c>
      <c r="O23" s="30" t="s">
        <v>29</v>
      </c>
      <c r="P23" s="3"/>
    </row>
    <row r="24" spans="1:16" ht="15" customHeight="1" x14ac:dyDescent="0.2">
      <c r="B24" s="31" t="s">
        <v>129</v>
      </c>
      <c r="C24"/>
      <c r="D24"/>
      <c r="E24" s="32"/>
      <c r="F24" s="32"/>
      <c r="G24" s="211"/>
      <c r="H24" s="212"/>
      <c r="J24" s="33"/>
      <c r="K24" s="33"/>
      <c r="L24" s="33"/>
      <c r="M24" s="34"/>
      <c r="N24" s="35"/>
      <c r="O24" s="35"/>
      <c r="P24" s="3"/>
    </row>
    <row r="25" spans="1:16" ht="15" customHeight="1" x14ac:dyDescent="0.2">
      <c r="A25" s="36"/>
      <c r="B25" s="37"/>
      <c r="C25" s="36"/>
      <c r="D25" s="36"/>
      <c r="E25" s="36"/>
      <c r="F25" s="36"/>
      <c r="G25" s="213" t="s">
        <v>30</v>
      </c>
      <c r="H25" s="213"/>
      <c r="I25" s="36"/>
      <c r="J25" s="36"/>
      <c r="K25" s="36"/>
      <c r="L25" s="36"/>
      <c r="M25" s="36"/>
      <c r="N25" s="36"/>
      <c r="O25" s="38"/>
      <c r="P25" s="3"/>
    </row>
    <row r="26" spans="1:16" ht="15" customHeight="1" x14ac:dyDescent="0.2">
      <c r="A26" s="36"/>
      <c r="B26" s="37"/>
      <c r="C26" s="39"/>
      <c r="D26" s="40"/>
      <c r="E26" s="36"/>
      <c r="F26" s="213" t="s">
        <v>31</v>
      </c>
      <c r="G26" s="213"/>
      <c r="H26" s="213"/>
      <c r="I26" s="213"/>
      <c r="J26" s="36"/>
      <c r="K26" s="36"/>
      <c r="L26" s="36"/>
      <c r="M26" s="36"/>
      <c r="N26" s="36"/>
      <c r="O26" s="38"/>
      <c r="P26" s="3"/>
    </row>
    <row r="27" spans="1:16" ht="15" customHeight="1" x14ac:dyDescent="0.2">
      <c r="A27" s="41"/>
      <c r="B27" s="42"/>
      <c r="C27" s="41"/>
      <c r="D27" s="41"/>
      <c r="E27" s="41"/>
      <c r="F27" s="41"/>
      <c r="G27" s="43" t="s">
        <v>126</v>
      </c>
      <c r="H27" s="41"/>
      <c r="I27" s="41"/>
      <c r="J27" s="41"/>
      <c r="K27" s="41"/>
      <c r="L27" s="41"/>
      <c r="M27" s="41"/>
      <c r="N27" s="41"/>
      <c r="O27" s="44"/>
      <c r="P27" s="3"/>
    </row>
    <row r="28" spans="1:16" x14ac:dyDescent="0.2">
      <c r="A28" s="214" t="s">
        <v>32</v>
      </c>
      <c r="B28" s="214"/>
      <c r="C28" s="214"/>
      <c r="D28" s="41"/>
      <c r="E28" s="41"/>
      <c r="F28" s="42"/>
      <c r="G28" s="41"/>
      <c r="H28" s="41"/>
      <c r="I28" s="41"/>
      <c r="J28" s="45"/>
      <c r="K28" s="45"/>
      <c r="L28" s="41"/>
      <c r="M28" s="41"/>
      <c r="N28" s="41"/>
      <c r="O28" s="41"/>
    </row>
    <row r="29" spans="1:16" ht="15" customHeight="1" x14ac:dyDescent="0.2">
      <c r="A29" s="46" t="s">
        <v>33</v>
      </c>
      <c r="B29" s="47"/>
      <c r="C29" s="48"/>
      <c r="D29" s="49"/>
      <c r="E29" s="50"/>
      <c r="F29" s="29"/>
      <c r="G29" s="46"/>
      <c r="H29" s="46"/>
      <c r="I29" s="46"/>
      <c r="J29" s="51"/>
      <c r="K29" s="46"/>
      <c r="L29" s="46"/>
      <c r="M29" s="25"/>
      <c r="N29" s="48"/>
      <c r="O29" s="52" t="s">
        <v>34</v>
      </c>
      <c r="P29" s="48"/>
    </row>
    <row r="30" spans="1:16" ht="12.75" customHeight="1" x14ac:dyDescent="0.2">
      <c r="A30" s="215" t="s">
        <v>35</v>
      </c>
      <c r="B30" s="216"/>
      <c r="C30" s="217" t="s">
        <v>36</v>
      </c>
      <c r="D30" s="217" t="s">
        <v>37</v>
      </c>
      <c r="E30" s="220" t="s">
        <v>38</v>
      </c>
      <c r="F30" s="215" t="s">
        <v>39</v>
      </c>
      <c r="G30" s="223"/>
      <c r="H30" s="223"/>
      <c r="I30" s="223"/>
      <c r="J30" s="223"/>
      <c r="K30" s="223"/>
      <c r="L30" s="223"/>
      <c r="M30" s="223"/>
      <c r="N30" s="223"/>
      <c r="O30" s="216"/>
    </row>
    <row r="31" spans="1:16" ht="31.5" customHeight="1" x14ac:dyDescent="0.2">
      <c r="A31" s="217" t="s">
        <v>40</v>
      </c>
      <c r="B31" s="220" t="s">
        <v>41</v>
      </c>
      <c r="C31" s="218"/>
      <c r="D31" s="218"/>
      <c r="E31" s="221"/>
      <c r="F31" s="194" t="s">
        <v>42</v>
      </c>
      <c r="G31" s="215" t="s">
        <v>43</v>
      </c>
      <c r="H31" s="216"/>
      <c r="I31" s="215" t="s">
        <v>44</v>
      </c>
      <c r="J31" s="223"/>
      <c r="K31" s="223"/>
      <c r="L31" s="223"/>
      <c r="M31" s="216"/>
      <c r="N31" s="225" t="s">
        <v>45</v>
      </c>
      <c r="O31" s="226"/>
    </row>
    <row r="32" spans="1:16" ht="25.5" x14ac:dyDescent="0.2">
      <c r="A32" s="218"/>
      <c r="B32" s="221"/>
      <c r="C32" s="218"/>
      <c r="D32" s="218"/>
      <c r="E32" s="221"/>
      <c r="F32" s="224"/>
      <c r="G32" s="53" t="s">
        <v>46</v>
      </c>
      <c r="H32" s="54" t="s">
        <v>47</v>
      </c>
      <c r="I32" s="227" t="s">
        <v>46</v>
      </c>
      <c r="J32" s="215" t="s">
        <v>48</v>
      </c>
      <c r="K32" s="216"/>
      <c r="L32" s="217" t="s">
        <v>49</v>
      </c>
      <c r="M32" s="54" t="s">
        <v>47</v>
      </c>
      <c r="N32" s="227" t="s">
        <v>50</v>
      </c>
      <c r="O32" s="227" t="s">
        <v>46</v>
      </c>
    </row>
    <row r="33" spans="1:44" ht="25.5" customHeight="1" x14ac:dyDescent="0.2">
      <c r="A33" s="219"/>
      <c r="B33" s="222"/>
      <c r="C33" s="219"/>
      <c r="D33" s="219"/>
      <c r="E33" s="222"/>
      <c r="F33" s="195"/>
      <c r="G33" s="54" t="s">
        <v>51</v>
      </c>
      <c r="H33" s="54" t="s">
        <v>52</v>
      </c>
      <c r="I33" s="228"/>
      <c r="J33" s="54" t="s">
        <v>53</v>
      </c>
      <c r="K33" s="54" t="s">
        <v>54</v>
      </c>
      <c r="L33" s="219"/>
      <c r="M33" s="54" t="s">
        <v>52</v>
      </c>
      <c r="N33" s="228"/>
      <c r="O33" s="228"/>
    </row>
    <row r="34" spans="1:44" x14ac:dyDescent="0.2">
      <c r="A34" s="53">
        <v>1</v>
      </c>
      <c r="B34" s="55">
        <v>2</v>
      </c>
      <c r="C34" s="53">
        <v>3</v>
      </c>
      <c r="D34" s="53">
        <v>4</v>
      </c>
      <c r="E34" s="53">
        <v>5</v>
      </c>
      <c r="F34" s="55">
        <v>6</v>
      </c>
      <c r="G34" s="53">
        <v>7</v>
      </c>
      <c r="H34" s="53">
        <v>8</v>
      </c>
      <c r="I34" s="53">
        <v>9</v>
      </c>
      <c r="J34" s="53">
        <v>10</v>
      </c>
      <c r="K34" s="53">
        <v>11</v>
      </c>
      <c r="L34" s="53">
        <v>12</v>
      </c>
      <c r="M34" s="53">
        <v>13</v>
      </c>
      <c r="N34" s="53">
        <v>14</v>
      </c>
      <c r="O34" s="53">
        <v>15</v>
      </c>
      <c r="P34" s="56"/>
    </row>
    <row r="35" spans="1:44" ht="15.75" x14ac:dyDescent="0.2">
      <c r="A35" s="53"/>
      <c r="B35" s="55"/>
      <c r="C35" s="57" t="s">
        <v>125</v>
      </c>
      <c r="D35" s="58"/>
      <c r="E35" s="58"/>
      <c r="F35" s="59"/>
      <c r="G35" s="53"/>
      <c r="H35" s="53"/>
      <c r="I35" s="53"/>
      <c r="J35" s="53"/>
      <c r="K35" s="53"/>
      <c r="L35" s="53"/>
      <c r="M35" s="53"/>
      <c r="N35" s="53"/>
      <c r="O35" s="53"/>
      <c r="P35" s="56"/>
    </row>
    <row r="36" spans="1:44" ht="15.75" x14ac:dyDescent="0.2">
      <c r="A36" s="53"/>
      <c r="B36" s="55"/>
      <c r="C36" s="60" t="s">
        <v>130</v>
      </c>
      <c r="D36" s="61"/>
      <c r="E36" s="61"/>
      <c r="F36" s="62"/>
      <c r="G36" s="53"/>
      <c r="H36" s="53"/>
      <c r="I36" s="53"/>
      <c r="J36" s="53"/>
      <c r="K36" s="53"/>
      <c r="L36" s="53"/>
      <c r="M36" s="53"/>
      <c r="N36" s="53"/>
      <c r="O36" s="53"/>
      <c r="P36" s="56"/>
    </row>
    <row r="37" spans="1:44" ht="30" customHeight="1" x14ac:dyDescent="0.2">
      <c r="A37" s="202"/>
      <c r="B37" s="194">
        <v>1</v>
      </c>
      <c r="C37" s="196" t="s">
        <v>55</v>
      </c>
      <c r="D37" s="198" t="s">
        <v>56</v>
      </c>
      <c r="E37" s="200" t="s">
        <v>57</v>
      </c>
      <c r="F37" s="194">
        <v>605.70000000000005</v>
      </c>
      <c r="G37" s="145">
        <v>7233.6602278355613</v>
      </c>
      <c r="H37" s="145">
        <v>3575.1097903252435</v>
      </c>
      <c r="I37" s="210">
        <f>ROUND((F37*G37),0)</f>
        <v>4381428</v>
      </c>
      <c r="J37" s="192">
        <f>ROUND((G37-H37-G38)*F37,0)</f>
        <v>80080</v>
      </c>
      <c r="K37" s="192">
        <v>0</v>
      </c>
      <c r="L37" s="193">
        <f>ROUND((F37*G38),0)</f>
        <v>2135904</v>
      </c>
      <c r="M37" s="64">
        <f>ROUND((H37*F37),0)</f>
        <v>2165444</v>
      </c>
      <c r="N37" s="63">
        <v>12.11</v>
      </c>
      <c r="O37" s="65">
        <f>F37*N37</f>
        <v>7335.027</v>
      </c>
      <c r="P37" s="66" t="s">
        <v>58</v>
      </c>
      <c r="AO37" s="5"/>
      <c r="AP37" s="5"/>
      <c r="AQ37" s="5"/>
      <c r="AR37" s="5"/>
    </row>
    <row r="38" spans="1:44" ht="30" customHeight="1" x14ac:dyDescent="0.2">
      <c r="A38" s="202"/>
      <c r="B38" s="195"/>
      <c r="C38" s="197"/>
      <c r="D38" s="199"/>
      <c r="E38" s="201"/>
      <c r="F38" s="195"/>
      <c r="G38" s="145">
        <v>3526.3397721644374</v>
      </c>
      <c r="H38" s="145">
        <v>1548.7105827967639</v>
      </c>
      <c r="I38" s="210"/>
      <c r="J38" s="192"/>
      <c r="K38" s="192"/>
      <c r="L38" s="193"/>
      <c r="M38" s="64">
        <f>ROUND((H38*F37),0)</f>
        <v>938054</v>
      </c>
      <c r="N38" s="63">
        <v>4.51</v>
      </c>
      <c r="O38" s="65">
        <f>F37*N38</f>
        <v>2731.7069999999999</v>
      </c>
      <c r="P38" s="66" t="s">
        <v>59</v>
      </c>
      <c r="AO38" s="5"/>
      <c r="AP38" s="5"/>
      <c r="AQ38" s="5"/>
      <c r="AR38" s="5"/>
    </row>
    <row r="39" spans="1:44" ht="14.25" x14ac:dyDescent="0.2">
      <c r="A39" s="55"/>
      <c r="B39" s="55"/>
      <c r="C39" s="55"/>
      <c r="D39" s="203" t="s">
        <v>60</v>
      </c>
      <c r="E39" s="204"/>
      <c r="F39" s="205"/>
      <c r="G39" s="67">
        <v>1.03</v>
      </c>
      <c r="H39" s="68"/>
      <c r="I39" s="146">
        <f>ROUND((L37+M38)*G39,0)</f>
        <v>3166177</v>
      </c>
      <c r="J39" s="69"/>
      <c r="K39" s="69"/>
      <c r="L39" s="64"/>
      <c r="M39" s="64"/>
      <c r="N39" s="63"/>
      <c r="O39" s="70"/>
      <c r="P39" s="56"/>
      <c r="AO39" s="5"/>
      <c r="AP39" s="5"/>
      <c r="AQ39" s="5"/>
      <c r="AR39" s="5"/>
    </row>
    <row r="40" spans="1:44" ht="14.25" x14ac:dyDescent="0.2">
      <c r="A40" s="55"/>
      <c r="B40" s="55"/>
      <c r="C40" s="55"/>
      <c r="D40" s="203" t="s">
        <v>61</v>
      </c>
      <c r="E40" s="204"/>
      <c r="F40" s="205"/>
      <c r="G40" s="67">
        <v>0.56000000000000005</v>
      </c>
      <c r="H40" s="68"/>
      <c r="I40" s="146">
        <f>ROUND((L37+M38)*G40,0)</f>
        <v>1721416</v>
      </c>
      <c r="J40" s="69"/>
      <c r="K40" s="69"/>
      <c r="L40" s="64"/>
      <c r="M40" s="64"/>
      <c r="N40" s="63"/>
      <c r="O40" s="70"/>
      <c r="P40" s="56"/>
      <c r="AO40" s="5"/>
      <c r="AP40" s="5"/>
      <c r="AQ40" s="5"/>
      <c r="AR40" s="5"/>
    </row>
    <row r="41" spans="1:44" ht="14.25" x14ac:dyDescent="0.2">
      <c r="A41" s="55"/>
      <c r="B41" s="55"/>
      <c r="C41" s="55"/>
      <c r="D41" s="53"/>
      <c r="E41" s="53"/>
      <c r="F41" s="71" t="s">
        <v>62</v>
      </c>
      <c r="G41" s="72"/>
      <c r="H41" s="68"/>
      <c r="I41" s="146">
        <f>I37+I39+I40</f>
        <v>9269021</v>
      </c>
      <c r="J41" s="69"/>
      <c r="K41" s="69"/>
      <c r="L41" s="64"/>
      <c r="M41" s="64"/>
      <c r="N41" s="63"/>
      <c r="O41" s="70"/>
      <c r="P41" s="56"/>
      <c r="AO41" s="5"/>
      <c r="AP41" s="5"/>
      <c r="AQ41" s="5"/>
      <c r="AR41" s="5"/>
    </row>
    <row r="42" spans="1:44" ht="30" customHeight="1" x14ac:dyDescent="0.2">
      <c r="A42" s="202"/>
      <c r="B42" s="194">
        <v>2</v>
      </c>
      <c r="C42" s="196" t="s">
        <v>63</v>
      </c>
      <c r="D42" s="198" t="s">
        <v>64</v>
      </c>
      <c r="E42" s="200" t="s">
        <v>65</v>
      </c>
      <c r="F42" s="194">
        <v>1514.3</v>
      </c>
      <c r="G42" s="63">
        <v>27.75</v>
      </c>
      <c r="H42" s="63">
        <v>27.75</v>
      </c>
      <c r="I42" s="192">
        <f>ROUND((F42*G42),0)</f>
        <v>42022</v>
      </c>
      <c r="J42" s="192">
        <f>(G42-H42-G43)*F42</f>
        <v>0</v>
      </c>
      <c r="K42" s="192">
        <v>0</v>
      </c>
      <c r="L42" s="193">
        <f>ROUND((F42*G43),0)</f>
        <v>0</v>
      </c>
      <c r="M42" s="64">
        <f>ROUND((H42*F42),0)</f>
        <v>42022</v>
      </c>
      <c r="N42" s="63"/>
      <c r="O42" s="65"/>
      <c r="P42" s="66" t="s">
        <v>58</v>
      </c>
    </row>
    <row r="43" spans="1:44" ht="30" customHeight="1" x14ac:dyDescent="0.2">
      <c r="A43" s="202"/>
      <c r="B43" s="195"/>
      <c r="C43" s="197"/>
      <c r="D43" s="199"/>
      <c r="E43" s="201"/>
      <c r="F43" s="195"/>
      <c r="G43" s="63">
        <v>0</v>
      </c>
      <c r="H43" s="63">
        <v>0</v>
      </c>
      <c r="I43" s="192"/>
      <c r="J43" s="192"/>
      <c r="K43" s="192"/>
      <c r="L43" s="193"/>
      <c r="M43" s="64">
        <f>ROUND((H43*F42),0)</f>
        <v>0</v>
      </c>
      <c r="N43" s="63"/>
      <c r="O43" s="65"/>
      <c r="P43" s="66" t="s">
        <v>59</v>
      </c>
    </row>
    <row r="44" spans="1:44" ht="30" customHeight="1" x14ac:dyDescent="0.2">
      <c r="A44" s="194"/>
      <c r="B44" s="194">
        <v>3</v>
      </c>
      <c r="C44" s="196" t="s">
        <v>66</v>
      </c>
      <c r="D44" s="198" t="s">
        <v>67</v>
      </c>
      <c r="E44" s="200" t="s">
        <v>65</v>
      </c>
      <c r="F44" s="194">
        <v>1514.3</v>
      </c>
      <c r="G44" s="63">
        <v>329.63</v>
      </c>
      <c r="H44" s="63">
        <v>329.63</v>
      </c>
      <c r="I44" s="208">
        <f>ROUND((F44*G44),0)</f>
        <v>499159</v>
      </c>
      <c r="J44" s="208">
        <f>(G44-H44-G45)*F44</f>
        <v>0</v>
      </c>
      <c r="K44" s="208">
        <v>0</v>
      </c>
      <c r="L44" s="206">
        <f>ROUND((F44*G45),0)</f>
        <v>0</v>
      </c>
      <c r="M44" s="64">
        <f>ROUND((H44*F44),0)</f>
        <v>499159</v>
      </c>
      <c r="N44" s="63"/>
      <c r="O44" s="65"/>
      <c r="P44" s="66" t="s">
        <v>58</v>
      </c>
    </row>
    <row r="45" spans="1:44" ht="30" customHeight="1" x14ac:dyDescent="0.2">
      <c r="A45" s="195"/>
      <c r="B45" s="195"/>
      <c r="C45" s="197"/>
      <c r="D45" s="199"/>
      <c r="E45" s="201"/>
      <c r="F45" s="195"/>
      <c r="G45" s="63">
        <v>0</v>
      </c>
      <c r="H45" s="63">
        <v>0</v>
      </c>
      <c r="I45" s="209"/>
      <c r="J45" s="209"/>
      <c r="K45" s="209"/>
      <c r="L45" s="207"/>
      <c r="M45" s="64">
        <f>ROUND((H45*F44),0)</f>
        <v>0</v>
      </c>
      <c r="N45" s="63"/>
      <c r="O45" s="65"/>
      <c r="P45" s="66" t="s">
        <v>59</v>
      </c>
    </row>
    <row r="46" spans="1:44" ht="30" customHeight="1" x14ac:dyDescent="0.2">
      <c r="A46" s="194"/>
      <c r="B46" s="194">
        <v>4</v>
      </c>
      <c r="C46" s="196" t="s">
        <v>68</v>
      </c>
      <c r="D46" s="198" t="s">
        <v>69</v>
      </c>
      <c r="E46" s="200" t="s">
        <v>70</v>
      </c>
      <c r="F46" s="194">
        <v>119</v>
      </c>
      <c r="G46" s="63">
        <v>1973.76</v>
      </c>
      <c r="H46" s="63">
        <v>253.08</v>
      </c>
      <c r="I46" s="208">
        <f>ROUND((F46*G46),0)</f>
        <v>234877</v>
      </c>
      <c r="J46" s="208">
        <f>ROUND((G46-H46-G47)*F46,0)</f>
        <v>128501</v>
      </c>
      <c r="K46" s="208">
        <v>0</v>
      </c>
      <c r="L46" s="206">
        <f>ROUND((F46*G47),0)</f>
        <v>76260</v>
      </c>
      <c r="M46" s="64">
        <f>ROUND((H46*F46),0)</f>
        <v>30117</v>
      </c>
      <c r="N46" s="63">
        <v>2.2000000000000002</v>
      </c>
      <c r="O46" s="65">
        <f>F46*N46</f>
        <v>261.8</v>
      </c>
      <c r="P46" s="66" t="s">
        <v>58</v>
      </c>
    </row>
    <row r="47" spans="1:44" ht="30" customHeight="1" x14ac:dyDescent="0.2">
      <c r="A47" s="195"/>
      <c r="B47" s="195"/>
      <c r="C47" s="197"/>
      <c r="D47" s="199"/>
      <c r="E47" s="201"/>
      <c r="F47" s="195"/>
      <c r="G47" s="63">
        <v>640.84</v>
      </c>
      <c r="H47" s="63">
        <v>175.71</v>
      </c>
      <c r="I47" s="209"/>
      <c r="J47" s="209"/>
      <c r="K47" s="209"/>
      <c r="L47" s="207"/>
      <c r="M47" s="64">
        <f>ROUND((H47*F46),0)</f>
        <v>20909</v>
      </c>
      <c r="N47" s="63">
        <v>0.45</v>
      </c>
      <c r="O47" s="65">
        <f>F46*N47</f>
        <v>53.550000000000004</v>
      </c>
      <c r="P47" s="66" t="s">
        <v>59</v>
      </c>
    </row>
    <row r="48" spans="1:44" x14ac:dyDescent="0.2">
      <c r="A48" s="55"/>
      <c r="B48" s="55"/>
      <c r="C48" s="55"/>
      <c r="D48" s="203" t="s">
        <v>60</v>
      </c>
      <c r="E48" s="204"/>
      <c r="F48" s="205"/>
      <c r="G48" s="67">
        <v>1.1499999999999999</v>
      </c>
      <c r="H48" s="68"/>
      <c r="I48" s="69">
        <f>ROUND((L46+M47)*G48,0)</f>
        <v>111744</v>
      </c>
      <c r="J48" s="69"/>
      <c r="K48" s="69"/>
      <c r="L48" s="64"/>
      <c r="M48" s="64"/>
      <c r="N48" s="63"/>
      <c r="O48" s="70"/>
      <c r="P48" s="56"/>
    </row>
    <row r="49" spans="1:16" x14ac:dyDescent="0.2">
      <c r="A49" s="55"/>
      <c r="B49" s="55"/>
      <c r="C49" s="55"/>
      <c r="D49" s="203" t="s">
        <v>61</v>
      </c>
      <c r="E49" s="204"/>
      <c r="F49" s="205"/>
      <c r="G49" s="67">
        <v>0.6</v>
      </c>
      <c r="H49" s="68"/>
      <c r="I49" s="69">
        <f>ROUND((L46+M47)*G49,0)</f>
        <v>58301</v>
      </c>
      <c r="J49" s="69"/>
      <c r="K49" s="69"/>
      <c r="L49" s="64"/>
      <c r="M49" s="64"/>
      <c r="N49" s="63"/>
      <c r="O49" s="70"/>
      <c r="P49" s="56"/>
    </row>
    <row r="50" spans="1:16" x14ac:dyDescent="0.2">
      <c r="A50" s="55"/>
      <c r="B50" s="55"/>
      <c r="C50" s="55"/>
      <c r="D50" s="53"/>
      <c r="E50" s="53"/>
      <c r="F50" s="71" t="s">
        <v>62</v>
      </c>
      <c r="G50" s="72"/>
      <c r="H50" s="68"/>
      <c r="I50" s="69">
        <f>I46+I48+I49</f>
        <v>404922</v>
      </c>
      <c r="J50" s="69"/>
      <c r="K50" s="69"/>
      <c r="L50" s="64"/>
      <c r="M50" s="64"/>
      <c r="N50" s="63"/>
      <c r="O50" s="70"/>
      <c r="P50" s="56"/>
    </row>
    <row r="51" spans="1:16" ht="30" customHeight="1" x14ac:dyDescent="0.2">
      <c r="A51" s="194"/>
      <c r="B51" s="194">
        <v>5</v>
      </c>
      <c r="C51" s="196" t="s">
        <v>71</v>
      </c>
      <c r="D51" s="198" t="s">
        <v>72</v>
      </c>
      <c r="E51" s="200" t="s">
        <v>73</v>
      </c>
      <c r="F51" s="194">
        <v>30.285</v>
      </c>
      <c r="G51" s="63">
        <v>11229.63</v>
      </c>
      <c r="H51" s="63">
        <v>355.71</v>
      </c>
      <c r="I51" s="208">
        <f>ROUND((F51*G51),0)</f>
        <v>340089</v>
      </c>
      <c r="J51" s="208">
        <f>ROUND((G51-H51-G52)*F51,0)</f>
        <v>1523</v>
      </c>
      <c r="K51" s="208">
        <v>0</v>
      </c>
      <c r="L51" s="206">
        <f>ROUND((F51*G52),0)</f>
        <v>327793</v>
      </c>
      <c r="M51" s="64">
        <f>ROUND((H51*F51),0)</f>
        <v>10773</v>
      </c>
      <c r="N51" s="63">
        <v>40.65</v>
      </c>
      <c r="O51" s="65">
        <f>F51*N51</f>
        <v>1231.0852499999999</v>
      </c>
      <c r="P51" s="66" t="s">
        <v>58</v>
      </c>
    </row>
    <row r="52" spans="1:16" ht="30" customHeight="1" x14ac:dyDescent="0.2">
      <c r="A52" s="195"/>
      <c r="B52" s="195"/>
      <c r="C52" s="197"/>
      <c r="D52" s="199"/>
      <c r="E52" s="201"/>
      <c r="F52" s="195"/>
      <c r="G52" s="63">
        <v>10823.62</v>
      </c>
      <c r="H52" s="63">
        <v>585.34</v>
      </c>
      <c r="I52" s="209"/>
      <c r="J52" s="209"/>
      <c r="K52" s="209"/>
      <c r="L52" s="207"/>
      <c r="M52" s="64">
        <f>ROUND((H52*F51),0)</f>
        <v>17727</v>
      </c>
      <c r="N52" s="63">
        <v>1.27</v>
      </c>
      <c r="O52" s="65">
        <f>F51*N52</f>
        <v>38.461950000000002</v>
      </c>
      <c r="P52" s="66" t="s">
        <v>59</v>
      </c>
    </row>
    <row r="53" spans="1:16" x14ac:dyDescent="0.2">
      <c r="A53" s="55"/>
      <c r="B53" s="55"/>
      <c r="C53" s="55"/>
      <c r="D53" s="203" t="s">
        <v>60</v>
      </c>
      <c r="E53" s="204"/>
      <c r="F53" s="205"/>
      <c r="G53" s="67">
        <v>1.1499999999999999</v>
      </c>
      <c r="H53" s="68"/>
      <c r="I53" s="69">
        <f>ROUND((L51+M52)*G53,0)</f>
        <v>397348</v>
      </c>
      <c r="J53" s="69"/>
      <c r="K53" s="69"/>
      <c r="L53" s="64"/>
      <c r="M53" s="64"/>
      <c r="N53" s="63"/>
      <c r="O53" s="70"/>
      <c r="P53" s="56"/>
    </row>
    <row r="54" spans="1:16" x14ac:dyDescent="0.2">
      <c r="A54" s="55"/>
      <c r="B54" s="55"/>
      <c r="C54" s="55"/>
      <c r="D54" s="203" t="s">
        <v>61</v>
      </c>
      <c r="E54" s="204"/>
      <c r="F54" s="205"/>
      <c r="G54" s="67">
        <v>0.6</v>
      </c>
      <c r="H54" s="68"/>
      <c r="I54" s="69">
        <f>ROUND((L51+M52)*G54,0)</f>
        <v>207312</v>
      </c>
      <c r="J54" s="69"/>
      <c r="K54" s="69"/>
      <c r="L54" s="64"/>
      <c r="M54" s="64"/>
      <c r="N54" s="63"/>
      <c r="O54" s="70"/>
      <c r="P54" s="56"/>
    </row>
    <row r="55" spans="1:16" x14ac:dyDescent="0.2">
      <c r="A55" s="55"/>
      <c r="B55" s="55"/>
      <c r="C55" s="55"/>
      <c r="D55" s="53"/>
      <c r="E55" s="53"/>
      <c r="F55" s="71" t="s">
        <v>62</v>
      </c>
      <c r="G55" s="72"/>
      <c r="H55" s="68"/>
      <c r="I55" s="69">
        <f>I51+I53+I54</f>
        <v>944749</v>
      </c>
      <c r="J55" s="69"/>
      <c r="K55" s="69"/>
      <c r="L55" s="64"/>
      <c r="M55" s="64"/>
      <c r="N55" s="63"/>
      <c r="O55" s="70"/>
      <c r="P55" s="56"/>
    </row>
    <row r="56" spans="1:16" ht="30" customHeight="1" x14ac:dyDescent="0.2">
      <c r="A56" s="202"/>
      <c r="B56" s="194">
        <v>6</v>
      </c>
      <c r="C56" s="196" t="s">
        <v>74</v>
      </c>
      <c r="D56" s="198" t="s">
        <v>75</v>
      </c>
      <c r="E56" s="200" t="s">
        <v>73</v>
      </c>
      <c r="F56" s="194">
        <v>30.285</v>
      </c>
      <c r="G56" s="63">
        <v>1190.5999999999999</v>
      </c>
      <c r="H56" s="63">
        <v>391.85</v>
      </c>
      <c r="I56" s="192">
        <f>ROUND((F56*G56),0)</f>
        <v>36057</v>
      </c>
      <c r="J56" s="192">
        <f>ROUND((G56-H56-G57)*F56,0)</f>
        <v>0</v>
      </c>
      <c r="K56" s="192">
        <v>0</v>
      </c>
      <c r="L56" s="193">
        <f>ROUND((F56*G57),0)</f>
        <v>24190</v>
      </c>
      <c r="M56" s="64">
        <f>ROUND((H56*F56),0)</f>
        <v>11867</v>
      </c>
      <c r="N56" s="63">
        <v>3</v>
      </c>
      <c r="O56" s="65">
        <f>F56*N56</f>
        <v>90.855000000000004</v>
      </c>
      <c r="P56" s="66" t="s">
        <v>58</v>
      </c>
    </row>
    <row r="57" spans="1:16" ht="30" customHeight="1" x14ac:dyDescent="0.2">
      <c r="A57" s="202"/>
      <c r="B57" s="195"/>
      <c r="C57" s="197"/>
      <c r="D57" s="199"/>
      <c r="E57" s="201"/>
      <c r="F57" s="195"/>
      <c r="G57" s="63">
        <v>798.75</v>
      </c>
      <c r="H57" s="63">
        <v>581.79</v>
      </c>
      <c r="I57" s="192"/>
      <c r="J57" s="192"/>
      <c r="K57" s="192"/>
      <c r="L57" s="193"/>
      <c r="M57" s="64">
        <f>ROUND((H57*F56),0)</f>
        <v>17620</v>
      </c>
      <c r="N57" s="63">
        <v>1.26</v>
      </c>
      <c r="O57" s="65">
        <f>F56*N57</f>
        <v>38.159100000000002</v>
      </c>
      <c r="P57" s="66" t="s">
        <v>59</v>
      </c>
    </row>
    <row r="58" spans="1:16" x14ac:dyDescent="0.2">
      <c r="A58" s="55"/>
      <c r="B58" s="55"/>
      <c r="C58" s="55"/>
      <c r="D58" s="203" t="s">
        <v>60</v>
      </c>
      <c r="E58" s="204"/>
      <c r="F58" s="205"/>
      <c r="G58" s="67">
        <v>1.1499999999999999</v>
      </c>
      <c r="H58" s="68"/>
      <c r="I58" s="69">
        <f>ROUND((L56+M57)*G58,0)</f>
        <v>48082</v>
      </c>
      <c r="J58" s="69"/>
      <c r="K58" s="69"/>
      <c r="L58" s="64"/>
      <c r="M58" s="64"/>
      <c r="N58" s="63"/>
      <c r="O58" s="70"/>
      <c r="P58" s="56"/>
    </row>
    <row r="59" spans="1:16" x14ac:dyDescent="0.2">
      <c r="A59" s="55"/>
      <c r="B59" s="55"/>
      <c r="C59" s="55"/>
      <c r="D59" s="203" t="s">
        <v>61</v>
      </c>
      <c r="E59" s="204"/>
      <c r="F59" s="205"/>
      <c r="G59" s="67">
        <v>0.6</v>
      </c>
      <c r="H59" s="68"/>
      <c r="I59" s="69">
        <f>ROUND((L56+M57)*G59,0)</f>
        <v>25086</v>
      </c>
      <c r="J59" s="69"/>
      <c r="K59" s="69"/>
      <c r="L59" s="64"/>
      <c r="M59" s="64"/>
      <c r="N59" s="63"/>
      <c r="O59" s="70"/>
      <c r="P59" s="56"/>
    </row>
    <row r="60" spans="1:16" x14ac:dyDescent="0.2">
      <c r="A60" s="55"/>
      <c r="B60" s="55"/>
      <c r="C60" s="55"/>
      <c r="D60" s="53"/>
      <c r="E60" s="53"/>
      <c r="F60" s="71" t="s">
        <v>62</v>
      </c>
      <c r="G60" s="72"/>
      <c r="H60" s="68"/>
      <c r="I60" s="69">
        <f>I56+I58+I59</f>
        <v>109225</v>
      </c>
      <c r="J60" s="69"/>
      <c r="K60" s="69"/>
      <c r="L60" s="64"/>
      <c r="M60" s="64"/>
      <c r="N60" s="63"/>
      <c r="O60" s="70"/>
      <c r="P60" s="56"/>
    </row>
    <row r="61" spans="1:16" ht="30" customHeight="1" x14ac:dyDescent="0.2">
      <c r="A61" s="202"/>
      <c r="B61" s="194">
        <v>7</v>
      </c>
      <c r="C61" s="196" t="s">
        <v>76</v>
      </c>
      <c r="D61" s="198" t="s">
        <v>77</v>
      </c>
      <c r="E61" s="200" t="s">
        <v>78</v>
      </c>
      <c r="F61" s="194">
        <v>154.44999999999999</v>
      </c>
      <c r="G61" s="63">
        <v>3490.69</v>
      </c>
      <c r="H61" s="63">
        <v>0</v>
      </c>
      <c r="I61" s="192">
        <f>ROUND((F61*G61),0)</f>
        <v>539137</v>
      </c>
      <c r="J61" s="192">
        <f>(G61-H61-G62)*F61</f>
        <v>539137.07049999991</v>
      </c>
      <c r="K61" s="192">
        <v>0</v>
      </c>
      <c r="L61" s="193">
        <f>ROUND((F61*G62),0)</f>
        <v>0</v>
      </c>
      <c r="M61" s="64">
        <f>ROUND((H61*F61),0)</f>
        <v>0</v>
      </c>
      <c r="N61" s="63"/>
      <c r="O61" s="65"/>
      <c r="P61" s="66" t="s">
        <v>58</v>
      </c>
    </row>
    <row r="62" spans="1:16" ht="30" customHeight="1" x14ac:dyDescent="0.2">
      <c r="A62" s="202"/>
      <c r="B62" s="195"/>
      <c r="C62" s="197"/>
      <c r="D62" s="199"/>
      <c r="E62" s="201"/>
      <c r="F62" s="195"/>
      <c r="G62" s="63">
        <v>0</v>
      </c>
      <c r="H62" s="63">
        <v>0</v>
      </c>
      <c r="I62" s="192"/>
      <c r="J62" s="192"/>
      <c r="K62" s="192"/>
      <c r="L62" s="193"/>
      <c r="M62" s="64">
        <f>ROUND((H62*F61),0)</f>
        <v>0</v>
      </c>
      <c r="N62" s="63"/>
      <c r="O62" s="65"/>
      <c r="P62" s="66" t="s">
        <v>59</v>
      </c>
    </row>
    <row r="63" spans="1:16" ht="30" customHeight="1" x14ac:dyDescent="0.2">
      <c r="A63" s="202"/>
      <c r="B63" s="194">
        <v>8</v>
      </c>
      <c r="C63" s="196" t="s">
        <v>79</v>
      </c>
      <c r="D63" s="198" t="s">
        <v>80</v>
      </c>
      <c r="E63" s="200" t="s">
        <v>81</v>
      </c>
      <c r="F63" s="194">
        <v>9.6</v>
      </c>
      <c r="G63" s="63">
        <v>4136.71</v>
      </c>
      <c r="H63" s="63">
        <v>313.83</v>
      </c>
      <c r="I63" s="192">
        <f>ROUND((F63*G63),0)</f>
        <v>39712</v>
      </c>
      <c r="J63" s="192">
        <f>ROUND((G63-H63-G64)*F63,0)</f>
        <v>0</v>
      </c>
      <c r="K63" s="192">
        <v>0</v>
      </c>
      <c r="L63" s="193">
        <f>ROUND((F63*G64),0)</f>
        <v>36700</v>
      </c>
      <c r="M63" s="64">
        <f>ROUND((H63*F63),0)</f>
        <v>3013</v>
      </c>
      <c r="N63" s="63">
        <v>12.64</v>
      </c>
      <c r="O63" s="65">
        <f>F63*N63</f>
        <v>121.34399999999999</v>
      </c>
      <c r="P63" s="66" t="s">
        <v>58</v>
      </c>
    </row>
    <row r="64" spans="1:16" ht="30" customHeight="1" x14ac:dyDescent="0.2">
      <c r="A64" s="202"/>
      <c r="B64" s="195"/>
      <c r="C64" s="197"/>
      <c r="D64" s="199"/>
      <c r="E64" s="201"/>
      <c r="F64" s="195"/>
      <c r="G64" s="63">
        <v>3822.88</v>
      </c>
      <c r="H64" s="63">
        <v>73.72</v>
      </c>
      <c r="I64" s="192"/>
      <c r="J64" s="192"/>
      <c r="K64" s="192"/>
      <c r="L64" s="193"/>
      <c r="M64" s="64">
        <f>ROUND((H64*F63),0)</f>
        <v>708</v>
      </c>
      <c r="N64" s="63">
        <v>0.16</v>
      </c>
      <c r="O64" s="65">
        <f>F63*N64</f>
        <v>1.536</v>
      </c>
      <c r="P64" s="66" t="s">
        <v>59</v>
      </c>
    </row>
    <row r="65" spans="1:256" x14ac:dyDescent="0.2">
      <c r="A65" s="55"/>
      <c r="B65" s="55"/>
      <c r="C65" s="55"/>
      <c r="D65" s="203" t="s">
        <v>60</v>
      </c>
      <c r="E65" s="204"/>
      <c r="F65" s="205"/>
      <c r="G65" s="67">
        <v>0.99</v>
      </c>
      <c r="H65" s="68"/>
      <c r="I65" s="69">
        <f>ROUND((L63+M64)*G65,0)</f>
        <v>37034</v>
      </c>
      <c r="J65" s="69"/>
      <c r="K65" s="69"/>
      <c r="L65" s="64"/>
      <c r="M65" s="64"/>
      <c r="N65" s="63"/>
      <c r="O65" s="70"/>
      <c r="P65" s="56"/>
    </row>
    <row r="66" spans="1:256" x14ac:dyDescent="0.2">
      <c r="A66" s="55"/>
      <c r="B66" s="55"/>
      <c r="C66" s="55"/>
      <c r="D66" s="203" t="s">
        <v>61</v>
      </c>
      <c r="E66" s="204"/>
      <c r="F66" s="205"/>
      <c r="G66" s="67">
        <v>0.52</v>
      </c>
      <c r="H66" s="68"/>
      <c r="I66" s="69">
        <f>ROUND((L63+M64)*G66,0)</f>
        <v>19452</v>
      </c>
      <c r="J66" s="69"/>
      <c r="K66" s="69"/>
      <c r="L66" s="64"/>
      <c r="M66" s="64"/>
      <c r="N66" s="63"/>
      <c r="O66" s="70"/>
      <c r="P66" s="56"/>
    </row>
    <row r="67" spans="1:256" x14ac:dyDescent="0.2">
      <c r="A67" s="55"/>
      <c r="B67" s="55"/>
      <c r="C67" s="55"/>
      <c r="D67" s="53"/>
      <c r="E67" s="53"/>
      <c r="F67" s="71" t="s">
        <v>62</v>
      </c>
      <c r="G67" s="72"/>
      <c r="H67" s="68"/>
      <c r="I67" s="69">
        <f>I63+I65+I66</f>
        <v>96198</v>
      </c>
      <c r="J67" s="69"/>
      <c r="K67" s="69"/>
      <c r="L67" s="64"/>
      <c r="M67" s="64"/>
      <c r="N67" s="63"/>
      <c r="O67" s="70"/>
      <c r="P67" s="56"/>
    </row>
    <row r="68" spans="1:256" ht="30" customHeight="1" x14ac:dyDescent="0.2">
      <c r="A68" s="202"/>
      <c r="B68" s="194">
        <v>9</v>
      </c>
      <c r="C68" s="196" t="s">
        <v>82</v>
      </c>
      <c r="D68" s="198" t="s">
        <v>83</v>
      </c>
      <c r="E68" s="200" t="s">
        <v>84</v>
      </c>
      <c r="F68" s="194">
        <v>9.6</v>
      </c>
      <c r="G68" s="63">
        <v>47094.59</v>
      </c>
      <c r="H68" s="63">
        <v>0</v>
      </c>
      <c r="I68" s="192">
        <f>ROUND((F68*G68),0)</f>
        <v>452108</v>
      </c>
      <c r="J68" s="192">
        <f>(G68-H68-G69)*F68</f>
        <v>452108.06399999995</v>
      </c>
      <c r="K68" s="192">
        <v>0</v>
      </c>
      <c r="L68" s="193">
        <f>ROUND((F68*G69),0)</f>
        <v>0</v>
      </c>
      <c r="M68" s="64">
        <f>ROUND((H68*F68),0)</f>
        <v>0</v>
      </c>
      <c r="N68" s="63"/>
      <c r="O68" s="65"/>
      <c r="P68" s="66" t="s">
        <v>58</v>
      </c>
    </row>
    <row r="69" spans="1:256" ht="30" customHeight="1" x14ac:dyDescent="0.2">
      <c r="A69" s="202"/>
      <c r="B69" s="195"/>
      <c r="C69" s="197"/>
      <c r="D69" s="199"/>
      <c r="E69" s="201"/>
      <c r="F69" s="195"/>
      <c r="G69" s="63">
        <v>0</v>
      </c>
      <c r="H69" s="63">
        <v>0</v>
      </c>
      <c r="I69" s="192"/>
      <c r="J69" s="192"/>
      <c r="K69" s="192"/>
      <c r="L69" s="193"/>
      <c r="M69" s="64">
        <f>ROUND((H69*F68),0)</f>
        <v>0</v>
      </c>
      <c r="N69" s="63"/>
      <c r="O69" s="65"/>
      <c r="P69" s="66" t="s">
        <v>59</v>
      </c>
    </row>
    <row r="70" spans="1:256" ht="30" customHeight="1" x14ac:dyDescent="0.2">
      <c r="A70" s="202"/>
      <c r="B70" s="194">
        <v>10</v>
      </c>
      <c r="C70" s="196" t="s">
        <v>85</v>
      </c>
      <c r="D70" s="198" t="s">
        <v>86</v>
      </c>
      <c r="E70" s="200" t="s">
        <v>84</v>
      </c>
      <c r="F70" s="194">
        <v>9.6</v>
      </c>
      <c r="G70" s="63">
        <v>7872.52</v>
      </c>
      <c r="H70" s="63">
        <v>0</v>
      </c>
      <c r="I70" s="192">
        <f>ROUND((F70*G70),0)</f>
        <v>75576</v>
      </c>
      <c r="J70" s="192">
        <f>(G70-H70-G71)*F70</f>
        <v>75576.191999999995</v>
      </c>
      <c r="K70" s="192">
        <v>0</v>
      </c>
      <c r="L70" s="193">
        <f>ROUND((F70*G71),0)</f>
        <v>0</v>
      </c>
      <c r="M70" s="64">
        <f>ROUND((H70*F70),0)</f>
        <v>0</v>
      </c>
      <c r="N70" s="63"/>
      <c r="O70" s="65"/>
      <c r="P70" s="66" t="s">
        <v>58</v>
      </c>
    </row>
    <row r="71" spans="1:256" ht="30" customHeight="1" x14ac:dyDescent="0.2">
      <c r="A71" s="202"/>
      <c r="B71" s="195"/>
      <c r="C71" s="197"/>
      <c r="D71" s="199"/>
      <c r="E71" s="201"/>
      <c r="F71" s="195"/>
      <c r="G71" s="63">
        <v>0</v>
      </c>
      <c r="H71" s="63">
        <v>0</v>
      </c>
      <c r="I71" s="192"/>
      <c r="J71" s="192"/>
      <c r="K71" s="192"/>
      <c r="L71" s="193"/>
      <c r="M71" s="64">
        <f>ROUND((H71*F70),0)</f>
        <v>0</v>
      </c>
      <c r="N71" s="63"/>
      <c r="O71" s="65"/>
      <c r="P71" s="66" t="s">
        <v>59</v>
      </c>
    </row>
    <row r="72" spans="1:256" customFormat="1" ht="15.75" x14ac:dyDescent="0.2">
      <c r="A72" s="53"/>
      <c r="B72" s="55"/>
      <c r="C72" s="60" t="s">
        <v>131</v>
      </c>
      <c r="D72" s="61"/>
      <c r="E72" s="61"/>
      <c r="F72" s="62"/>
      <c r="G72" s="53"/>
      <c r="H72" s="53"/>
      <c r="I72" s="53"/>
      <c r="J72" s="53"/>
      <c r="K72" s="53"/>
      <c r="L72" s="53"/>
      <c r="M72" s="53"/>
      <c r="N72" s="53"/>
      <c r="O72" s="53"/>
      <c r="P72" s="56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customFormat="1" ht="30" customHeight="1" x14ac:dyDescent="0.2">
      <c r="A73" s="194"/>
      <c r="B73" s="194">
        <v>5</v>
      </c>
      <c r="C73" s="196" t="s">
        <v>87</v>
      </c>
      <c r="D73" s="198" t="s">
        <v>88</v>
      </c>
      <c r="E73" s="200" t="s">
        <v>57</v>
      </c>
      <c r="F73" s="194">
        <v>-511.7</v>
      </c>
      <c r="G73" s="63">
        <v>9372.57</v>
      </c>
      <c r="H73" s="63">
        <v>4456.84</v>
      </c>
      <c r="I73" s="192">
        <f>ROUND((F73*G73),0)</f>
        <v>-4795944</v>
      </c>
      <c r="J73" s="192">
        <f>ROUND((G73-H73-G74)*F73,0)</f>
        <v>-67652</v>
      </c>
      <c r="K73" s="192">
        <v>0</v>
      </c>
      <c r="L73" s="193">
        <f>ROUND((F73*G74),0)</f>
        <v>-2447727</v>
      </c>
      <c r="M73" s="64">
        <f>ROUND((H73*F73),0)</f>
        <v>-2280565</v>
      </c>
      <c r="N73" s="63">
        <v>15.45</v>
      </c>
      <c r="O73" s="65">
        <f>F73*N73</f>
        <v>-7905.7649999999994</v>
      </c>
      <c r="P73" s="66" t="s">
        <v>58</v>
      </c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customFormat="1" ht="30" customHeight="1" x14ac:dyDescent="0.2">
      <c r="A74" s="195"/>
      <c r="B74" s="195"/>
      <c r="C74" s="197"/>
      <c r="D74" s="199"/>
      <c r="E74" s="201"/>
      <c r="F74" s="195"/>
      <c r="G74" s="63">
        <v>4783.5200000000004</v>
      </c>
      <c r="H74" s="63">
        <v>1933.43</v>
      </c>
      <c r="I74" s="192"/>
      <c r="J74" s="192"/>
      <c r="K74" s="192"/>
      <c r="L74" s="193"/>
      <c r="M74" s="64">
        <f>ROUND((H74*F73),0)</f>
        <v>-989336</v>
      </c>
      <c r="N74" s="63">
        <v>5.63</v>
      </c>
      <c r="O74" s="65">
        <f>F73*N74</f>
        <v>-2880.8710000000001</v>
      </c>
      <c r="P74" s="66" t="s">
        <v>59</v>
      </c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customFormat="1" x14ac:dyDescent="0.2">
      <c r="A75" s="55"/>
      <c r="B75" s="55"/>
      <c r="C75" s="55"/>
      <c r="D75" s="203" t="s">
        <v>60</v>
      </c>
      <c r="E75" s="204"/>
      <c r="F75" s="205"/>
      <c r="G75" s="67">
        <v>1.0285</v>
      </c>
      <c r="H75" s="68"/>
      <c r="I75" s="69">
        <f>ROUND((L73+M74)*G75,0)</f>
        <v>-3535019</v>
      </c>
      <c r="J75" s="69"/>
      <c r="K75" s="69"/>
      <c r="L75" s="64"/>
      <c r="M75" s="64"/>
      <c r="N75" s="63"/>
      <c r="O75" s="70"/>
      <c r="P75" s="56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customFormat="1" x14ac:dyDescent="0.2">
      <c r="A76" s="55"/>
      <c r="B76" s="55"/>
      <c r="C76" s="55"/>
      <c r="D76" s="203" t="s">
        <v>61</v>
      </c>
      <c r="E76" s="204"/>
      <c r="F76" s="205"/>
      <c r="G76" s="67">
        <v>0.56000000000000005</v>
      </c>
      <c r="H76" s="68"/>
      <c r="I76" s="69">
        <f>ROUND((L73+M74)*G76,0)</f>
        <v>-1924755</v>
      </c>
      <c r="J76" s="69"/>
      <c r="K76" s="69"/>
      <c r="L76" s="64"/>
      <c r="M76" s="64"/>
      <c r="N76" s="63"/>
      <c r="O76" s="70"/>
      <c r="P76" s="56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customFormat="1" x14ac:dyDescent="0.2">
      <c r="A77" s="55"/>
      <c r="B77" s="55"/>
      <c r="C77" s="55"/>
      <c r="D77" s="53"/>
      <c r="E77" s="53"/>
      <c r="F77" s="71" t="s">
        <v>62</v>
      </c>
      <c r="G77" s="72"/>
      <c r="H77" s="68"/>
      <c r="I77" s="69">
        <f>I73+I75+I76</f>
        <v>-10255718</v>
      </c>
      <c r="J77" s="69"/>
      <c r="K77" s="69"/>
      <c r="L77" s="64"/>
      <c r="M77" s="64"/>
      <c r="N77" s="63"/>
      <c r="O77" s="70"/>
      <c r="P77" s="56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customFormat="1" ht="30" customHeight="1" x14ac:dyDescent="0.2">
      <c r="A78" s="194"/>
      <c r="B78" s="194">
        <v>6</v>
      </c>
      <c r="C78" s="196" t="s">
        <v>89</v>
      </c>
      <c r="D78" s="198" t="s">
        <v>90</v>
      </c>
      <c r="E78" s="200" t="s">
        <v>65</v>
      </c>
      <c r="F78" s="194">
        <v>1279.3</v>
      </c>
      <c r="G78" s="63">
        <v>67.33</v>
      </c>
      <c r="H78" s="63">
        <v>67.33</v>
      </c>
      <c r="I78" s="192">
        <f>ROUND((F78*G78),0)</f>
        <v>86135</v>
      </c>
      <c r="J78" s="192">
        <f>(G78-H78-G79)*F78</f>
        <v>0</v>
      </c>
      <c r="K78" s="192">
        <v>0</v>
      </c>
      <c r="L78" s="193">
        <f>ROUND((F78*G79),0)</f>
        <v>0</v>
      </c>
      <c r="M78" s="64">
        <f>ROUND((H78*F78),0)</f>
        <v>86135</v>
      </c>
      <c r="N78" s="63"/>
      <c r="O78" s="65"/>
      <c r="P78" s="66" t="s">
        <v>58</v>
      </c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customFormat="1" ht="30" customHeight="1" x14ac:dyDescent="0.2">
      <c r="A79" s="195"/>
      <c r="B79" s="195"/>
      <c r="C79" s="197"/>
      <c r="D79" s="199"/>
      <c r="E79" s="201"/>
      <c r="F79" s="195"/>
      <c r="G79" s="63">
        <v>0</v>
      </c>
      <c r="H79" s="63">
        <v>0</v>
      </c>
      <c r="I79" s="192"/>
      <c r="J79" s="192"/>
      <c r="K79" s="192"/>
      <c r="L79" s="193"/>
      <c r="M79" s="64">
        <f>ROUND((H79*F78),0)</f>
        <v>0</v>
      </c>
      <c r="N79" s="63"/>
      <c r="O79" s="65"/>
      <c r="P79" s="66" t="s">
        <v>59</v>
      </c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customFormat="1" ht="30" customHeight="1" x14ac:dyDescent="0.2">
      <c r="A80" s="194"/>
      <c r="B80" s="194">
        <v>7</v>
      </c>
      <c r="C80" s="196" t="s">
        <v>91</v>
      </c>
      <c r="D80" s="198" t="s">
        <v>67</v>
      </c>
      <c r="E80" s="200" t="s">
        <v>65</v>
      </c>
      <c r="F80" s="194">
        <v>1279.3</v>
      </c>
      <c r="G80" s="63">
        <v>329.63</v>
      </c>
      <c r="H80" s="63">
        <v>329.63</v>
      </c>
      <c r="I80" s="192">
        <f>ROUND((F80*G80),0)</f>
        <v>421696</v>
      </c>
      <c r="J80" s="192">
        <f>(G80-H80-G81)*F80</f>
        <v>0</v>
      </c>
      <c r="K80" s="192">
        <v>0</v>
      </c>
      <c r="L80" s="193">
        <f>ROUND((F80*G81),0)</f>
        <v>0</v>
      </c>
      <c r="M80" s="64">
        <f>ROUND((H80*F80),0)</f>
        <v>421696</v>
      </c>
      <c r="N80" s="63"/>
      <c r="O80" s="65"/>
      <c r="P80" s="66" t="s">
        <v>58</v>
      </c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customFormat="1" ht="30" customHeight="1" x14ac:dyDescent="0.2">
      <c r="A81" s="195"/>
      <c r="B81" s="195"/>
      <c r="C81" s="197"/>
      <c r="D81" s="199"/>
      <c r="E81" s="201"/>
      <c r="F81" s="195"/>
      <c r="G81" s="63">
        <v>0</v>
      </c>
      <c r="H81" s="63">
        <v>0</v>
      </c>
      <c r="I81" s="192"/>
      <c r="J81" s="192"/>
      <c r="K81" s="192"/>
      <c r="L81" s="193"/>
      <c r="M81" s="64">
        <f>ROUND((H81*F80),0)</f>
        <v>0</v>
      </c>
      <c r="N81" s="63"/>
      <c r="O81" s="65"/>
      <c r="P81" s="66" t="s">
        <v>59</v>
      </c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customFormat="1" ht="15.75" x14ac:dyDescent="0.2">
      <c r="A82" s="53"/>
      <c r="B82" s="55"/>
      <c r="C82" s="60" t="s">
        <v>132</v>
      </c>
      <c r="D82" s="61"/>
      <c r="E82" s="61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6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customFormat="1" ht="15.75" x14ac:dyDescent="0.2">
      <c r="A83" s="73"/>
      <c r="B83" s="55"/>
      <c r="C83" s="60" t="s">
        <v>92</v>
      </c>
      <c r="D83" s="61"/>
      <c r="E83" s="61"/>
      <c r="F83" s="62"/>
      <c r="G83" s="53"/>
      <c r="H83" s="53"/>
      <c r="I83" s="53"/>
      <c r="J83" s="53"/>
      <c r="K83" s="53"/>
      <c r="L83" s="53"/>
      <c r="M83" s="53"/>
      <c r="N83" s="53"/>
      <c r="O83" s="53"/>
      <c r="P83" s="56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customFormat="1" ht="30" customHeight="1" x14ac:dyDescent="0.2">
      <c r="A84" s="202"/>
      <c r="B84" s="194">
        <v>8</v>
      </c>
      <c r="C84" s="196" t="s">
        <v>93</v>
      </c>
      <c r="D84" s="198" t="s">
        <v>94</v>
      </c>
      <c r="E84" s="200" t="s">
        <v>57</v>
      </c>
      <c r="F84" s="194">
        <v>639</v>
      </c>
      <c r="G84" s="145">
        <v>7233.6602278355613</v>
      </c>
      <c r="H84" s="145">
        <v>3575.1097903252435</v>
      </c>
      <c r="I84" s="192">
        <f>ROUND((F84*G84),0)</f>
        <v>4622309</v>
      </c>
      <c r="J84" s="192">
        <f>ROUND((G84-H84-G85)*F84,0)</f>
        <v>84483</v>
      </c>
      <c r="K84" s="192">
        <v>0</v>
      </c>
      <c r="L84" s="193">
        <f>ROUND((F84*G85),0)</f>
        <v>2253331</v>
      </c>
      <c r="M84" s="64">
        <f>ROUND((H84*F84),0)</f>
        <v>2284495</v>
      </c>
      <c r="N84" s="63">
        <v>15.45</v>
      </c>
      <c r="O84" s="65">
        <f>F84*N84</f>
        <v>9872.5499999999993</v>
      </c>
      <c r="P84" s="66" t="s">
        <v>58</v>
      </c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customFormat="1" ht="30" customHeight="1" x14ac:dyDescent="0.2">
      <c r="A85" s="202"/>
      <c r="B85" s="195"/>
      <c r="C85" s="197"/>
      <c r="D85" s="199"/>
      <c r="E85" s="201"/>
      <c r="F85" s="195"/>
      <c r="G85" s="145">
        <v>3526.3397721644374</v>
      </c>
      <c r="H85" s="145">
        <v>1548.7105827967639</v>
      </c>
      <c r="I85" s="192"/>
      <c r="J85" s="192"/>
      <c r="K85" s="192"/>
      <c r="L85" s="193"/>
      <c r="M85" s="64">
        <f>ROUND((H85*F84),0)</f>
        <v>989626</v>
      </c>
      <c r="N85" s="63">
        <v>5.63</v>
      </c>
      <c r="O85" s="65">
        <f>F84*N85</f>
        <v>3597.5699999999997</v>
      </c>
      <c r="P85" s="66" t="s">
        <v>59</v>
      </c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customFormat="1" x14ac:dyDescent="0.2">
      <c r="A86" s="55"/>
      <c r="B86" s="55"/>
      <c r="C86" s="55"/>
      <c r="D86" s="203" t="s">
        <v>60</v>
      </c>
      <c r="E86" s="204"/>
      <c r="F86" s="205"/>
      <c r="G86" s="67">
        <v>1.0285</v>
      </c>
      <c r="H86" s="68"/>
      <c r="I86" s="69">
        <f>ROUND((L84+M85)*G86,0)</f>
        <v>3335381</v>
      </c>
      <c r="J86" s="69"/>
      <c r="K86" s="69"/>
      <c r="L86" s="64"/>
      <c r="M86" s="64"/>
      <c r="N86" s="63"/>
      <c r="O86" s="70"/>
      <c r="P86" s="56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customFormat="1" x14ac:dyDescent="0.2">
      <c r="A87" s="55"/>
      <c r="B87" s="55"/>
      <c r="C87" s="55"/>
      <c r="D87" s="203" t="s">
        <v>61</v>
      </c>
      <c r="E87" s="204"/>
      <c r="F87" s="205"/>
      <c r="G87" s="67">
        <v>0.56000000000000005</v>
      </c>
      <c r="H87" s="68"/>
      <c r="I87" s="69">
        <f>ROUND((L84+M85)*G87,0)</f>
        <v>1816056</v>
      </c>
      <c r="J87" s="69"/>
      <c r="K87" s="69"/>
      <c r="L87" s="64"/>
      <c r="M87" s="64"/>
      <c r="N87" s="63"/>
      <c r="O87" s="70"/>
      <c r="P87" s="56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customFormat="1" x14ac:dyDescent="0.2">
      <c r="A88" s="55"/>
      <c r="B88" s="55"/>
      <c r="C88" s="55"/>
      <c r="D88" s="53"/>
      <c r="E88" s="53"/>
      <c r="F88" s="71" t="s">
        <v>62</v>
      </c>
      <c r="G88" s="72"/>
      <c r="H88" s="68"/>
      <c r="I88" s="69">
        <f>I84+I86+I87</f>
        <v>9773746</v>
      </c>
      <c r="J88" s="69"/>
      <c r="K88" s="69"/>
      <c r="L88" s="64"/>
      <c r="M88" s="64"/>
      <c r="N88" s="63"/>
      <c r="O88" s="70"/>
      <c r="P88" s="56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customFormat="1" ht="30" customHeight="1" x14ac:dyDescent="0.2">
      <c r="A89" s="202"/>
      <c r="B89" s="194">
        <v>9</v>
      </c>
      <c r="C89" s="196" t="s">
        <v>95</v>
      </c>
      <c r="D89" s="198" t="s">
        <v>96</v>
      </c>
      <c r="E89" s="200" t="s">
        <v>65</v>
      </c>
      <c r="F89" s="194">
        <v>320</v>
      </c>
      <c r="G89" s="63">
        <v>151.84075573549256</v>
      </c>
      <c r="H89" s="63">
        <v>0</v>
      </c>
      <c r="I89" s="192">
        <f>ROUND((F89*G89),0)</f>
        <v>48589</v>
      </c>
      <c r="J89" s="192">
        <f>(G89-H89-G90)*F89</f>
        <v>48589.041835357624</v>
      </c>
      <c r="K89" s="192">
        <v>0</v>
      </c>
      <c r="L89" s="193">
        <f>ROUND((F89*G90),0)</f>
        <v>0</v>
      </c>
      <c r="M89" s="64">
        <f>ROUND((H89*F89),0)</f>
        <v>0</v>
      </c>
      <c r="N89" s="63"/>
      <c r="O89" s="65"/>
      <c r="P89" s="66" t="s">
        <v>58</v>
      </c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customFormat="1" ht="30" customHeight="1" x14ac:dyDescent="0.2">
      <c r="A90" s="202"/>
      <c r="B90" s="195"/>
      <c r="C90" s="197"/>
      <c r="D90" s="199"/>
      <c r="E90" s="201"/>
      <c r="F90" s="195"/>
      <c r="G90" s="63">
        <v>0</v>
      </c>
      <c r="H90" s="63">
        <v>0</v>
      </c>
      <c r="I90" s="192"/>
      <c r="J90" s="192"/>
      <c r="K90" s="192"/>
      <c r="L90" s="193"/>
      <c r="M90" s="64">
        <f>ROUND((H90*F89),0)</f>
        <v>0</v>
      </c>
      <c r="N90" s="63"/>
      <c r="O90" s="65"/>
      <c r="P90" s="66" t="s">
        <v>59</v>
      </c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customFormat="1" ht="30" customHeight="1" x14ac:dyDescent="0.2">
      <c r="A91" s="194"/>
      <c r="B91" s="194">
        <v>10</v>
      </c>
      <c r="C91" s="196" t="s">
        <v>97</v>
      </c>
      <c r="D91" s="198" t="s">
        <v>98</v>
      </c>
      <c r="E91" s="200" t="s">
        <v>65</v>
      </c>
      <c r="F91" s="194">
        <v>320</v>
      </c>
      <c r="G91" s="63">
        <v>329.63022941970308</v>
      </c>
      <c r="H91" s="63">
        <v>0</v>
      </c>
      <c r="I91" s="192">
        <f>ROUND((F91*G91),0)</f>
        <v>105482</v>
      </c>
      <c r="J91" s="192">
        <f>(G91-H91-G92)*F91</f>
        <v>105481.67341430498</v>
      </c>
      <c r="K91" s="192">
        <v>0</v>
      </c>
      <c r="L91" s="193">
        <f>ROUND((F91*G92),0)</f>
        <v>0</v>
      </c>
      <c r="M91" s="64">
        <f>ROUND((H91*F91),0)</f>
        <v>0</v>
      </c>
      <c r="N91" s="63"/>
      <c r="O91" s="65"/>
      <c r="P91" s="66" t="s">
        <v>58</v>
      </c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customFormat="1" ht="30" customHeight="1" x14ac:dyDescent="0.2">
      <c r="A92" s="195"/>
      <c r="B92" s="195"/>
      <c r="C92" s="197"/>
      <c r="D92" s="199"/>
      <c r="E92" s="201"/>
      <c r="F92" s="195"/>
      <c r="G92" s="63">
        <v>0</v>
      </c>
      <c r="H92" s="63">
        <v>0</v>
      </c>
      <c r="I92" s="192"/>
      <c r="J92" s="192"/>
      <c r="K92" s="192"/>
      <c r="L92" s="193"/>
      <c r="M92" s="64">
        <f>ROUND((H92*F91),0)</f>
        <v>0</v>
      </c>
      <c r="N92" s="63"/>
      <c r="O92" s="65"/>
      <c r="P92" s="66" t="s">
        <v>59</v>
      </c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customFormat="1" x14ac:dyDescent="0.2">
      <c r="A93" s="186" t="s">
        <v>99</v>
      </c>
      <c r="B93" s="187"/>
      <c r="C93" s="187"/>
      <c r="D93" s="187"/>
      <c r="E93" s="187"/>
      <c r="F93" s="187"/>
      <c r="G93" s="188"/>
      <c r="H93" s="182"/>
      <c r="I93" s="178">
        <f>SUMIF($B35:$B92,"&gt;0",I35:I92)</f>
        <v>7128432</v>
      </c>
      <c r="J93" s="178">
        <f>SUMIF($B35:$B92,"&gt;0",J35:J92)</f>
        <v>1447827.0417496627</v>
      </c>
      <c r="K93" s="178">
        <f>SUMIF($B35:$B92,"&gt;0",K35:K92)</f>
        <v>0</v>
      </c>
      <c r="L93" s="178">
        <f>SUMIF($B35:$B92,"&gt;0",L35:L92)</f>
        <v>2406451</v>
      </c>
      <c r="M93" s="74">
        <f>SUMIF(P37:P92,"р",M37:M92)</f>
        <v>3274156</v>
      </c>
      <c r="N93" s="74"/>
      <c r="O93" s="74">
        <f>SUMIF(P37:P92,"р",O37:O92)</f>
        <v>11006.896249999998</v>
      </c>
      <c r="P93" s="56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customFormat="1" x14ac:dyDescent="0.2">
      <c r="A94" s="189"/>
      <c r="B94" s="190"/>
      <c r="C94" s="190"/>
      <c r="D94" s="190"/>
      <c r="E94" s="190"/>
      <c r="F94" s="190"/>
      <c r="G94" s="191"/>
      <c r="H94" s="183"/>
      <c r="I94" s="179" t="e">
        <f>SUMIF(#REF!,"&gt;"&amp;#REF!,I35:I93)</f>
        <v>#REF!</v>
      </c>
      <c r="J94" s="179" t="e">
        <f>SUMIF(#REF!,"&gt;"&amp;#REF!,J35:J93)</f>
        <v>#REF!</v>
      </c>
      <c r="K94" s="179" t="e">
        <f>SUMIF(#REF!,"&gt;"&amp;#REF!,K35:K93)</f>
        <v>#REF!</v>
      </c>
      <c r="L94" s="179" t="e">
        <f>SUMIF(#REF!,"&gt;"&amp;#REF!,L35:L93)</f>
        <v>#REF!</v>
      </c>
      <c r="M94" s="74">
        <f>SUMIF(P38:P93,"м",M38:M93)</f>
        <v>995308</v>
      </c>
      <c r="N94" s="74"/>
      <c r="O94" s="74">
        <f>SUMIF(P38:P93,"м",O38:O93)</f>
        <v>3580.1130499999995</v>
      </c>
      <c r="P94" s="56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customFormat="1" x14ac:dyDescent="0.2">
      <c r="A95" s="184" t="s">
        <v>100</v>
      </c>
      <c r="B95" s="184"/>
      <c r="C95" s="184"/>
      <c r="D95" s="184"/>
      <c r="E95" s="184"/>
      <c r="F95" s="184"/>
      <c r="G95" s="184"/>
      <c r="H95" s="75"/>
      <c r="I95" s="74">
        <f>L93+M94</f>
        <v>3401759</v>
      </c>
      <c r="J95" s="76"/>
      <c r="K95" s="76"/>
      <c r="L95" s="76"/>
      <c r="M95" s="77"/>
      <c r="N95" s="77"/>
      <c r="O95" s="77"/>
      <c r="P95" s="56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customFormat="1" x14ac:dyDescent="0.2">
      <c r="A96" s="185" t="s">
        <v>101</v>
      </c>
      <c r="B96" s="185"/>
      <c r="C96" s="185"/>
      <c r="D96" s="185"/>
      <c r="E96" s="185"/>
      <c r="F96" s="185"/>
      <c r="G96" s="185"/>
      <c r="H96" s="75"/>
      <c r="I96" s="76">
        <f>SUMIF(D35:D92,"накладные расходы*",I35:I92)</f>
        <v>3560747</v>
      </c>
      <c r="J96" s="76"/>
      <c r="K96" s="76"/>
      <c r="L96" s="76"/>
      <c r="M96" s="76"/>
      <c r="N96" s="65"/>
      <c r="O96" s="65"/>
      <c r="P96" s="56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customFormat="1" x14ac:dyDescent="0.2">
      <c r="A97" s="185" t="s">
        <v>102</v>
      </c>
      <c r="B97" s="185"/>
      <c r="C97" s="185"/>
      <c r="D97" s="185"/>
      <c r="E97" s="185"/>
      <c r="F97" s="185"/>
      <c r="G97" s="185"/>
      <c r="H97" s="75"/>
      <c r="I97" s="76">
        <f>SUMIF(D35:D92,"Сметная прибыль*",I35:I92)</f>
        <v>1922868</v>
      </c>
      <c r="J97" s="76"/>
      <c r="K97" s="76"/>
      <c r="L97" s="76"/>
      <c r="M97" s="76"/>
      <c r="N97" s="65"/>
      <c r="O97" s="65"/>
      <c r="P97" s="56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18.75" x14ac:dyDescent="0.3">
      <c r="A98" s="186" t="s">
        <v>103</v>
      </c>
      <c r="B98" s="187"/>
      <c r="C98" s="187"/>
      <c r="D98" s="187"/>
      <c r="E98" s="187"/>
      <c r="F98" s="187"/>
      <c r="G98" s="188"/>
      <c r="H98" s="164"/>
      <c r="I98" s="166">
        <f>ROUND((I93+I96+I97),0)</f>
        <v>12612047</v>
      </c>
      <c r="J98" s="76"/>
      <c r="K98" s="76"/>
      <c r="L98" s="76"/>
      <c r="M98" s="76"/>
      <c r="N98" s="65"/>
      <c r="O98" s="65"/>
      <c r="P98" s="78"/>
    </row>
    <row r="99" spans="1:256" x14ac:dyDescent="0.2">
      <c r="A99" s="189"/>
      <c r="B99" s="190"/>
      <c r="C99" s="190"/>
      <c r="D99" s="190"/>
      <c r="E99" s="190"/>
      <c r="F99" s="190"/>
      <c r="G99" s="191"/>
      <c r="H99" s="165"/>
      <c r="I99" s="167"/>
      <c r="J99" s="77"/>
      <c r="K99" s="77"/>
      <c r="L99" s="77"/>
      <c r="M99" s="77"/>
      <c r="N99" s="77"/>
      <c r="O99" s="77"/>
      <c r="P99" s="56"/>
    </row>
    <row r="100" spans="1:256" s="83" customFormat="1" x14ac:dyDescent="0.2">
      <c r="A100" s="168" t="s">
        <v>104</v>
      </c>
      <c r="B100" s="169"/>
      <c r="C100" s="169"/>
      <c r="D100" s="169"/>
      <c r="E100" s="169"/>
      <c r="F100" s="169"/>
      <c r="G100" s="170"/>
      <c r="H100" s="174">
        <f ca="1">J128</f>
        <v>1.1980050169492709</v>
      </c>
      <c r="I100" s="176">
        <f ca="1">ROUND(H100*I98,2)</f>
        <v>15109295.58</v>
      </c>
      <c r="J100" s="79"/>
      <c r="K100" s="79"/>
      <c r="L100" s="79"/>
      <c r="M100" s="80"/>
      <c r="N100" s="81"/>
      <c r="O100" s="81"/>
      <c r="P100" s="82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</row>
    <row r="101" spans="1:256" s="83" customFormat="1" x14ac:dyDescent="0.2">
      <c r="A101" s="171"/>
      <c r="B101" s="172"/>
      <c r="C101" s="172"/>
      <c r="D101" s="172"/>
      <c r="E101" s="172"/>
      <c r="F101" s="172"/>
      <c r="G101" s="173"/>
      <c r="H101" s="175"/>
      <c r="I101" s="177"/>
      <c r="J101" s="84"/>
      <c r="K101" s="84"/>
      <c r="L101" s="84"/>
      <c r="M101" s="84"/>
      <c r="N101" s="84"/>
      <c r="O101" s="84"/>
      <c r="P101" s="82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</row>
    <row r="102" spans="1:256" s="83" customFormat="1" ht="14.25" x14ac:dyDescent="0.2">
      <c r="A102" s="85"/>
      <c r="B102" s="86"/>
      <c r="C102" s="87"/>
      <c r="D102" s="87"/>
      <c r="E102" s="87"/>
      <c r="F102" s="87"/>
      <c r="G102" s="88"/>
      <c r="H102" s="89"/>
      <c r="I102" s="90"/>
      <c r="J102" s="91"/>
      <c r="K102" s="91"/>
      <c r="L102" s="91"/>
      <c r="M102" s="84"/>
      <c r="N102" s="84"/>
      <c r="O102" s="84"/>
      <c r="P102" s="8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</row>
    <row r="103" spans="1:256" x14ac:dyDescent="0.2">
      <c r="A103" s="158" t="s">
        <v>105</v>
      </c>
      <c r="B103" s="159"/>
      <c r="C103" s="159"/>
      <c r="D103" s="159"/>
      <c r="E103" s="159"/>
      <c r="F103" s="159"/>
      <c r="G103" s="160"/>
      <c r="H103" s="182"/>
      <c r="I103" s="178">
        <f ca="1">SUMIF($A$35:$G102,"Итого по разделу*",I$35:I102)</f>
        <v>7128432</v>
      </c>
      <c r="J103" s="178">
        <f ca="1">SUMIF($A$35:$G102,"Итого по разделу*",J$35:J102)</f>
        <v>1447827.0417496627</v>
      </c>
      <c r="K103" s="178">
        <f ca="1">SUMIF($A$35:$G102,"Итого по разделу*",K$35:K102)</f>
        <v>0</v>
      </c>
      <c r="L103" s="178">
        <f ca="1">SUMIF($A$35:$G102,"Итого по разделу*",L$35:L102)</f>
        <v>2406451</v>
      </c>
      <c r="M103" s="74">
        <f>SUMIF(P$35:P102,"р",M$35:M102)</f>
        <v>3274156</v>
      </c>
      <c r="N103" s="74"/>
      <c r="O103" s="74">
        <f>SUMIF(P$35:P102,"р",O$35:O102)</f>
        <v>11006.896249999998</v>
      </c>
      <c r="P103" s="56"/>
    </row>
    <row r="104" spans="1:256" x14ac:dyDescent="0.2">
      <c r="A104" s="161"/>
      <c r="B104" s="162"/>
      <c r="C104" s="162"/>
      <c r="D104" s="162"/>
      <c r="E104" s="162"/>
      <c r="F104" s="162"/>
      <c r="G104" s="163"/>
      <c r="H104" s="183"/>
      <c r="I104" s="179" t="e">
        <f>SUMIF(#REF!,"&gt;"&amp;#REF!,I93:I103)</f>
        <v>#REF!</v>
      </c>
      <c r="J104" s="179" t="e">
        <f>SUMIF(#REF!,"&gt;"&amp;#REF!,J93:J103)</f>
        <v>#REF!</v>
      </c>
      <c r="K104" s="179" t="e">
        <f>SUMIF(#REF!,"&gt;"&amp;#REF!,K93:K103)</f>
        <v>#REF!</v>
      </c>
      <c r="L104" s="179" t="e">
        <f>SUMIF(#REF!,"&gt;"&amp;#REF!,L93:L103)</f>
        <v>#REF!</v>
      </c>
      <c r="M104" s="74">
        <f>SUMIF(P$35:P103,"м",M$35:M103)</f>
        <v>995308</v>
      </c>
      <c r="N104" s="74"/>
      <c r="O104" s="74">
        <f>SUMIF(P$35:P103,"м",O$35:O103)</f>
        <v>3580.1130499999995</v>
      </c>
      <c r="P104" s="56"/>
    </row>
    <row r="105" spans="1:256" ht="14.25" x14ac:dyDescent="0.2">
      <c r="A105" s="180" t="s">
        <v>100</v>
      </c>
      <c r="B105" s="180"/>
      <c r="C105" s="180"/>
      <c r="D105" s="180"/>
      <c r="E105" s="180"/>
      <c r="F105" s="180"/>
      <c r="G105" s="180"/>
      <c r="H105" s="75"/>
      <c r="I105" s="74">
        <f ca="1">L103+M104</f>
        <v>3401759</v>
      </c>
      <c r="J105" s="76"/>
      <c r="K105" s="76"/>
      <c r="L105" s="76"/>
      <c r="M105" s="77"/>
      <c r="N105" s="77"/>
      <c r="O105" s="77"/>
      <c r="P105" s="56"/>
    </row>
    <row r="106" spans="1:256" ht="15" x14ac:dyDescent="0.2">
      <c r="A106" s="181" t="s">
        <v>106</v>
      </c>
      <c r="B106" s="181"/>
      <c r="C106" s="181"/>
      <c r="D106" s="181"/>
      <c r="E106" s="181"/>
      <c r="F106" s="181"/>
      <c r="G106" s="181"/>
      <c r="H106" s="75"/>
      <c r="I106" s="76">
        <f ca="1">SUMIF($A$35:$G105,"Накладные расходы по разделу*",I$35:I105)</f>
        <v>3560747</v>
      </c>
      <c r="J106" s="76"/>
      <c r="K106" s="76"/>
      <c r="L106" s="76"/>
      <c r="M106" s="76"/>
      <c r="N106" s="65"/>
      <c r="O106" s="65"/>
      <c r="P106" s="56"/>
    </row>
    <row r="107" spans="1:256" ht="15" x14ac:dyDescent="0.2">
      <c r="A107" s="181" t="s">
        <v>107</v>
      </c>
      <c r="B107" s="181"/>
      <c r="C107" s="181"/>
      <c r="D107" s="181"/>
      <c r="E107" s="181"/>
      <c r="F107" s="181"/>
      <c r="G107" s="181"/>
      <c r="H107" s="75"/>
      <c r="I107" s="76">
        <f ca="1">SUMIF($A$35:$G106,"Сметная прибыль по разделу*",I$35:I106)</f>
        <v>1922868</v>
      </c>
      <c r="J107" s="76"/>
      <c r="K107" s="76"/>
      <c r="L107" s="76"/>
      <c r="M107" s="76"/>
      <c r="N107" s="65"/>
      <c r="O107" s="65"/>
      <c r="P107" s="56"/>
    </row>
    <row r="108" spans="1:256" ht="18.75" x14ac:dyDescent="0.3">
      <c r="A108" s="158" t="s">
        <v>108</v>
      </c>
      <c r="B108" s="159"/>
      <c r="C108" s="159"/>
      <c r="D108" s="159"/>
      <c r="E108" s="159"/>
      <c r="F108" s="159"/>
      <c r="G108" s="160"/>
      <c r="H108" s="164"/>
      <c r="I108" s="166">
        <f ca="1">ROUND((I103+I106+I107),0)</f>
        <v>12612047</v>
      </c>
      <c r="J108" s="76"/>
      <c r="K108" s="76"/>
      <c r="L108" s="76"/>
      <c r="M108" s="76"/>
      <c r="N108" s="65"/>
      <c r="O108" s="65"/>
      <c r="P108" s="78"/>
    </row>
    <row r="109" spans="1:256" x14ac:dyDescent="0.2">
      <c r="A109" s="161"/>
      <c r="B109" s="162"/>
      <c r="C109" s="162"/>
      <c r="D109" s="162"/>
      <c r="E109" s="162"/>
      <c r="F109" s="162"/>
      <c r="G109" s="163"/>
      <c r="H109" s="165"/>
      <c r="I109" s="167"/>
      <c r="J109" s="77"/>
      <c r="K109" s="77"/>
      <c r="L109" s="77"/>
      <c r="M109" s="77"/>
      <c r="N109" s="77"/>
      <c r="O109" s="77"/>
      <c r="P109" s="56"/>
    </row>
    <row r="110" spans="1:256" s="83" customFormat="1" x14ac:dyDescent="0.2">
      <c r="A110" s="168" t="s">
        <v>109</v>
      </c>
      <c r="B110" s="169"/>
      <c r="C110" s="169"/>
      <c r="D110" s="169"/>
      <c r="E110" s="169"/>
      <c r="F110" s="169"/>
      <c r="G110" s="170"/>
      <c r="H110" s="174"/>
      <c r="I110" s="176">
        <f ca="1">SUMIF($A$35:$G109,"Всего по разделу с коэф*",I$35:I109)</f>
        <v>15109295.58</v>
      </c>
      <c r="J110" s="79"/>
      <c r="K110" s="79"/>
      <c r="L110" s="79"/>
      <c r="M110" s="80"/>
      <c r="N110" s="81"/>
      <c r="O110" s="81"/>
      <c r="P110" s="82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</row>
    <row r="111" spans="1:256" s="83" customFormat="1" x14ac:dyDescent="0.2">
      <c r="A111" s="171"/>
      <c r="B111" s="172"/>
      <c r="C111" s="172"/>
      <c r="D111" s="172"/>
      <c r="E111" s="172"/>
      <c r="F111" s="172"/>
      <c r="G111" s="173"/>
      <c r="H111" s="175"/>
      <c r="I111" s="177">
        <f ca="1">SUMIF($A$35:$G110,"Сметная прибыль по разделу*",I$35:I110)</f>
        <v>1922868</v>
      </c>
      <c r="J111" s="84"/>
      <c r="K111" s="84"/>
      <c r="L111" s="84"/>
      <c r="M111" s="84"/>
      <c r="N111" s="84"/>
      <c r="O111" s="84"/>
      <c r="P111" s="82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</row>
    <row r="112" spans="1:256" ht="22.5" customHeight="1" x14ac:dyDescent="0.25">
      <c r="G112" s="94" t="s">
        <v>110</v>
      </c>
      <c r="H112" s="95">
        <f>H127</f>
        <v>639</v>
      </c>
      <c r="I112" s="148">
        <f>J127</f>
        <v>15109295.58</v>
      </c>
    </row>
    <row r="113" spans="1:44" s="105" customFormat="1" ht="15.75" customHeight="1" x14ac:dyDescent="0.25">
      <c r="A113" s="96"/>
      <c r="B113" s="97" t="s">
        <v>111</v>
      </c>
      <c r="C113" s="98" t="s">
        <v>112</v>
      </c>
      <c r="D113" s="99"/>
      <c r="E113" s="99"/>
      <c r="F113" s="98"/>
      <c r="G113" s="100"/>
      <c r="H113" s="101"/>
      <c r="I113" s="102"/>
      <c r="J113" s="102"/>
      <c r="K113" s="102"/>
      <c r="L113" s="102"/>
      <c r="M113" s="102"/>
      <c r="N113" s="103"/>
      <c r="O113" s="103"/>
      <c r="P113" s="104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</row>
    <row r="114" spans="1:44" s="105" customFormat="1" ht="9.75" hidden="1" customHeight="1" x14ac:dyDescent="0.2">
      <c r="A114" s="46"/>
      <c r="B114" s="106"/>
      <c r="C114" s="107"/>
      <c r="D114" s="108"/>
      <c r="E114" s="108"/>
      <c r="F114" s="109"/>
      <c r="G114" s="110"/>
      <c r="H114" s="110"/>
      <c r="I114" s="111"/>
      <c r="J114" s="111"/>
      <c r="K114" s="111"/>
      <c r="L114" s="111"/>
      <c r="M114" s="111"/>
      <c r="N114" s="111"/>
      <c r="O114" s="111"/>
      <c r="P114" s="10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</row>
    <row r="115" spans="1:44" s="105" customFormat="1" ht="15.75" x14ac:dyDescent="0.25">
      <c r="A115" s="96"/>
      <c r="B115" s="112"/>
      <c r="C115" s="113"/>
      <c r="D115" s="114"/>
      <c r="E115" s="114"/>
      <c r="F115" s="115"/>
      <c r="G115" s="115"/>
      <c r="H115" s="116" t="s">
        <v>113</v>
      </c>
      <c r="I115" s="117"/>
      <c r="J115" s="118"/>
      <c r="K115" s="119"/>
      <c r="L115" s="120"/>
      <c r="M115" s="121"/>
      <c r="N115" s="121"/>
      <c r="O115" s="117"/>
      <c r="P115" s="104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</row>
    <row r="116" spans="1:44" s="105" customFormat="1" x14ac:dyDescent="0.2">
      <c r="A116" s="96"/>
      <c r="B116" s="112"/>
      <c r="C116" s="41" t="s">
        <v>114</v>
      </c>
      <c r="D116" s="150" t="s">
        <v>115</v>
      </c>
      <c r="E116" s="150"/>
      <c r="F116" s="122"/>
      <c r="G116" s="119"/>
      <c r="H116" s="41"/>
      <c r="I116" s="41"/>
      <c r="J116" s="44"/>
      <c r="K116" s="44"/>
      <c r="L116" s="123"/>
      <c r="M116" s="41"/>
      <c r="N116" s="41"/>
      <c r="O116" s="117"/>
      <c r="P116" s="104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</row>
    <row r="117" spans="1:44" s="105" customFormat="1" ht="15.75" x14ac:dyDescent="0.25">
      <c r="A117" s="96"/>
      <c r="B117" s="151"/>
      <c r="C117" s="151"/>
      <c r="D117" s="124"/>
      <c r="E117" s="124"/>
      <c r="F117" s="125"/>
      <c r="G117" s="126"/>
      <c r="H117" s="127"/>
      <c r="I117" s="128"/>
      <c r="J117" s="128"/>
      <c r="K117" s="128"/>
      <c r="L117" s="129"/>
      <c r="M117" s="129"/>
      <c r="N117" s="126"/>
      <c r="O117" s="117"/>
      <c r="P117" s="104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</row>
    <row r="118" spans="1:44" x14ac:dyDescent="0.2">
      <c r="F118" s="130"/>
      <c r="G118" s="131"/>
      <c r="H118" s="131"/>
      <c r="M118" s="131"/>
      <c r="N118" s="131"/>
      <c r="O118" s="131"/>
    </row>
    <row r="119" spans="1:44" x14ac:dyDescent="0.2">
      <c r="F119" s="130"/>
      <c r="G119" s="131"/>
      <c r="H119" s="131"/>
      <c r="M119" s="131"/>
      <c r="N119" s="131"/>
      <c r="O119" s="131"/>
    </row>
    <row r="120" spans="1:44" x14ac:dyDescent="0.2">
      <c r="F120" s="130"/>
      <c r="G120" s="131"/>
      <c r="H120" s="131"/>
      <c r="M120" s="131"/>
      <c r="N120" s="131"/>
      <c r="O120" s="131"/>
    </row>
    <row r="121" spans="1:44" x14ac:dyDescent="0.2">
      <c r="E121"/>
      <c r="F121"/>
      <c r="G121"/>
      <c r="H121"/>
      <c r="I121"/>
      <c r="J121"/>
    </row>
    <row r="122" spans="1:44" ht="13.5" thickBot="1" x14ac:dyDescent="0.25">
      <c r="E122"/>
      <c r="F122"/>
      <c r="G122"/>
      <c r="H122"/>
      <c r="I122"/>
      <c r="J122"/>
    </row>
    <row r="123" spans="1:44" ht="33" customHeight="1" x14ac:dyDescent="0.2">
      <c r="E123"/>
      <c r="F123"/>
      <c r="G123" s="152" t="s">
        <v>116</v>
      </c>
      <c r="H123" s="154" t="s">
        <v>117</v>
      </c>
      <c r="I123" s="154" t="s">
        <v>43</v>
      </c>
      <c r="J123" s="156" t="s">
        <v>118</v>
      </c>
    </row>
    <row r="124" spans="1:44" ht="33" customHeight="1" x14ac:dyDescent="0.2">
      <c r="E124"/>
      <c r="F124"/>
      <c r="G124" s="153"/>
      <c r="H124" s="155"/>
      <c r="I124" s="155"/>
      <c r="J124" s="157"/>
    </row>
    <row r="125" spans="1:44" ht="33" customHeight="1" x14ac:dyDescent="0.2">
      <c r="E125"/>
      <c r="F125" s="132" t="s">
        <v>119</v>
      </c>
      <c r="G125" s="133" t="s">
        <v>78</v>
      </c>
      <c r="H125" s="134">
        <v>639</v>
      </c>
      <c r="I125" s="134">
        <v>23645.22</v>
      </c>
      <c r="J125" s="135">
        <v>15109295.58</v>
      </c>
      <c r="K125" s="136" t="s">
        <v>120</v>
      </c>
    </row>
    <row r="126" spans="1:44" ht="33" customHeight="1" thickBot="1" x14ac:dyDescent="0.25">
      <c r="E126"/>
      <c r="F126" s="132" t="s">
        <v>121</v>
      </c>
      <c r="G126" s="133" t="str">
        <f>G125</f>
        <v>м3</v>
      </c>
      <c r="H126" s="134">
        <f ca="1">J126/I126</f>
        <v>639</v>
      </c>
      <c r="I126" s="134">
        <f>I125</f>
        <v>23645.22</v>
      </c>
      <c r="J126" s="135">
        <f ca="1">I110</f>
        <v>15109295.58</v>
      </c>
      <c r="K126" s="137" t="s">
        <v>122</v>
      </c>
    </row>
    <row r="127" spans="1:44" ht="33" customHeight="1" thickBot="1" x14ac:dyDescent="0.25">
      <c r="D127" s="138"/>
      <c r="E127" s="139" t="s">
        <v>123</v>
      </c>
      <c r="F127" s="140"/>
      <c r="G127" s="141" t="str">
        <f>G125</f>
        <v>м3</v>
      </c>
      <c r="H127" s="142">
        <v>639</v>
      </c>
      <c r="I127" s="143">
        <f>I125</f>
        <v>23645.22</v>
      </c>
      <c r="J127" s="147">
        <f>ROUND(H127*I127,2)</f>
        <v>15109295.58</v>
      </c>
    </row>
    <row r="128" spans="1:44" x14ac:dyDescent="0.2">
      <c r="H128" s="144" t="s">
        <v>124</v>
      </c>
      <c r="J128" s="29">
        <f ca="1">J127/I108</f>
        <v>1.1980050169492709</v>
      </c>
    </row>
    <row r="130" spans="1:256" s="29" customFormat="1" ht="33" customHeight="1" x14ac:dyDescent="0.2">
      <c r="A130" s="5"/>
      <c r="B130" s="92"/>
      <c r="C130" s="93"/>
      <c r="D130" s="5"/>
      <c r="E130"/>
      <c r="F130"/>
      <c r="G130"/>
      <c r="H130"/>
      <c r="I130"/>
      <c r="J130"/>
      <c r="M130" s="5"/>
      <c r="N130" s="5"/>
      <c r="O130" s="5"/>
      <c r="P130" s="5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s="29" customFormat="1" x14ac:dyDescent="0.2">
      <c r="A131" s="5"/>
      <c r="B131" s="92"/>
      <c r="C131" s="93"/>
      <c r="D131" s="5"/>
      <c r="E131"/>
      <c r="F131"/>
      <c r="G131"/>
      <c r="H131"/>
      <c r="I131"/>
      <c r="J131"/>
      <c r="M131" s="5"/>
      <c r="N131" s="5"/>
      <c r="O131" s="5"/>
      <c r="P131" s="5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</sheetData>
  <mergeCells count="256">
    <mergeCell ref="B9:I9"/>
    <mergeCell ref="N9:O10"/>
    <mergeCell ref="B10:J10"/>
    <mergeCell ref="B11:J11"/>
    <mergeCell ref="N11:O12"/>
    <mergeCell ref="B12:K12"/>
    <mergeCell ref="L1:O1"/>
    <mergeCell ref="N3:O3"/>
    <mergeCell ref="N4:O4"/>
    <mergeCell ref="N5:O6"/>
    <mergeCell ref="B6:L6"/>
    <mergeCell ref="B7:G7"/>
    <mergeCell ref="N7:O8"/>
    <mergeCell ref="B8:L8"/>
    <mergeCell ref="N18:O18"/>
    <mergeCell ref="F20:G21"/>
    <mergeCell ref="H20:I21"/>
    <mergeCell ref="F22:G22"/>
    <mergeCell ref="H22:I22"/>
    <mergeCell ref="N22:O22"/>
    <mergeCell ref="B13:J13"/>
    <mergeCell ref="N13:O14"/>
    <mergeCell ref="B14:K14"/>
    <mergeCell ref="B15:K15"/>
    <mergeCell ref="N15:O16"/>
    <mergeCell ref="N17:O17"/>
    <mergeCell ref="G24:H24"/>
    <mergeCell ref="G25:H25"/>
    <mergeCell ref="F26:I26"/>
    <mergeCell ref="A28:C28"/>
    <mergeCell ref="A30:B30"/>
    <mergeCell ref="C30:C33"/>
    <mergeCell ref="D30:D33"/>
    <mergeCell ref="E30:E33"/>
    <mergeCell ref="F30:O30"/>
    <mergeCell ref="A31:A33"/>
    <mergeCell ref="B31:B33"/>
    <mergeCell ref="F31:F33"/>
    <mergeCell ref="G31:H31"/>
    <mergeCell ref="I31:M31"/>
    <mergeCell ref="N31:O31"/>
    <mergeCell ref="I32:I33"/>
    <mergeCell ref="J32:K32"/>
    <mergeCell ref="L32:L33"/>
    <mergeCell ref="N32:N33"/>
    <mergeCell ref="O32:O33"/>
    <mergeCell ref="I37:I38"/>
    <mergeCell ref="J37:J38"/>
    <mergeCell ref="K37:K38"/>
    <mergeCell ref="L37:L38"/>
    <mergeCell ref="D39:F39"/>
    <mergeCell ref="D40:F40"/>
    <mergeCell ref="A37:A38"/>
    <mergeCell ref="B37:B38"/>
    <mergeCell ref="C37:C38"/>
    <mergeCell ref="D37:D38"/>
    <mergeCell ref="E37:E38"/>
    <mergeCell ref="F37:F38"/>
    <mergeCell ref="L42:L43"/>
    <mergeCell ref="A44:A45"/>
    <mergeCell ref="B44:B45"/>
    <mergeCell ref="C44:C45"/>
    <mergeCell ref="D44:D45"/>
    <mergeCell ref="E44:E45"/>
    <mergeCell ref="F44:F45"/>
    <mergeCell ref="A42:A43"/>
    <mergeCell ref="B42:B43"/>
    <mergeCell ref="C42:C43"/>
    <mergeCell ref="D42:D43"/>
    <mergeCell ref="E42:E43"/>
    <mergeCell ref="F42:F43"/>
    <mergeCell ref="A46:A47"/>
    <mergeCell ref="B46:B47"/>
    <mergeCell ref="C46:C47"/>
    <mergeCell ref="D46:D47"/>
    <mergeCell ref="E46:E47"/>
    <mergeCell ref="F46:F47"/>
    <mergeCell ref="I42:I43"/>
    <mergeCell ref="J42:J43"/>
    <mergeCell ref="K42:K43"/>
    <mergeCell ref="I46:I47"/>
    <mergeCell ref="J46:J47"/>
    <mergeCell ref="K46:K47"/>
    <mergeCell ref="L46:L47"/>
    <mergeCell ref="D48:F48"/>
    <mergeCell ref="D49:F49"/>
    <mergeCell ref="I44:I45"/>
    <mergeCell ref="J44:J45"/>
    <mergeCell ref="K44:K45"/>
    <mergeCell ref="L44:L45"/>
    <mergeCell ref="I51:I52"/>
    <mergeCell ref="J51:J52"/>
    <mergeCell ref="K51:K52"/>
    <mergeCell ref="L51:L52"/>
    <mergeCell ref="D53:F53"/>
    <mergeCell ref="D54:F54"/>
    <mergeCell ref="A51:A52"/>
    <mergeCell ref="B51:B52"/>
    <mergeCell ref="C51:C52"/>
    <mergeCell ref="D51:D52"/>
    <mergeCell ref="E51:E52"/>
    <mergeCell ref="F51:F52"/>
    <mergeCell ref="I56:I57"/>
    <mergeCell ref="J56:J57"/>
    <mergeCell ref="K56:K57"/>
    <mergeCell ref="L56:L57"/>
    <mergeCell ref="D58:F58"/>
    <mergeCell ref="D59:F59"/>
    <mergeCell ref="A56:A57"/>
    <mergeCell ref="B56:B57"/>
    <mergeCell ref="C56:C57"/>
    <mergeCell ref="D56:D57"/>
    <mergeCell ref="E56:E57"/>
    <mergeCell ref="F56:F57"/>
    <mergeCell ref="A63:A64"/>
    <mergeCell ref="B63:B64"/>
    <mergeCell ref="C63:C64"/>
    <mergeCell ref="D63:D64"/>
    <mergeCell ref="E63:E64"/>
    <mergeCell ref="F63:F64"/>
    <mergeCell ref="A61:A62"/>
    <mergeCell ref="B61:B62"/>
    <mergeCell ref="C61:C62"/>
    <mergeCell ref="D61:D62"/>
    <mergeCell ref="E61:E62"/>
    <mergeCell ref="F61:F62"/>
    <mergeCell ref="I63:I64"/>
    <mergeCell ref="J63:J64"/>
    <mergeCell ref="K63:K64"/>
    <mergeCell ref="L63:L64"/>
    <mergeCell ref="D65:F65"/>
    <mergeCell ref="D66:F66"/>
    <mergeCell ref="I61:I62"/>
    <mergeCell ref="J61:J62"/>
    <mergeCell ref="K61:K62"/>
    <mergeCell ref="L61:L62"/>
    <mergeCell ref="I70:I71"/>
    <mergeCell ref="J70:J71"/>
    <mergeCell ref="K70:K71"/>
    <mergeCell ref="L70:L71"/>
    <mergeCell ref="I68:I69"/>
    <mergeCell ref="J68:J69"/>
    <mergeCell ref="K68:K69"/>
    <mergeCell ref="L68:L69"/>
    <mergeCell ref="A70:A71"/>
    <mergeCell ref="B70:B71"/>
    <mergeCell ref="C70:C71"/>
    <mergeCell ref="D70:D71"/>
    <mergeCell ref="E70:E71"/>
    <mergeCell ref="F70:F71"/>
    <mergeCell ref="A68:A69"/>
    <mergeCell ref="B68:B69"/>
    <mergeCell ref="C68:C69"/>
    <mergeCell ref="D68:D69"/>
    <mergeCell ref="E68:E69"/>
    <mergeCell ref="F68:F69"/>
    <mergeCell ref="I73:I74"/>
    <mergeCell ref="J73:J74"/>
    <mergeCell ref="K73:K74"/>
    <mergeCell ref="L73:L74"/>
    <mergeCell ref="D75:F75"/>
    <mergeCell ref="D76:F76"/>
    <mergeCell ref="A73:A74"/>
    <mergeCell ref="B73:B74"/>
    <mergeCell ref="C73:C74"/>
    <mergeCell ref="D73:D74"/>
    <mergeCell ref="E73:E74"/>
    <mergeCell ref="F73:F74"/>
    <mergeCell ref="I80:I81"/>
    <mergeCell ref="J80:J81"/>
    <mergeCell ref="K80:K81"/>
    <mergeCell ref="L80:L81"/>
    <mergeCell ref="I78:I79"/>
    <mergeCell ref="J78:J79"/>
    <mergeCell ref="K78:K79"/>
    <mergeCell ref="L78:L79"/>
    <mergeCell ref="A80:A81"/>
    <mergeCell ref="B80:B81"/>
    <mergeCell ref="C80:C81"/>
    <mergeCell ref="D80:D81"/>
    <mergeCell ref="E80:E81"/>
    <mergeCell ref="F80:F81"/>
    <mergeCell ref="A78:A79"/>
    <mergeCell ref="B78:B79"/>
    <mergeCell ref="C78:C79"/>
    <mergeCell ref="D78:D79"/>
    <mergeCell ref="E78:E79"/>
    <mergeCell ref="F78:F79"/>
    <mergeCell ref="I84:I85"/>
    <mergeCell ref="J84:J85"/>
    <mergeCell ref="K84:K85"/>
    <mergeCell ref="L84:L85"/>
    <mergeCell ref="D86:F86"/>
    <mergeCell ref="D87:F87"/>
    <mergeCell ref="A84:A85"/>
    <mergeCell ref="B84:B85"/>
    <mergeCell ref="C84:C85"/>
    <mergeCell ref="D84:D85"/>
    <mergeCell ref="E84:E85"/>
    <mergeCell ref="F84:F85"/>
    <mergeCell ref="L91:L92"/>
    <mergeCell ref="A93:G94"/>
    <mergeCell ref="H93:H94"/>
    <mergeCell ref="I93:I94"/>
    <mergeCell ref="J93:J94"/>
    <mergeCell ref="K93:K94"/>
    <mergeCell ref="L93:L94"/>
    <mergeCell ref="I89:I90"/>
    <mergeCell ref="J89:J90"/>
    <mergeCell ref="K89:K90"/>
    <mergeCell ref="L89:L90"/>
    <mergeCell ref="A91:A92"/>
    <mergeCell ref="B91:B92"/>
    <mergeCell ref="C91:C92"/>
    <mergeCell ref="D91:D92"/>
    <mergeCell ref="E91:E92"/>
    <mergeCell ref="F91:F92"/>
    <mergeCell ref="A89:A90"/>
    <mergeCell ref="B89:B90"/>
    <mergeCell ref="C89:C90"/>
    <mergeCell ref="D89:D90"/>
    <mergeCell ref="E89:E90"/>
    <mergeCell ref="F89:F90"/>
    <mergeCell ref="A95:G95"/>
    <mergeCell ref="A96:G96"/>
    <mergeCell ref="A97:G97"/>
    <mergeCell ref="A98:G99"/>
    <mergeCell ref="H98:H99"/>
    <mergeCell ref="I98:I99"/>
    <mergeCell ref="I91:I92"/>
    <mergeCell ref="J91:J92"/>
    <mergeCell ref="K91:K92"/>
    <mergeCell ref="J103:J104"/>
    <mergeCell ref="K103:K104"/>
    <mergeCell ref="L103:L104"/>
    <mergeCell ref="A105:G105"/>
    <mergeCell ref="A106:G106"/>
    <mergeCell ref="A107:G107"/>
    <mergeCell ref="A100:G101"/>
    <mergeCell ref="H100:H101"/>
    <mergeCell ref="I100:I101"/>
    <mergeCell ref="A103:G104"/>
    <mergeCell ref="H103:H104"/>
    <mergeCell ref="I103:I104"/>
    <mergeCell ref="D116:E116"/>
    <mergeCell ref="B117:C117"/>
    <mergeCell ref="G123:G124"/>
    <mergeCell ref="H123:H124"/>
    <mergeCell ref="I123:I124"/>
    <mergeCell ref="J123:J124"/>
    <mergeCell ref="A108:G109"/>
    <mergeCell ref="H108:H109"/>
    <mergeCell ref="I108:I109"/>
    <mergeCell ref="A110:G111"/>
    <mergeCell ref="H110:H111"/>
    <mergeCell ref="I110:I111"/>
  </mergeCells>
  <conditionalFormatting sqref="F117:I117">
    <cfRule type="cellIs" dxfId="1" priority="1" stopIfTrue="1" operator="lessThan">
      <formula>0</formula>
    </cfRule>
  </conditionalFormatting>
  <printOptions horizontalCentered="1"/>
  <pageMargins left="0.19685039370078741" right="0.19685039370078741" top="0.39370078740157483" bottom="0.39370078740157483" header="0" footer="0.11811023622047245"/>
  <pageSetup paperSize="9" scale="69" fitToHeight="100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131"/>
  <sheetViews>
    <sheetView tabSelected="1" view="pageBreakPreview" zoomScale="70" zoomScaleNormal="100" zoomScaleSheetLayoutView="70" workbookViewId="0">
      <selection activeCell="F112" sqref="F112"/>
    </sheetView>
  </sheetViews>
  <sheetFormatPr defaultRowHeight="15" outlineLevelCol="1" x14ac:dyDescent="0.25"/>
  <cols>
    <col min="1" max="1" width="10.28515625" style="5" customWidth="1"/>
    <col min="2" max="2" width="8.5703125" style="92" customWidth="1"/>
    <col min="3" max="3" width="36.140625" style="93" customWidth="1"/>
    <col min="4" max="4" width="13.85546875" style="5" customWidth="1"/>
    <col min="5" max="5" width="11" style="5" customWidth="1"/>
    <col min="6" max="6" width="12.7109375" style="92" customWidth="1"/>
    <col min="7" max="7" width="13" style="5" customWidth="1"/>
    <col min="8" max="8" width="13.7109375" style="5" customWidth="1"/>
    <col min="9" max="9" width="14.7109375" style="29" customWidth="1"/>
    <col min="10" max="10" width="13.85546875" style="29" customWidth="1" outlineLevel="1"/>
    <col min="11" max="12" width="12.5703125" style="29" customWidth="1" outlineLevel="1"/>
    <col min="13" max="13" width="13.85546875" style="5" customWidth="1" outlineLevel="1"/>
    <col min="14" max="15" width="11.85546875" style="5" customWidth="1" outlineLevel="1"/>
    <col min="16" max="16" width="9.140625" style="5"/>
    <col min="17" max="17" width="10.140625" bestFit="1" customWidth="1"/>
    <col min="18" max="19" width="9.140625" style="149"/>
    <col min="45" max="16384" width="9.140625" style="5"/>
  </cols>
  <sheetData>
    <row r="1" spans="1:256" ht="15" customHeight="1" x14ac:dyDescent="0.25">
      <c r="A1" s="1"/>
      <c r="B1" s="1"/>
      <c r="C1" s="2"/>
      <c r="D1" s="2"/>
      <c r="E1" s="2"/>
      <c r="F1" s="3"/>
      <c r="G1" s="3"/>
      <c r="H1" s="3"/>
      <c r="I1" s="3"/>
      <c r="J1" s="2"/>
      <c r="K1" s="2"/>
      <c r="L1" s="254" t="s">
        <v>0</v>
      </c>
      <c r="M1" s="254"/>
      <c r="N1" s="254"/>
      <c r="O1" s="254"/>
      <c r="P1" s="2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15" customHeight="1" x14ac:dyDescent="0.25">
      <c r="A2" s="2"/>
      <c r="B2" s="1"/>
      <c r="C2" s="2"/>
      <c r="D2" s="2"/>
      <c r="E2" s="2"/>
      <c r="F2" s="3"/>
      <c r="G2" s="3"/>
      <c r="H2" s="3"/>
      <c r="I2" s="3"/>
      <c r="J2" s="2"/>
      <c r="K2" s="2"/>
      <c r="L2" s="2"/>
      <c r="M2" s="2"/>
      <c r="N2" s="2"/>
      <c r="O2" s="2"/>
      <c r="P2" s="6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ht="15" customHeight="1" x14ac:dyDescent="0.25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52" t="s">
        <v>1</v>
      </c>
      <c r="O3" s="253"/>
      <c r="P3" s="3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ht="15" customHeight="1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55" t="s">
        <v>135</v>
      </c>
      <c r="O4" s="256"/>
      <c r="P4" s="3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ht="15" customHeight="1" x14ac:dyDescent="0.25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55" t="s">
        <v>135</v>
      </c>
      <c r="O5" s="256"/>
      <c r="P5" s="3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ht="15" customHeight="1" x14ac:dyDescent="0.25">
      <c r="A6" s="2" t="s">
        <v>4</v>
      </c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9"/>
      <c r="N6" s="255"/>
      <c r="O6" s="256"/>
      <c r="P6" s="9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15" customHeight="1" x14ac:dyDescent="0.25">
      <c r="A7" s="2"/>
      <c r="B7" s="241" t="s">
        <v>6</v>
      </c>
      <c r="C7" s="241"/>
      <c r="D7" s="241"/>
      <c r="E7" s="241"/>
      <c r="F7" s="241"/>
      <c r="G7" s="241"/>
      <c r="H7" s="10"/>
      <c r="I7" s="10"/>
      <c r="J7" s="10"/>
      <c r="K7" s="10"/>
      <c r="L7" s="10"/>
      <c r="M7" s="11"/>
      <c r="N7" s="249" t="s">
        <v>135</v>
      </c>
      <c r="O7" s="250"/>
      <c r="P7" s="11"/>
    </row>
    <row r="8" spans="1:256" ht="15" customHeight="1" x14ac:dyDescent="0.25">
      <c r="A8" s="2" t="s">
        <v>8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12"/>
      <c r="N8" s="249"/>
      <c r="O8" s="250"/>
      <c r="P8" s="12"/>
    </row>
    <row r="9" spans="1:256" ht="15" customHeight="1" x14ac:dyDescent="0.25">
      <c r="A9" s="2"/>
      <c r="B9" s="241" t="s">
        <v>6</v>
      </c>
      <c r="C9" s="241"/>
      <c r="D9" s="241"/>
      <c r="E9" s="241"/>
      <c r="F9" s="241"/>
      <c r="G9" s="241"/>
      <c r="H9" s="241"/>
      <c r="I9" s="241"/>
      <c r="J9" s="10"/>
      <c r="K9" s="10"/>
      <c r="L9" s="10"/>
      <c r="M9" s="11"/>
      <c r="N9" s="249" t="s">
        <v>135</v>
      </c>
      <c r="O9" s="250"/>
      <c r="P9" s="11"/>
    </row>
    <row r="10" spans="1:256" ht="15" customHeight="1" x14ac:dyDescent="0.25">
      <c r="A10" s="2" t="s">
        <v>11</v>
      </c>
      <c r="B10" s="251"/>
      <c r="C10" s="251"/>
      <c r="D10" s="251"/>
      <c r="E10" s="251"/>
      <c r="F10" s="251"/>
      <c r="G10" s="251"/>
      <c r="H10" s="251"/>
      <c r="I10" s="251"/>
      <c r="J10" s="251"/>
      <c r="K10" s="13"/>
      <c r="L10" s="13"/>
      <c r="M10" s="12"/>
      <c r="N10" s="249"/>
      <c r="O10" s="250"/>
      <c r="P10" s="12"/>
    </row>
    <row r="11" spans="1:256" ht="15" customHeight="1" x14ac:dyDescent="0.25">
      <c r="A11" s="2"/>
      <c r="B11" s="241" t="s">
        <v>6</v>
      </c>
      <c r="C11" s="241"/>
      <c r="D11" s="241"/>
      <c r="E11" s="241"/>
      <c r="F11" s="241"/>
      <c r="G11" s="241"/>
      <c r="H11" s="241"/>
      <c r="I11" s="241"/>
      <c r="J11" s="241"/>
      <c r="K11" s="10"/>
      <c r="L11" s="10"/>
      <c r="M11" s="11"/>
      <c r="N11" s="252"/>
      <c r="O11" s="253"/>
      <c r="P11" s="11"/>
    </row>
    <row r="12" spans="1:256" ht="15" customHeight="1" x14ac:dyDescent="0.25">
      <c r="A12" s="2" t="s">
        <v>13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13"/>
      <c r="M12" s="12"/>
      <c r="N12" s="252"/>
      <c r="O12" s="253"/>
      <c r="P12" s="12"/>
    </row>
    <row r="13" spans="1:256" ht="15" customHeight="1" x14ac:dyDescent="0.25">
      <c r="A13" s="2"/>
      <c r="B13" s="241" t="s">
        <v>15</v>
      </c>
      <c r="C13" s="241"/>
      <c r="D13" s="241"/>
      <c r="E13" s="241"/>
      <c r="F13" s="241"/>
      <c r="G13" s="241"/>
      <c r="H13" s="241"/>
      <c r="I13" s="241"/>
      <c r="J13" s="241"/>
      <c r="K13" s="10"/>
      <c r="L13" s="10"/>
      <c r="M13" s="11"/>
      <c r="N13" s="242"/>
      <c r="O13" s="243"/>
      <c r="P13" s="11"/>
    </row>
    <row r="14" spans="1:256" ht="15" customHeight="1" x14ac:dyDescent="0.25">
      <c r="A14" s="2" t="s">
        <v>16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13"/>
      <c r="M14" s="12"/>
      <c r="N14" s="242"/>
      <c r="O14" s="243"/>
      <c r="P14" s="12"/>
    </row>
    <row r="15" spans="1:256" ht="15" customHeight="1" x14ac:dyDescent="0.25">
      <c r="A15" s="2"/>
      <c r="B15" s="245" t="s">
        <v>17</v>
      </c>
      <c r="C15" s="245"/>
      <c r="D15" s="245"/>
      <c r="E15" s="245"/>
      <c r="F15" s="245"/>
      <c r="G15" s="245"/>
      <c r="H15" s="245"/>
      <c r="I15" s="245"/>
      <c r="J15" s="245"/>
      <c r="K15" s="245"/>
      <c r="L15" s="2"/>
      <c r="M15" s="3"/>
      <c r="N15" s="246">
        <v>111</v>
      </c>
      <c r="O15" s="247"/>
      <c r="P15" s="3"/>
    </row>
    <row r="16" spans="1:256" ht="15" customHeight="1" x14ac:dyDescent="0.25">
      <c r="A16" s="2"/>
      <c r="B16" s="1"/>
      <c r="C16" s="2"/>
      <c r="D16" s="2"/>
      <c r="E16" s="2"/>
      <c r="F16" s="3"/>
      <c r="G16" s="3"/>
      <c r="H16" s="3"/>
      <c r="I16" s="3"/>
      <c r="J16" s="2"/>
      <c r="K16" s="2"/>
      <c r="L16" s="2"/>
      <c r="M16" s="2"/>
      <c r="N16" s="246"/>
      <c r="O16" s="247"/>
      <c r="P16" s="3"/>
    </row>
    <row r="17" spans="1:22" ht="15" customHeight="1" x14ac:dyDescent="0.25">
      <c r="A17" s="2"/>
      <c r="B17" s="14"/>
      <c r="C17" s="15"/>
      <c r="D17" s="16"/>
      <c r="E17" s="16"/>
      <c r="F17" s="16"/>
      <c r="G17" s="16"/>
      <c r="H17" s="6"/>
      <c r="I17" s="6"/>
      <c r="J17" s="6"/>
      <c r="K17" s="6"/>
      <c r="L17" s="17" t="s">
        <v>19</v>
      </c>
      <c r="M17" s="18" t="s">
        <v>20</v>
      </c>
      <c r="N17" s="247">
        <v>111</v>
      </c>
      <c r="O17" s="248"/>
      <c r="P17" s="3"/>
    </row>
    <row r="18" spans="1:22" ht="15" customHeight="1" x14ac:dyDescent="0.25">
      <c r="A18" s="2"/>
      <c r="B18" s="1"/>
      <c r="C18" s="2"/>
      <c r="D18" s="2"/>
      <c r="E18" s="1"/>
      <c r="F18" s="1"/>
      <c r="G18" s="1"/>
      <c r="H18" s="1"/>
      <c r="I18" s="2"/>
      <c r="J18" s="2"/>
      <c r="K18" s="2"/>
      <c r="L18" s="2"/>
      <c r="M18" s="18" t="s">
        <v>22</v>
      </c>
      <c r="N18" s="229" t="s">
        <v>135</v>
      </c>
      <c r="O18" s="230"/>
      <c r="P18" s="3"/>
    </row>
    <row r="19" spans="1:22" ht="15" customHeight="1" x14ac:dyDescent="0.25">
      <c r="A19" s="2"/>
      <c r="B19" s="19"/>
      <c r="C19" s="20"/>
      <c r="D19" s="2"/>
      <c r="E19" s="2"/>
      <c r="F19" s="3"/>
      <c r="G19" s="3"/>
      <c r="H19" s="3"/>
      <c r="I19" s="3"/>
      <c r="J19" s="2"/>
      <c r="K19" s="2"/>
      <c r="L19" s="2"/>
      <c r="M19" s="2"/>
      <c r="N19" s="2"/>
      <c r="O19" s="2"/>
      <c r="P19" s="3"/>
    </row>
    <row r="20" spans="1:22" ht="9" customHeight="1" x14ac:dyDescent="0.25">
      <c r="A20" s="2"/>
      <c r="B20" s="1"/>
      <c r="C20"/>
      <c r="D20"/>
      <c r="E20" s="2"/>
      <c r="F20" s="231" t="s">
        <v>24</v>
      </c>
      <c r="G20" s="232"/>
      <c r="H20" s="231" t="s">
        <v>25</v>
      </c>
      <c r="I20" s="232"/>
      <c r="J20" s="2"/>
      <c r="K20" s="2"/>
      <c r="L20" s="2"/>
      <c r="M20" s="2"/>
      <c r="N20" s="2"/>
      <c r="O20" s="2"/>
      <c r="P20" s="3"/>
    </row>
    <row r="21" spans="1:22" ht="9" customHeight="1" x14ac:dyDescent="0.25">
      <c r="A21" s="2"/>
      <c r="B21" s="1"/>
      <c r="C21"/>
      <c r="D21"/>
      <c r="E21" s="2"/>
      <c r="F21" s="233"/>
      <c r="G21" s="234"/>
      <c r="H21" s="233"/>
      <c r="I21" s="234"/>
      <c r="J21" s="2"/>
      <c r="K21" s="2"/>
      <c r="L21" s="2"/>
      <c r="M21" s="2"/>
      <c r="N21" s="2"/>
      <c r="O21" s="2"/>
      <c r="P21" s="3"/>
    </row>
    <row r="22" spans="1:22" ht="15" customHeight="1" x14ac:dyDescent="0.25">
      <c r="A22" s="21"/>
      <c r="B22" s="22"/>
      <c r="C22" t="s">
        <v>128</v>
      </c>
      <c r="D22"/>
      <c r="E22" s="23"/>
      <c r="F22" s="235"/>
      <c r="G22" s="236"/>
      <c r="H22" s="237">
        <v>111</v>
      </c>
      <c r="I22" s="238"/>
      <c r="J22" s="24"/>
      <c r="K22" s="24"/>
      <c r="L22" s="24"/>
      <c r="M22" s="25"/>
      <c r="N22" s="239" t="s">
        <v>26</v>
      </c>
      <c r="O22" s="240"/>
      <c r="P22" s="3"/>
    </row>
    <row r="23" spans="1:22" ht="15" customHeight="1" x14ac:dyDescent="0.25">
      <c r="A23" s="26"/>
      <c r="B23" s="27"/>
      <c r="C23" s="28" t="s">
        <v>27</v>
      </c>
      <c r="D23"/>
      <c r="E23" s="23"/>
      <c r="F23" s="23"/>
      <c r="G23" s="23"/>
      <c r="H23" s="23"/>
      <c r="J23" s="24"/>
      <c r="K23" s="24"/>
      <c r="L23" s="24"/>
      <c r="M23" s="25"/>
      <c r="N23" s="30" t="s">
        <v>28</v>
      </c>
      <c r="O23" s="30" t="s">
        <v>29</v>
      </c>
      <c r="P23" s="3"/>
    </row>
    <row r="24" spans="1:22" ht="15" customHeight="1" x14ac:dyDescent="0.25">
      <c r="B24" s="31" t="s">
        <v>137</v>
      </c>
      <c r="C24"/>
      <c r="D24"/>
      <c r="E24" s="32"/>
      <c r="F24" s="32"/>
      <c r="G24" s="211"/>
      <c r="H24" s="212"/>
      <c r="J24" s="33"/>
      <c r="K24" s="33"/>
      <c r="L24" s="33"/>
      <c r="M24" s="34"/>
      <c r="N24" s="35">
        <v>111</v>
      </c>
      <c r="O24" s="35">
        <v>111</v>
      </c>
      <c r="P24" s="3"/>
    </row>
    <row r="25" spans="1:22" ht="15" customHeight="1" x14ac:dyDescent="0.25">
      <c r="A25" s="36"/>
      <c r="B25" s="37"/>
      <c r="C25" s="36"/>
      <c r="D25" s="36"/>
      <c r="E25" s="36"/>
      <c r="F25" s="36"/>
      <c r="G25" s="213" t="s">
        <v>30</v>
      </c>
      <c r="H25" s="213"/>
      <c r="I25" s="36"/>
      <c r="J25" s="36"/>
      <c r="K25" s="36"/>
      <c r="L25" s="36"/>
      <c r="M25" s="36"/>
      <c r="N25" s="36"/>
      <c r="O25" s="38"/>
      <c r="P25" s="3"/>
    </row>
    <row r="26" spans="1:22" ht="15" customHeight="1" x14ac:dyDescent="0.25">
      <c r="A26" s="36"/>
      <c r="B26" s="37"/>
      <c r="C26" s="39"/>
      <c r="D26" s="40"/>
      <c r="E26" s="36"/>
      <c r="F26" s="213" t="s">
        <v>31</v>
      </c>
      <c r="G26" s="213"/>
      <c r="H26" s="213"/>
      <c r="I26" s="213"/>
      <c r="J26" s="36"/>
      <c r="K26" s="36"/>
      <c r="L26" s="36"/>
      <c r="M26" s="36"/>
      <c r="N26" s="36"/>
      <c r="O26" s="38"/>
      <c r="P26" s="3"/>
    </row>
    <row r="27" spans="1:22" ht="15" customHeight="1" x14ac:dyDescent="0.25">
      <c r="A27" s="41"/>
      <c r="B27" s="42"/>
      <c r="C27" s="41"/>
      <c r="D27" s="41"/>
      <c r="E27" s="41"/>
      <c r="F27" s="41"/>
      <c r="G27" s="43" t="s">
        <v>136</v>
      </c>
      <c r="H27" s="41"/>
      <c r="I27" s="41"/>
      <c r="J27" s="41"/>
      <c r="K27" s="41"/>
      <c r="L27" s="41"/>
      <c r="M27" s="41"/>
      <c r="N27" s="41"/>
      <c r="O27" s="44"/>
      <c r="P27" s="3"/>
    </row>
    <row r="28" spans="1:22" x14ac:dyDescent="0.25">
      <c r="A28" s="214" t="s">
        <v>32</v>
      </c>
      <c r="B28" s="214"/>
      <c r="C28" s="214"/>
      <c r="D28" s="41"/>
      <c r="E28" s="41"/>
      <c r="F28" s="42"/>
      <c r="G28" s="41"/>
      <c r="H28" s="41"/>
      <c r="I28" s="41"/>
      <c r="J28" s="45"/>
      <c r="K28" s="45"/>
      <c r="L28" s="41"/>
      <c r="M28" s="41"/>
      <c r="N28" s="41"/>
      <c r="O28" s="41"/>
    </row>
    <row r="29" spans="1:22" ht="15" customHeight="1" x14ac:dyDescent="0.25">
      <c r="A29" s="46" t="s">
        <v>33</v>
      </c>
      <c r="B29" s="47"/>
      <c r="C29" s="48"/>
      <c r="D29" s="49"/>
      <c r="E29" s="50"/>
      <c r="F29" s="29"/>
      <c r="G29" s="46"/>
      <c r="H29" s="46"/>
      <c r="I29" s="46"/>
      <c r="J29" s="51"/>
      <c r="K29" s="46"/>
      <c r="L29" s="46"/>
      <c r="M29" s="25"/>
      <c r="N29" s="48"/>
      <c r="O29" s="52" t="s">
        <v>34</v>
      </c>
      <c r="P29" s="48"/>
    </row>
    <row r="30" spans="1:22" ht="12.75" customHeight="1" x14ac:dyDescent="0.25">
      <c r="A30" s="215" t="s">
        <v>35</v>
      </c>
      <c r="B30" s="216"/>
      <c r="C30" s="217" t="s">
        <v>36</v>
      </c>
      <c r="D30" s="217" t="s">
        <v>37</v>
      </c>
      <c r="E30" s="220" t="s">
        <v>38</v>
      </c>
      <c r="F30" s="215" t="s">
        <v>39</v>
      </c>
      <c r="G30" s="223"/>
      <c r="H30" s="223"/>
      <c r="I30" s="223"/>
      <c r="J30" s="223"/>
      <c r="K30" s="223"/>
      <c r="L30" s="223"/>
      <c r="M30" s="223"/>
      <c r="N30" s="223"/>
      <c r="O30" s="216"/>
    </row>
    <row r="31" spans="1:22" ht="31.5" customHeight="1" x14ac:dyDescent="0.25">
      <c r="A31" s="217" t="s">
        <v>40</v>
      </c>
      <c r="B31" s="220" t="s">
        <v>41</v>
      </c>
      <c r="C31" s="218"/>
      <c r="D31" s="218"/>
      <c r="E31" s="221"/>
      <c r="F31" s="194" t="s">
        <v>42</v>
      </c>
      <c r="G31" s="215" t="s">
        <v>43</v>
      </c>
      <c r="H31" s="216"/>
      <c r="I31" s="215" t="s">
        <v>44</v>
      </c>
      <c r="J31" s="223"/>
      <c r="K31" s="223"/>
      <c r="L31" s="223"/>
      <c r="M31" s="216"/>
      <c r="N31" s="225" t="s">
        <v>45</v>
      </c>
      <c r="O31" s="226"/>
    </row>
    <row r="32" spans="1:22" ht="25.5" x14ac:dyDescent="0.2">
      <c r="A32" s="218"/>
      <c r="B32" s="221"/>
      <c r="C32" s="218"/>
      <c r="D32" s="218"/>
      <c r="E32" s="221"/>
      <c r="F32" s="224"/>
      <c r="G32" s="53" t="s">
        <v>46</v>
      </c>
      <c r="H32" s="54" t="s">
        <v>47</v>
      </c>
      <c r="I32" s="227" t="s">
        <v>46</v>
      </c>
      <c r="J32" s="215" t="s">
        <v>48</v>
      </c>
      <c r="K32" s="216"/>
      <c r="L32" s="217" t="s">
        <v>49</v>
      </c>
      <c r="M32" s="54" t="s">
        <v>47</v>
      </c>
      <c r="N32" s="227" t="s">
        <v>50</v>
      </c>
      <c r="O32" s="227" t="s">
        <v>46</v>
      </c>
      <c r="Q32" s="258" t="s">
        <v>133</v>
      </c>
      <c r="R32" s="262">
        <v>42370</v>
      </c>
      <c r="S32" s="264"/>
      <c r="T32" s="258"/>
      <c r="U32" s="258"/>
      <c r="V32" s="258" t="s">
        <v>134</v>
      </c>
    </row>
    <row r="33" spans="1:44" ht="25.5" customHeight="1" x14ac:dyDescent="0.2">
      <c r="A33" s="219"/>
      <c r="B33" s="222"/>
      <c r="C33" s="219"/>
      <c r="D33" s="219"/>
      <c r="E33" s="222"/>
      <c r="F33" s="195"/>
      <c r="G33" s="54" t="s">
        <v>51</v>
      </c>
      <c r="H33" s="54" t="s">
        <v>52</v>
      </c>
      <c r="I33" s="228"/>
      <c r="J33" s="54" t="s">
        <v>53</v>
      </c>
      <c r="K33" s="54" t="s">
        <v>54</v>
      </c>
      <c r="L33" s="219"/>
      <c r="M33" s="54" t="s">
        <v>52</v>
      </c>
      <c r="N33" s="228"/>
      <c r="O33" s="228"/>
      <c r="Q33" s="259"/>
      <c r="R33" s="263"/>
      <c r="S33" s="263"/>
      <c r="T33" s="259"/>
      <c r="U33" s="259"/>
      <c r="V33" s="259"/>
    </row>
    <row r="34" spans="1:44" x14ac:dyDescent="0.25">
      <c r="A34" s="53">
        <v>1</v>
      </c>
      <c r="B34" s="55">
        <v>2</v>
      </c>
      <c r="C34" s="53">
        <v>3</v>
      </c>
      <c r="D34" s="53">
        <v>4</v>
      </c>
      <c r="E34" s="53">
        <v>5</v>
      </c>
      <c r="F34" s="55">
        <v>6</v>
      </c>
      <c r="G34" s="53">
        <v>7</v>
      </c>
      <c r="H34" s="53">
        <v>8</v>
      </c>
      <c r="I34" s="53">
        <v>9</v>
      </c>
      <c r="J34" s="53">
        <v>10</v>
      </c>
      <c r="K34" s="53">
        <v>11</v>
      </c>
      <c r="L34" s="53">
        <v>12</v>
      </c>
      <c r="M34" s="53">
        <v>13</v>
      </c>
      <c r="N34" s="53">
        <v>14</v>
      </c>
      <c r="O34" s="53">
        <v>15</v>
      </c>
      <c r="P34" s="56"/>
    </row>
    <row r="35" spans="1:44" ht="15.75" x14ac:dyDescent="0.25">
      <c r="A35" s="53"/>
      <c r="B35" s="55"/>
      <c r="C35" s="57" t="s">
        <v>138</v>
      </c>
      <c r="D35" s="58"/>
      <c r="E35" s="58"/>
      <c r="F35" s="59"/>
      <c r="G35" s="53"/>
      <c r="H35" s="53"/>
      <c r="I35" s="53"/>
      <c r="J35" s="53"/>
      <c r="K35" s="53"/>
      <c r="L35" s="53"/>
      <c r="M35" s="53"/>
      <c r="N35" s="53"/>
      <c r="O35" s="53"/>
      <c r="P35" s="56"/>
    </row>
    <row r="36" spans="1:44" ht="15.75" x14ac:dyDescent="0.25">
      <c r="A36" s="53"/>
      <c r="B36" s="55"/>
      <c r="C36" s="60" t="s">
        <v>130</v>
      </c>
      <c r="D36" s="61"/>
      <c r="E36" s="61"/>
      <c r="F36" s="62"/>
      <c r="G36" s="53"/>
      <c r="H36" s="53"/>
      <c r="I36" s="53"/>
      <c r="J36" s="53"/>
      <c r="K36" s="53"/>
      <c r="L36" s="53"/>
      <c r="M36" s="53"/>
      <c r="N36" s="53"/>
      <c r="O36" s="53"/>
      <c r="P36" s="56"/>
    </row>
    <row r="37" spans="1:44" ht="30" customHeight="1" x14ac:dyDescent="0.2">
      <c r="A37" s="202"/>
      <c r="B37" s="194">
        <v>1</v>
      </c>
      <c r="C37" s="196" t="s">
        <v>55</v>
      </c>
      <c r="D37" s="198" t="s">
        <v>56</v>
      </c>
      <c r="E37" s="200" t="s">
        <v>57</v>
      </c>
      <c r="F37" s="194">
        <v>605.70000000000005</v>
      </c>
      <c r="G37" s="145">
        <v>7233.6602278355613</v>
      </c>
      <c r="H37" s="145">
        <v>3575.1097903252435</v>
      </c>
      <c r="I37" s="210">
        <f>ROUND((F37*G37),0)</f>
        <v>4381428</v>
      </c>
      <c r="J37" s="192">
        <f>ROUND((G37-H37-G38)*F37,0)</f>
        <v>80080</v>
      </c>
      <c r="K37" s="192">
        <v>0</v>
      </c>
      <c r="L37" s="193">
        <f>ROUND((F37*G38),0)</f>
        <v>2135904</v>
      </c>
      <c r="M37" s="64">
        <f>ROUND((H37*F37),0)</f>
        <v>2165444</v>
      </c>
      <c r="N37" s="63">
        <v>12.11</v>
      </c>
      <c r="O37" s="65">
        <f>F37*N37</f>
        <v>7335.027</v>
      </c>
      <c r="P37" s="66" t="s">
        <v>58</v>
      </c>
      <c r="Q37" s="258">
        <v>605.70000000000005</v>
      </c>
      <c r="R37" s="260">
        <v>605.70000000000005</v>
      </c>
      <c r="S37" s="260"/>
      <c r="T37" s="258"/>
      <c r="U37" s="258"/>
      <c r="V37" s="258">
        <f>Q37-R37-S37-T37-U37</f>
        <v>0</v>
      </c>
      <c r="AO37" s="5"/>
      <c r="AP37" s="5"/>
      <c r="AQ37" s="5"/>
      <c r="AR37" s="5"/>
    </row>
    <row r="38" spans="1:44" ht="30" customHeight="1" x14ac:dyDescent="0.2">
      <c r="A38" s="202"/>
      <c r="B38" s="195"/>
      <c r="C38" s="197"/>
      <c r="D38" s="199"/>
      <c r="E38" s="201"/>
      <c r="F38" s="195"/>
      <c r="G38" s="145">
        <v>3526.3397721644374</v>
      </c>
      <c r="H38" s="145">
        <v>1548.7105827967639</v>
      </c>
      <c r="I38" s="210"/>
      <c r="J38" s="192"/>
      <c r="K38" s="192"/>
      <c r="L38" s="193"/>
      <c r="M38" s="64">
        <f>ROUND((H38*F37),0)</f>
        <v>938054</v>
      </c>
      <c r="N38" s="63">
        <v>4.51</v>
      </c>
      <c r="O38" s="65">
        <f>F37*N38</f>
        <v>2731.7069999999999</v>
      </c>
      <c r="P38" s="66" t="s">
        <v>59</v>
      </c>
      <c r="Q38" s="259"/>
      <c r="R38" s="261"/>
      <c r="S38" s="261"/>
      <c r="T38" s="259"/>
      <c r="U38" s="259"/>
      <c r="V38" s="259"/>
      <c r="AO38" s="5"/>
      <c r="AP38" s="5"/>
      <c r="AQ38" s="5"/>
      <c r="AR38" s="5"/>
    </row>
    <row r="39" spans="1:44" x14ac:dyDescent="0.25">
      <c r="A39" s="55"/>
      <c r="B39" s="55"/>
      <c r="C39" s="55"/>
      <c r="D39" s="203" t="s">
        <v>60</v>
      </c>
      <c r="E39" s="204"/>
      <c r="F39" s="205"/>
      <c r="G39" s="67">
        <v>1.03</v>
      </c>
      <c r="H39" s="68"/>
      <c r="I39" s="146">
        <f>ROUND((L37+M38)*G39,0)</f>
        <v>3166177</v>
      </c>
      <c r="J39" s="69"/>
      <c r="K39" s="69"/>
      <c r="L39" s="64"/>
      <c r="M39" s="64"/>
      <c r="N39" s="63"/>
      <c r="O39" s="70"/>
      <c r="P39" s="56"/>
      <c r="AO39" s="5"/>
      <c r="AP39" s="5"/>
      <c r="AQ39" s="5"/>
      <c r="AR39" s="5"/>
    </row>
    <row r="40" spans="1:44" x14ac:dyDescent="0.25">
      <c r="A40" s="55"/>
      <c r="B40" s="55"/>
      <c r="C40" s="55"/>
      <c r="D40" s="203" t="s">
        <v>61</v>
      </c>
      <c r="E40" s="204"/>
      <c r="F40" s="205"/>
      <c r="G40" s="67">
        <v>0.56000000000000005</v>
      </c>
      <c r="H40" s="68"/>
      <c r="I40" s="146">
        <f>ROUND((L37+M38)*G40,0)</f>
        <v>1721416</v>
      </c>
      <c r="J40" s="69"/>
      <c r="K40" s="69"/>
      <c r="L40" s="64"/>
      <c r="M40" s="64"/>
      <c r="N40" s="63"/>
      <c r="O40" s="70"/>
      <c r="P40" s="56"/>
      <c r="AO40" s="5"/>
      <c r="AP40" s="5"/>
      <c r="AQ40" s="5"/>
      <c r="AR40" s="5"/>
    </row>
    <row r="41" spans="1:44" x14ac:dyDescent="0.25">
      <c r="A41" s="55"/>
      <c r="B41" s="55"/>
      <c r="C41" s="55"/>
      <c r="D41" s="53"/>
      <c r="E41" s="53"/>
      <c r="F41" s="71" t="s">
        <v>62</v>
      </c>
      <c r="G41" s="72"/>
      <c r="H41" s="68"/>
      <c r="I41" s="146">
        <f>I37+I39+I40</f>
        <v>9269021</v>
      </c>
      <c r="J41" s="69"/>
      <c r="K41" s="69"/>
      <c r="L41" s="64"/>
      <c r="M41" s="64"/>
      <c r="N41" s="63"/>
      <c r="O41" s="70"/>
      <c r="P41" s="56"/>
      <c r="AO41" s="5"/>
      <c r="AP41" s="5"/>
      <c r="AQ41" s="5"/>
      <c r="AR41" s="5"/>
    </row>
    <row r="42" spans="1:44" ht="30" customHeight="1" x14ac:dyDescent="0.2">
      <c r="A42" s="202"/>
      <c r="B42" s="194">
        <v>2</v>
      </c>
      <c r="C42" s="196" t="s">
        <v>63</v>
      </c>
      <c r="D42" s="198" t="s">
        <v>64</v>
      </c>
      <c r="E42" s="200" t="s">
        <v>65</v>
      </c>
      <c r="F42" s="194">
        <v>1514.3</v>
      </c>
      <c r="G42" s="63">
        <v>27.75</v>
      </c>
      <c r="H42" s="63">
        <v>27.75</v>
      </c>
      <c r="I42" s="192">
        <f>ROUND((F42*G42),0)</f>
        <v>42022</v>
      </c>
      <c r="J42" s="192">
        <f>(G42-H42-G43)*F42</f>
        <v>0</v>
      </c>
      <c r="K42" s="192">
        <v>0</v>
      </c>
      <c r="L42" s="193">
        <f>ROUND((F42*G43),0)</f>
        <v>0</v>
      </c>
      <c r="M42" s="64">
        <f>ROUND((H42*F42),0)</f>
        <v>42022</v>
      </c>
      <c r="N42" s="63"/>
      <c r="O42" s="65"/>
      <c r="P42" s="66" t="s">
        <v>58</v>
      </c>
      <c r="Q42" s="258">
        <v>1514.3</v>
      </c>
      <c r="R42" s="260">
        <v>1514.3</v>
      </c>
      <c r="S42" s="260"/>
      <c r="T42" s="258"/>
      <c r="U42" s="258"/>
      <c r="V42" s="258">
        <f t="shared" ref="V42" si="0">Q42-R42-S42-T42-U42</f>
        <v>0</v>
      </c>
    </row>
    <row r="43" spans="1:44" ht="30" customHeight="1" x14ac:dyDescent="0.2">
      <c r="A43" s="202"/>
      <c r="B43" s="195"/>
      <c r="C43" s="197"/>
      <c r="D43" s="199"/>
      <c r="E43" s="201"/>
      <c r="F43" s="195"/>
      <c r="G43" s="63">
        <v>0</v>
      </c>
      <c r="H43" s="63">
        <v>0</v>
      </c>
      <c r="I43" s="192"/>
      <c r="J43" s="192"/>
      <c r="K43" s="192"/>
      <c r="L43" s="193"/>
      <c r="M43" s="64">
        <f>ROUND((H43*F42),0)</f>
        <v>0</v>
      </c>
      <c r="N43" s="63"/>
      <c r="O43" s="65"/>
      <c r="P43" s="66" t="s">
        <v>59</v>
      </c>
      <c r="Q43" s="259"/>
      <c r="R43" s="261"/>
      <c r="S43" s="261"/>
      <c r="T43" s="259"/>
      <c r="U43" s="259"/>
      <c r="V43" s="259"/>
    </row>
    <row r="44" spans="1:44" ht="30" customHeight="1" x14ac:dyDescent="0.2">
      <c r="A44" s="194"/>
      <c r="B44" s="194">
        <v>3</v>
      </c>
      <c r="C44" s="196" t="s">
        <v>66</v>
      </c>
      <c r="D44" s="198" t="s">
        <v>67</v>
      </c>
      <c r="E44" s="200" t="s">
        <v>65</v>
      </c>
      <c r="F44" s="194">
        <v>1514.3</v>
      </c>
      <c r="G44" s="63">
        <v>329.63</v>
      </c>
      <c r="H44" s="63">
        <v>329.63</v>
      </c>
      <c r="I44" s="208">
        <f>ROUND((F44*G44),0)</f>
        <v>499159</v>
      </c>
      <c r="J44" s="208">
        <f>(G44-H44-G45)*F44</f>
        <v>0</v>
      </c>
      <c r="K44" s="208">
        <v>0</v>
      </c>
      <c r="L44" s="206">
        <f>ROUND((F44*G45),0)</f>
        <v>0</v>
      </c>
      <c r="M44" s="64">
        <f>ROUND((H44*F44),0)</f>
        <v>499159</v>
      </c>
      <c r="N44" s="63"/>
      <c r="O44" s="65"/>
      <c r="P44" s="66" t="s">
        <v>58</v>
      </c>
      <c r="Q44" s="258">
        <v>1514.3</v>
      </c>
      <c r="R44" s="260">
        <v>1514.3</v>
      </c>
      <c r="S44" s="260"/>
      <c r="T44" s="258"/>
      <c r="U44" s="258"/>
      <c r="V44" s="258">
        <f t="shared" ref="V44" si="1">Q44-R44-S44-T44-U44</f>
        <v>0</v>
      </c>
    </row>
    <row r="45" spans="1:44" ht="30" customHeight="1" x14ac:dyDescent="0.2">
      <c r="A45" s="195"/>
      <c r="B45" s="195"/>
      <c r="C45" s="197"/>
      <c r="D45" s="199"/>
      <c r="E45" s="201"/>
      <c r="F45" s="195"/>
      <c r="G45" s="63">
        <v>0</v>
      </c>
      <c r="H45" s="63">
        <v>0</v>
      </c>
      <c r="I45" s="209"/>
      <c r="J45" s="209"/>
      <c r="K45" s="209"/>
      <c r="L45" s="207"/>
      <c r="M45" s="64">
        <f>ROUND((H45*F44),0)</f>
        <v>0</v>
      </c>
      <c r="N45" s="63"/>
      <c r="O45" s="65"/>
      <c r="P45" s="66" t="s">
        <v>59</v>
      </c>
      <c r="Q45" s="259"/>
      <c r="R45" s="261"/>
      <c r="S45" s="261"/>
      <c r="T45" s="259"/>
      <c r="U45" s="259"/>
      <c r="V45" s="259"/>
    </row>
    <row r="46" spans="1:44" ht="30" customHeight="1" x14ac:dyDescent="0.2">
      <c r="A46" s="194"/>
      <c r="B46" s="194">
        <v>4</v>
      </c>
      <c r="C46" s="196" t="s">
        <v>68</v>
      </c>
      <c r="D46" s="198" t="s">
        <v>69</v>
      </c>
      <c r="E46" s="200" t="s">
        <v>70</v>
      </c>
      <c r="F46" s="194">
        <v>87.97</v>
      </c>
      <c r="G46" s="63">
        <v>1973.76</v>
      </c>
      <c r="H46" s="63">
        <v>253.08</v>
      </c>
      <c r="I46" s="208">
        <f>ROUND((F46*G46),0)</f>
        <v>173632</v>
      </c>
      <c r="J46" s="208">
        <f>ROUND((G46-H46-G47)*F46,0)</f>
        <v>94994</v>
      </c>
      <c r="K46" s="208">
        <v>0</v>
      </c>
      <c r="L46" s="206">
        <f>ROUND((F46*G47),0)</f>
        <v>56375</v>
      </c>
      <c r="M46" s="64">
        <f>ROUND((H46*F46),0)</f>
        <v>22263</v>
      </c>
      <c r="N46" s="63">
        <v>2.2000000000000002</v>
      </c>
      <c r="O46" s="65">
        <f>F46*N46</f>
        <v>193.53400000000002</v>
      </c>
      <c r="P46" s="66" t="s">
        <v>58</v>
      </c>
      <c r="Q46" s="258">
        <v>119</v>
      </c>
      <c r="R46" s="260">
        <f>30.4+30.37+27.2</f>
        <v>87.97</v>
      </c>
      <c r="S46" s="260"/>
      <c r="T46" s="258"/>
      <c r="U46" s="258"/>
      <c r="V46" s="258">
        <f t="shared" ref="V46" si="2">Q46-R46-S46-T46-U46</f>
        <v>31.03</v>
      </c>
    </row>
    <row r="47" spans="1:44" ht="30" customHeight="1" x14ac:dyDescent="0.2">
      <c r="A47" s="195"/>
      <c r="B47" s="195"/>
      <c r="C47" s="197"/>
      <c r="D47" s="199"/>
      <c r="E47" s="201"/>
      <c r="F47" s="195"/>
      <c r="G47" s="63">
        <v>640.84</v>
      </c>
      <c r="H47" s="63">
        <v>175.71</v>
      </c>
      <c r="I47" s="209"/>
      <c r="J47" s="209"/>
      <c r="K47" s="209"/>
      <c r="L47" s="207"/>
      <c r="M47" s="64">
        <f>ROUND((H47*F46),0)</f>
        <v>15457</v>
      </c>
      <c r="N47" s="63">
        <v>0.45</v>
      </c>
      <c r="O47" s="65">
        <f>F46*N47</f>
        <v>39.586500000000001</v>
      </c>
      <c r="P47" s="66" t="s">
        <v>59</v>
      </c>
      <c r="Q47" s="259"/>
      <c r="R47" s="261"/>
      <c r="S47" s="261"/>
      <c r="T47" s="259"/>
      <c r="U47" s="259"/>
      <c r="V47" s="259"/>
    </row>
    <row r="48" spans="1:44" x14ac:dyDescent="0.25">
      <c r="A48" s="55"/>
      <c r="B48" s="55"/>
      <c r="C48" s="55"/>
      <c r="D48" s="203" t="s">
        <v>60</v>
      </c>
      <c r="E48" s="204"/>
      <c r="F48" s="205"/>
      <c r="G48" s="67">
        <v>1.1499999999999999</v>
      </c>
      <c r="H48" s="68"/>
      <c r="I48" s="69">
        <f>ROUND((L46+M47)*G48,0)</f>
        <v>82607</v>
      </c>
      <c r="J48" s="69"/>
      <c r="K48" s="69"/>
      <c r="L48" s="64"/>
      <c r="M48" s="64"/>
      <c r="N48" s="63"/>
      <c r="O48" s="70"/>
      <c r="P48" s="56"/>
    </row>
    <row r="49" spans="1:22" x14ac:dyDescent="0.25">
      <c r="A49" s="55"/>
      <c r="B49" s="55"/>
      <c r="C49" s="55"/>
      <c r="D49" s="203" t="s">
        <v>61</v>
      </c>
      <c r="E49" s="204"/>
      <c r="F49" s="205"/>
      <c r="G49" s="67">
        <v>0.6</v>
      </c>
      <c r="H49" s="68"/>
      <c r="I49" s="69">
        <f>ROUND((L46+M47)*G49,0)</f>
        <v>43099</v>
      </c>
      <c r="J49" s="69"/>
      <c r="K49" s="69"/>
      <c r="L49" s="64"/>
      <c r="M49" s="64"/>
      <c r="N49" s="63"/>
      <c r="O49" s="70"/>
      <c r="P49" s="56"/>
    </row>
    <row r="50" spans="1:22" x14ac:dyDescent="0.25">
      <c r="A50" s="55"/>
      <c r="B50" s="55"/>
      <c r="C50" s="55"/>
      <c r="D50" s="53"/>
      <c r="E50" s="53"/>
      <c r="F50" s="71" t="s">
        <v>62</v>
      </c>
      <c r="G50" s="72"/>
      <c r="H50" s="68"/>
      <c r="I50" s="69">
        <f>I46+I48+I49</f>
        <v>299338</v>
      </c>
      <c r="J50" s="69"/>
      <c r="K50" s="69"/>
      <c r="L50" s="64"/>
      <c r="M50" s="64"/>
      <c r="N50" s="63"/>
      <c r="O50" s="70"/>
      <c r="P50" s="56"/>
    </row>
    <row r="51" spans="1:22" ht="30" hidden="1" customHeight="1" x14ac:dyDescent="0.2">
      <c r="A51" s="194"/>
      <c r="B51" s="194">
        <v>5</v>
      </c>
      <c r="C51" s="196" t="s">
        <v>71</v>
      </c>
      <c r="D51" s="198" t="s">
        <v>72</v>
      </c>
      <c r="E51" s="200" t="s">
        <v>73</v>
      </c>
      <c r="F51" s="194"/>
      <c r="G51" s="63">
        <v>11229.63</v>
      </c>
      <c r="H51" s="63">
        <v>355.71</v>
      </c>
      <c r="I51" s="208">
        <f>ROUND((F51*G51),0)</f>
        <v>0</v>
      </c>
      <c r="J51" s="208">
        <f>ROUND((G51-H51-G52)*F51,0)</f>
        <v>0</v>
      </c>
      <c r="K51" s="208">
        <v>0</v>
      </c>
      <c r="L51" s="206">
        <f>ROUND((F51*G52),0)</f>
        <v>0</v>
      </c>
      <c r="M51" s="64">
        <f>ROUND((H51*F51),0)</f>
        <v>0</v>
      </c>
      <c r="N51" s="63">
        <v>40.65</v>
      </c>
      <c r="O51" s="65">
        <f>F51*N51</f>
        <v>0</v>
      </c>
      <c r="P51" s="66" t="s">
        <v>58</v>
      </c>
      <c r="Q51" s="258">
        <v>30.285</v>
      </c>
      <c r="R51" s="260"/>
      <c r="S51" s="260"/>
      <c r="T51" s="258"/>
      <c r="U51" s="258"/>
      <c r="V51" s="258">
        <f>Q51-R51-S51-T51-U51</f>
        <v>30.285</v>
      </c>
    </row>
    <row r="52" spans="1:22" ht="30" hidden="1" customHeight="1" x14ac:dyDescent="0.2">
      <c r="A52" s="195"/>
      <c r="B52" s="195"/>
      <c r="C52" s="197"/>
      <c r="D52" s="199"/>
      <c r="E52" s="201"/>
      <c r="F52" s="195"/>
      <c r="G52" s="63">
        <v>10823.62</v>
      </c>
      <c r="H52" s="63">
        <v>585.34</v>
      </c>
      <c r="I52" s="209"/>
      <c r="J52" s="209"/>
      <c r="K52" s="209"/>
      <c r="L52" s="207"/>
      <c r="M52" s="64">
        <f>ROUND((H52*F51),0)</f>
        <v>0</v>
      </c>
      <c r="N52" s="63">
        <v>1.27</v>
      </c>
      <c r="O52" s="65">
        <f>F51*N52</f>
        <v>0</v>
      </c>
      <c r="P52" s="66" t="s">
        <v>59</v>
      </c>
      <c r="Q52" s="259"/>
      <c r="R52" s="261"/>
      <c r="S52" s="261"/>
      <c r="T52" s="259"/>
      <c r="U52" s="259"/>
      <c r="V52" s="259"/>
    </row>
    <row r="53" spans="1:22" hidden="1" x14ac:dyDescent="0.25">
      <c r="A53" s="55"/>
      <c r="B53" s="55"/>
      <c r="C53" s="55"/>
      <c r="D53" s="203" t="s">
        <v>60</v>
      </c>
      <c r="E53" s="204"/>
      <c r="F53" s="205"/>
      <c r="G53" s="67">
        <v>1.1499999999999999</v>
      </c>
      <c r="H53" s="68"/>
      <c r="I53" s="69">
        <f>ROUND((L51+M52)*G53,0)</f>
        <v>0</v>
      </c>
      <c r="J53" s="69"/>
      <c r="K53" s="69"/>
      <c r="L53" s="64"/>
      <c r="M53" s="64"/>
      <c r="N53" s="63"/>
      <c r="O53" s="70"/>
      <c r="P53" s="56"/>
    </row>
    <row r="54" spans="1:22" hidden="1" x14ac:dyDescent="0.25">
      <c r="A54" s="55"/>
      <c r="B54" s="55"/>
      <c r="C54" s="55"/>
      <c r="D54" s="203" t="s">
        <v>61</v>
      </c>
      <c r="E54" s="204"/>
      <c r="F54" s="205"/>
      <c r="G54" s="67">
        <v>0.6</v>
      </c>
      <c r="H54" s="68"/>
      <c r="I54" s="69">
        <f>ROUND((L51+M52)*G54,0)</f>
        <v>0</v>
      </c>
      <c r="J54" s="69"/>
      <c r="K54" s="69"/>
      <c r="L54" s="64"/>
      <c r="M54" s="64"/>
      <c r="N54" s="63"/>
      <c r="O54" s="70"/>
      <c r="P54" s="56"/>
    </row>
    <row r="55" spans="1:22" hidden="1" x14ac:dyDescent="0.25">
      <c r="A55" s="55"/>
      <c r="B55" s="55"/>
      <c r="C55" s="55"/>
      <c r="D55" s="53"/>
      <c r="E55" s="53"/>
      <c r="F55" s="71" t="s">
        <v>62</v>
      </c>
      <c r="G55" s="72"/>
      <c r="H55" s="68"/>
      <c r="I55" s="69">
        <f>I51+I53+I54</f>
        <v>0</v>
      </c>
      <c r="J55" s="69"/>
      <c r="K55" s="69"/>
      <c r="L55" s="64"/>
      <c r="M55" s="64"/>
      <c r="N55" s="63"/>
      <c r="O55" s="70"/>
      <c r="P55" s="56"/>
    </row>
    <row r="56" spans="1:22" ht="30" hidden="1" customHeight="1" x14ac:dyDescent="0.2">
      <c r="A56" s="202"/>
      <c r="B56" s="194">
        <v>6</v>
      </c>
      <c r="C56" s="196" t="s">
        <v>74</v>
      </c>
      <c r="D56" s="198" t="s">
        <v>75</v>
      </c>
      <c r="E56" s="200" t="s">
        <v>73</v>
      </c>
      <c r="F56" s="194"/>
      <c r="G56" s="63">
        <v>1190.5999999999999</v>
      </c>
      <c r="H56" s="63">
        <v>391.85</v>
      </c>
      <c r="I56" s="192">
        <f>ROUND((F56*G56),0)</f>
        <v>0</v>
      </c>
      <c r="J56" s="192">
        <f>ROUND((G56-H56-G57)*F56,0)</f>
        <v>0</v>
      </c>
      <c r="K56" s="192">
        <v>0</v>
      </c>
      <c r="L56" s="193">
        <f>ROUND((F56*G57),0)</f>
        <v>0</v>
      </c>
      <c r="M56" s="64">
        <f>ROUND((H56*F56),0)</f>
        <v>0</v>
      </c>
      <c r="N56" s="63">
        <v>3</v>
      </c>
      <c r="O56" s="65">
        <f>F56*N56</f>
        <v>0</v>
      </c>
      <c r="P56" s="66" t="s">
        <v>58</v>
      </c>
      <c r="Q56" s="258">
        <v>30.285</v>
      </c>
      <c r="R56" s="260"/>
      <c r="S56" s="260"/>
      <c r="T56" s="258"/>
      <c r="U56" s="258"/>
      <c r="V56" s="258">
        <f>Q56-R56-S56-T56-U56</f>
        <v>30.285</v>
      </c>
    </row>
    <row r="57" spans="1:22" ht="30" hidden="1" customHeight="1" x14ac:dyDescent="0.2">
      <c r="A57" s="202"/>
      <c r="B57" s="195"/>
      <c r="C57" s="197"/>
      <c r="D57" s="199"/>
      <c r="E57" s="201"/>
      <c r="F57" s="195"/>
      <c r="G57" s="63">
        <v>798.75</v>
      </c>
      <c r="H57" s="63">
        <v>581.79</v>
      </c>
      <c r="I57" s="192"/>
      <c r="J57" s="192"/>
      <c r="K57" s="192"/>
      <c r="L57" s="193"/>
      <c r="M57" s="64">
        <f>ROUND((H57*F56),0)</f>
        <v>0</v>
      </c>
      <c r="N57" s="63">
        <v>1.26</v>
      </c>
      <c r="O57" s="65">
        <f>F56*N57</f>
        <v>0</v>
      </c>
      <c r="P57" s="66" t="s">
        <v>59</v>
      </c>
      <c r="Q57" s="259"/>
      <c r="R57" s="261"/>
      <c r="S57" s="261"/>
      <c r="T57" s="259"/>
      <c r="U57" s="259"/>
      <c r="V57" s="259"/>
    </row>
    <row r="58" spans="1:22" hidden="1" x14ac:dyDescent="0.25">
      <c r="A58" s="55"/>
      <c r="B58" s="55"/>
      <c r="C58" s="55"/>
      <c r="D58" s="203" t="s">
        <v>60</v>
      </c>
      <c r="E58" s="204"/>
      <c r="F58" s="205"/>
      <c r="G58" s="67">
        <v>1.1499999999999999</v>
      </c>
      <c r="H58" s="68"/>
      <c r="I58" s="69">
        <f>ROUND((L56+M57)*G58,0)</f>
        <v>0</v>
      </c>
      <c r="J58" s="69"/>
      <c r="K58" s="69"/>
      <c r="L58" s="64"/>
      <c r="M58" s="64"/>
      <c r="N58" s="63"/>
      <c r="O58" s="70"/>
      <c r="P58" s="56"/>
    </row>
    <row r="59" spans="1:22" hidden="1" x14ac:dyDescent="0.25">
      <c r="A59" s="55"/>
      <c r="B59" s="55"/>
      <c r="C59" s="55"/>
      <c r="D59" s="203" t="s">
        <v>61</v>
      </c>
      <c r="E59" s="204"/>
      <c r="F59" s="205"/>
      <c r="G59" s="67">
        <v>0.6</v>
      </c>
      <c r="H59" s="68"/>
      <c r="I59" s="69">
        <f>ROUND((L56+M57)*G59,0)</f>
        <v>0</v>
      </c>
      <c r="J59" s="69"/>
      <c r="K59" s="69"/>
      <c r="L59" s="64"/>
      <c r="M59" s="64"/>
      <c r="N59" s="63"/>
      <c r="O59" s="70"/>
      <c r="P59" s="56"/>
    </row>
    <row r="60" spans="1:22" hidden="1" x14ac:dyDescent="0.25">
      <c r="A60" s="55"/>
      <c r="B60" s="55"/>
      <c r="C60" s="55"/>
      <c r="D60" s="53"/>
      <c r="E60" s="53"/>
      <c r="F60" s="71" t="s">
        <v>62</v>
      </c>
      <c r="G60" s="72"/>
      <c r="H60" s="68"/>
      <c r="I60" s="69">
        <f>I56+I58+I59</f>
        <v>0</v>
      </c>
      <c r="J60" s="69"/>
      <c r="K60" s="69"/>
      <c r="L60" s="64"/>
      <c r="M60" s="64"/>
      <c r="N60" s="63"/>
      <c r="O60" s="70"/>
      <c r="P60" s="56"/>
    </row>
    <row r="61" spans="1:22" ht="30" hidden="1" customHeight="1" x14ac:dyDescent="0.2">
      <c r="A61" s="202"/>
      <c r="B61" s="194">
        <v>7</v>
      </c>
      <c r="C61" s="196" t="s">
        <v>76</v>
      </c>
      <c r="D61" s="198" t="s">
        <v>77</v>
      </c>
      <c r="E61" s="200" t="s">
        <v>78</v>
      </c>
      <c r="F61" s="194"/>
      <c r="G61" s="63">
        <v>3490.69</v>
      </c>
      <c r="H61" s="63">
        <v>0</v>
      </c>
      <c r="I61" s="192">
        <f>ROUND((F61*G61),0)</f>
        <v>0</v>
      </c>
      <c r="J61" s="192">
        <f>(G61-H61-G62)*F61</f>
        <v>0</v>
      </c>
      <c r="K61" s="192">
        <v>0</v>
      </c>
      <c r="L61" s="193">
        <f>ROUND((F61*G62),0)</f>
        <v>0</v>
      </c>
      <c r="M61" s="64">
        <f>ROUND((H61*F61),0)</f>
        <v>0</v>
      </c>
      <c r="N61" s="63"/>
      <c r="O61" s="65"/>
      <c r="P61" s="66" t="s">
        <v>58</v>
      </c>
      <c r="Q61" s="258">
        <v>154.44999999999999</v>
      </c>
      <c r="R61" s="260"/>
      <c r="S61" s="260"/>
      <c r="T61" s="258"/>
      <c r="U61" s="258"/>
      <c r="V61" s="258">
        <f t="shared" ref="V61" si="3">Q61-R61-S61-T61-U61</f>
        <v>154.44999999999999</v>
      </c>
    </row>
    <row r="62" spans="1:22" ht="30" hidden="1" customHeight="1" x14ac:dyDescent="0.2">
      <c r="A62" s="202"/>
      <c r="B62" s="195"/>
      <c r="C62" s="197"/>
      <c r="D62" s="199"/>
      <c r="E62" s="201"/>
      <c r="F62" s="195"/>
      <c r="G62" s="63">
        <v>0</v>
      </c>
      <c r="H62" s="63">
        <v>0</v>
      </c>
      <c r="I62" s="192"/>
      <c r="J62" s="192"/>
      <c r="K62" s="192"/>
      <c r="L62" s="193"/>
      <c r="M62" s="64">
        <f>ROUND((H62*F61),0)</f>
        <v>0</v>
      </c>
      <c r="N62" s="63"/>
      <c r="O62" s="65"/>
      <c r="P62" s="66" t="s">
        <v>59</v>
      </c>
      <c r="Q62" s="259"/>
      <c r="R62" s="261"/>
      <c r="S62" s="261"/>
      <c r="T62" s="259"/>
      <c r="U62" s="259"/>
      <c r="V62" s="259"/>
    </row>
    <row r="63" spans="1:22" ht="30" hidden="1" customHeight="1" x14ac:dyDescent="0.2">
      <c r="A63" s="202"/>
      <c r="B63" s="194">
        <v>8</v>
      </c>
      <c r="C63" s="196" t="s">
        <v>79</v>
      </c>
      <c r="D63" s="198" t="s">
        <v>80</v>
      </c>
      <c r="E63" s="200" t="s">
        <v>81</v>
      </c>
      <c r="F63" s="194"/>
      <c r="G63" s="63">
        <v>4136.71</v>
      </c>
      <c r="H63" s="63">
        <v>313.83</v>
      </c>
      <c r="I63" s="192">
        <f>ROUND((F63*G63),0)</f>
        <v>0</v>
      </c>
      <c r="J63" s="192">
        <f>ROUND((G63-H63-G64)*F63,0)</f>
        <v>0</v>
      </c>
      <c r="K63" s="192">
        <v>0</v>
      </c>
      <c r="L63" s="193">
        <f>ROUND((F63*G64),0)</f>
        <v>0</v>
      </c>
      <c r="M63" s="64">
        <f>ROUND((H63*F63),0)</f>
        <v>0</v>
      </c>
      <c r="N63" s="63">
        <v>12.64</v>
      </c>
      <c r="O63" s="65">
        <f>F63*N63</f>
        <v>0</v>
      </c>
      <c r="P63" s="66" t="s">
        <v>58</v>
      </c>
      <c r="Q63" s="258">
        <v>9.6</v>
      </c>
      <c r="R63" s="260"/>
      <c r="S63" s="260"/>
      <c r="T63" s="258"/>
      <c r="U63" s="258"/>
      <c r="V63" s="258">
        <f t="shared" ref="V63" si="4">Q63-R63-S63-T63-U63</f>
        <v>9.6</v>
      </c>
    </row>
    <row r="64" spans="1:22" ht="30" hidden="1" customHeight="1" x14ac:dyDescent="0.2">
      <c r="A64" s="202"/>
      <c r="B64" s="195"/>
      <c r="C64" s="197"/>
      <c r="D64" s="199"/>
      <c r="E64" s="201"/>
      <c r="F64" s="195"/>
      <c r="G64" s="63">
        <v>3822.88</v>
      </c>
      <c r="H64" s="63">
        <v>73.72</v>
      </c>
      <c r="I64" s="192"/>
      <c r="J64" s="192"/>
      <c r="K64" s="192"/>
      <c r="L64" s="193"/>
      <c r="M64" s="64">
        <f>ROUND((H64*F63),0)</f>
        <v>0</v>
      </c>
      <c r="N64" s="63">
        <v>0.16</v>
      </c>
      <c r="O64" s="65">
        <f>F63*N64</f>
        <v>0</v>
      </c>
      <c r="P64" s="66" t="s">
        <v>59</v>
      </c>
      <c r="Q64" s="259"/>
      <c r="R64" s="261"/>
      <c r="S64" s="261"/>
      <c r="T64" s="259"/>
      <c r="U64" s="259"/>
      <c r="V64" s="259"/>
    </row>
    <row r="65" spans="1:256" hidden="1" x14ac:dyDescent="0.25">
      <c r="A65" s="55"/>
      <c r="B65" s="55"/>
      <c r="C65" s="55"/>
      <c r="D65" s="203" t="s">
        <v>60</v>
      </c>
      <c r="E65" s="204"/>
      <c r="F65" s="205"/>
      <c r="G65" s="67">
        <v>0.99</v>
      </c>
      <c r="H65" s="68"/>
      <c r="I65" s="69">
        <f>ROUND((L63+M64)*G65,0)</f>
        <v>0</v>
      </c>
      <c r="J65" s="69"/>
      <c r="K65" s="69"/>
      <c r="L65" s="64"/>
      <c r="M65" s="64"/>
      <c r="N65" s="63"/>
      <c r="O65" s="70"/>
      <c r="P65" s="56"/>
    </row>
    <row r="66" spans="1:256" hidden="1" x14ac:dyDescent="0.25">
      <c r="A66" s="55"/>
      <c r="B66" s="55"/>
      <c r="C66" s="55"/>
      <c r="D66" s="203" t="s">
        <v>61</v>
      </c>
      <c r="E66" s="204"/>
      <c r="F66" s="205"/>
      <c r="G66" s="67">
        <v>0.52</v>
      </c>
      <c r="H66" s="68"/>
      <c r="I66" s="69">
        <f>ROUND((L63+M64)*G66,0)</f>
        <v>0</v>
      </c>
      <c r="J66" s="69"/>
      <c r="K66" s="69"/>
      <c r="L66" s="64"/>
      <c r="M66" s="64"/>
      <c r="N66" s="63"/>
      <c r="O66" s="70"/>
      <c r="P66" s="56"/>
    </row>
    <row r="67" spans="1:256" hidden="1" x14ac:dyDescent="0.25">
      <c r="A67" s="55"/>
      <c r="B67" s="55"/>
      <c r="C67" s="55"/>
      <c r="D67" s="53"/>
      <c r="E67" s="53"/>
      <c r="F67" s="71" t="s">
        <v>62</v>
      </c>
      <c r="G67" s="72"/>
      <c r="H67" s="68"/>
      <c r="I67" s="69">
        <f>I63+I65+I66</f>
        <v>0</v>
      </c>
      <c r="J67" s="69"/>
      <c r="K67" s="69"/>
      <c r="L67" s="64"/>
      <c r="M67" s="64"/>
      <c r="N67" s="63"/>
      <c r="O67" s="70"/>
      <c r="P67" s="56"/>
    </row>
    <row r="68" spans="1:256" ht="30" hidden="1" customHeight="1" x14ac:dyDescent="0.2">
      <c r="A68" s="202"/>
      <c r="B68" s="194">
        <v>9</v>
      </c>
      <c r="C68" s="196" t="s">
        <v>82</v>
      </c>
      <c r="D68" s="198" t="s">
        <v>83</v>
      </c>
      <c r="E68" s="200" t="s">
        <v>84</v>
      </c>
      <c r="F68" s="194"/>
      <c r="G68" s="63">
        <v>47094.59</v>
      </c>
      <c r="H68" s="63">
        <v>0</v>
      </c>
      <c r="I68" s="192">
        <f>ROUND((F68*G68),0)</f>
        <v>0</v>
      </c>
      <c r="J68" s="192">
        <f>(G68-H68-G69)*F68</f>
        <v>0</v>
      </c>
      <c r="K68" s="192">
        <v>0</v>
      </c>
      <c r="L68" s="193">
        <f>ROUND((F68*G69),0)</f>
        <v>0</v>
      </c>
      <c r="M68" s="64">
        <f>ROUND((H68*F68),0)</f>
        <v>0</v>
      </c>
      <c r="N68" s="63"/>
      <c r="O68" s="65"/>
      <c r="P68" s="66" t="s">
        <v>58</v>
      </c>
      <c r="Q68" s="258">
        <v>9.6</v>
      </c>
      <c r="R68" s="260"/>
      <c r="S68" s="260"/>
      <c r="T68" s="258"/>
      <c r="U68" s="258"/>
      <c r="V68" s="258">
        <f t="shared" ref="V68" si="5">Q68-R68-S68-T68-U68</f>
        <v>9.6</v>
      </c>
    </row>
    <row r="69" spans="1:256" ht="30" hidden="1" customHeight="1" x14ac:dyDescent="0.2">
      <c r="A69" s="202"/>
      <c r="B69" s="195"/>
      <c r="C69" s="197"/>
      <c r="D69" s="199"/>
      <c r="E69" s="201"/>
      <c r="F69" s="195"/>
      <c r="G69" s="63">
        <v>0</v>
      </c>
      <c r="H69" s="63">
        <v>0</v>
      </c>
      <c r="I69" s="192"/>
      <c r="J69" s="192"/>
      <c r="K69" s="192"/>
      <c r="L69" s="193"/>
      <c r="M69" s="64">
        <f>ROUND((H69*F68),0)</f>
        <v>0</v>
      </c>
      <c r="N69" s="63"/>
      <c r="O69" s="65"/>
      <c r="P69" s="66" t="s">
        <v>59</v>
      </c>
      <c r="Q69" s="259"/>
      <c r="R69" s="261"/>
      <c r="S69" s="261"/>
      <c r="T69" s="259"/>
      <c r="U69" s="259"/>
      <c r="V69" s="259"/>
    </row>
    <row r="70" spans="1:256" ht="30" hidden="1" customHeight="1" x14ac:dyDescent="0.2">
      <c r="A70" s="202"/>
      <c r="B70" s="194">
        <v>10</v>
      </c>
      <c r="C70" s="196" t="s">
        <v>85</v>
      </c>
      <c r="D70" s="198" t="s">
        <v>86</v>
      </c>
      <c r="E70" s="200" t="s">
        <v>84</v>
      </c>
      <c r="F70" s="194"/>
      <c r="G70" s="63">
        <v>7872.52</v>
      </c>
      <c r="H70" s="63">
        <v>0</v>
      </c>
      <c r="I70" s="192">
        <f>ROUND((F70*G70),0)</f>
        <v>0</v>
      </c>
      <c r="J70" s="192">
        <f>(G70-H70-G71)*F70</f>
        <v>0</v>
      </c>
      <c r="K70" s="192">
        <v>0</v>
      </c>
      <c r="L70" s="193">
        <f>ROUND((F70*G71),0)</f>
        <v>0</v>
      </c>
      <c r="M70" s="64">
        <f>ROUND((H70*F70),0)</f>
        <v>0</v>
      </c>
      <c r="N70" s="63"/>
      <c r="O70" s="65"/>
      <c r="P70" s="66" t="s">
        <v>58</v>
      </c>
      <c r="Q70" s="258">
        <v>9.6</v>
      </c>
      <c r="R70" s="260"/>
      <c r="S70" s="260"/>
      <c r="T70" s="258"/>
      <c r="U70" s="258"/>
      <c r="V70" s="258">
        <f t="shared" ref="V70" si="6">Q70-R70-S70-T70-U70</f>
        <v>9.6</v>
      </c>
    </row>
    <row r="71" spans="1:256" ht="30" hidden="1" customHeight="1" x14ac:dyDescent="0.2">
      <c r="A71" s="202"/>
      <c r="B71" s="195"/>
      <c r="C71" s="197"/>
      <c r="D71" s="199"/>
      <c r="E71" s="201"/>
      <c r="F71" s="195"/>
      <c r="G71" s="63">
        <v>0</v>
      </c>
      <c r="H71" s="63">
        <v>0</v>
      </c>
      <c r="I71" s="192"/>
      <c r="J71" s="192"/>
      <c r="K71" s="192"/>
      <c r="L71" s="193"/>
      <c r="M71" s="64">
        <f>ROUND((H71*F70),0)</f>
        <v>0</v>
      </c>
      <c r="N71" s="63"/>
      <c r="O71" s="65"/>
      <c r="P71" s="66" t="s">
        <v>59</v>
      </c>
      <c r="Q71" s="259"/>
      <c r="R71" s="261"/>
      <c r="S71" s="261"/>
      <c r="T71" s="259"/>
      <c r="U71" s="259"/>
      <c r="V71" s="259"/>
    </row>
    <row r="72" spans="1:256" customFormat="1" ht="15.75" x14ac:dyDescent="0.25">
      <c r="A72" s="53"/>
      <c r="B72" s="55"/>
      <c r="C72" s="60" t="s">
        <v>131</v>
      </c>
      <c r="D72" s="61"/>
      <c r="E72" s="61"/>
      <c r="F72" s="62"/>
      <c r="G72" s="53"/>
      <c r="H72" s="53"/>
      <c r="I72" s="53"/>
      <c r="J72" s="53"/>
      <c r="K72" s="53"/>
      <c r="L72" s="53"/>
      <c r="M72" s="53"/>
      <c r="N72" s="53"/>
      <c r="O72" s="53"/>
      <c r="P72" s="56"/>
      <c r="R72" s="149"/>
      <c r="S72" s="149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customFormat="1" ht="30" customHeight="1" x14ac:dyDescent="0.2">
      <c r="A73" s="194"/>
      <c r="B73" s="194">
        <v>5</v>
      </c>
      <c r="C73" s="196" t="s">
        <v>87</v>
      </c>
      <c r="D73" s="198" t="s">
        <v>88</v>
      </c>
      <c r="E73" s="200" t="s">
        <v>57</v>
      </c>
      <c r="F73" s="194">
        <v>-511.7</v>
      </c>
      <c r="G73" s="63">
        <v>9372.57</v>
      </c>
      <c r="H73" s="63">
        <v>4456.84</v>
      </c>
      <c r="I73" s="192">
        <f>ROUND((F73*G73),0)</f>
        <v>-4795944</v>
      </c>
      <c r="J73" s="192">
        <f>ROUND((G73-H73-G74)*F73,0)</f>
        <v>-67652</v>
      </c>
      <c r="K73" s="192">
        <v>0</v>
      </c>
      <c r="L73" s="193">
        <f>ROUND((F73*G74),0)</f>
        <v>-2447727</v>
      </c>
      <c r="M73" s="64">
        <f>ROUND((H73*F73),0)</f>
        <v>-2280565</v>
      </c>
      <c r="N73" s="63">
        <v>15.45</v>
      </c>
      <c r="O73" s="65">
        <f>F73*N73</f>
        <v>-7905.7649999999994</v>
      </c>
      <c r="P73" s="66" t="s">
        <v>58</v>
      </c>
      <c r="Q73" s="258">
        <v>-511.7</v>
      </c>
      <c r="R73" s="260">
        <v>-511.7</v>
      </c>
      <c r="S73" s="260"/>
      <c r="T73" s="258"/>
      <c r="U73" s="258"/>
      <c r="V73" s="258">
        <f>Q73-R73-S73-T73-U73</f>
        <v>0</v>
      </c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</row>
    <row r="74" spans="1:256" customFormat="1" ht="30" customHeight="1" x14ac:dyDescent="0.2">
      <c r="A74" s="195"/>
      <c r="B74" s="195"/>
      <c r="C74" s="197"/>
      <c r="D74" s="199"/>
      <c r="E74" s="201"/>
      <c r="F74" s="195"/>
      <c r="G74" s="63">
        <v>4783.5200000000004</v>
      </c>
      <c r="H74" s="63">
        <v>1933.43</v>
      </c>
      <c r="I74" s="192"/>
      <c r="J74" s="192"/>
      <c r="K74" s="192"/>
      <c r="L74" s="193"/>
      <c r="M74" s="64">
        <f>ROUND((H74*F73),0)</f>
        <v>-989336</v>
      </c>
      <c r="N74" s="63">
        <v>5.63</v>
      </c>
      <c r="O74" s="65">
        <f>F73*N74</f>
        <v>-2880.8710000000001</v>
      </c>
      <c r="P74" s="66" t="s">
        <v>59</v>
      </c>
      <c r="Q74" s="259"/>
      <c r="R74" s="261"/>
      <c r="S74" s="261"/>
      <c r="T74" s="259"/>
      <c r="U74" s="259"/>
      <c r="V74" s="259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</row>
    <row r="75" spans="1:256" customFormat="1" x14ac:dyDescent="0.25">
      <c r="A75" s="55"/>
      <c r="B75" s="55"/>
      <c r="C75" s="55"/>
      <c r="D75" s="203" t="s">
        <v>60</v>
      </c>
      <c r="E75" s="204"/>
      <c r="F75" s="205"/>
      <c r="G75" s="67">
        <v>1.0285</v>
      </c>
      <c r="H75" s="68"/>
      <c r="I75" s="69">
        <f>ROUND((L73+M74)*G75,0)</f>
        <v>-3535019</v>
      </c>
      <c r="J75" s="69"/>
      <c r="K75" s="69"/>
      <c r="L75" s="64"/>
      <c r="M75" s="64"/>
      <c r="N75" s="63"/>
      <c r="O75" s="70"/>
      <c r="P75" s="56"/>
      <c r="R75" s="149"/>
      <c r="S75" s="149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customFormat="1" x14ac:dyDescent="0.25">
      <c r="A76" s="55"/>
      <c r="B76" s="55"/>
      <c r="C76" s="55"/>
      <c r="D76" s="203" t="s">
        <v>61</v>
      </c>
      <c r="E76" s="204"/>
      <c r="F76" s="205"/>
      <c r="G76" s="67">
        <v>0.56000000000000005</v>
      </c>
      <c r="H76" s="68"/>
      <c r="I76" s="69">
        <f>ROUND((L73+M74)*G76,0)</f>
        <v>-1924755</v>
      </c>
      <c r="J76" s="69"/>
      <c r="K76" s="69"/>
      <c r="L76" s="64"/>
      <c r="M76" s="64"/>
      <c r="N76" s="63"/>
      <c r="O76" s="70"/>
      <c r="P76" s="56"/>
      <c r="R76" s="149"/>
      <c r="S76" s="149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</row>
    <row r="77" spans="1:256" customFormat="1" x14ac:dyDescent="0.25">
      <c r="A77" s="55"/>
      <c r="B77" s="55"/>
      <c r="C77" s="55"/>
      <c r="D77" s="53"/>
      <c r="E77" s="53"/>
      <c r="F77" s="71" t="s">
        <v>62</v>
      </c>
      <c r="G77" s="72"/>
      <c r="H77" s="68"/>
      <c r="I77" s="69">
        <f>I73+I75+I76</f>
        <v>-10255718</v>
      </c>
      <c r="J77" s="69"/>
      <c r="K77" s="69"/>
      <c r="L77" s="64"/>
      <c r="M77" s="64"/>
      <c r="N77" s="63"/>
      <c r="O77" s="70"/>
      <c r="P77" s="56"/>
      <c r="R77" s="149"/>
      <c r="S77" s="149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customFormat="1" ht="30" customHeight="1" x14ac:dyDescent="0.2">
      <c r="A78" s="194"/>
      <c r="B78" s="194">
        <v>6</v>
      </c>
      <c r="C78" s="196" t="s">
        <v>89</v>
      </c>
      <c r="D78" s="198" t="s">
        <v>90</v>
      </c>
      <c r="E78" s="200" t="s">
        <v>65</v>
      </c>
      <c r="F78" s="194">
        <v>1279.3</v>
      </c>
      <c r="G78" s="63">
        <v>67.33</v>
      </c>
      <c r="H78" s="63">
        <v>67.33</v>
      </c>
      <c r="I78" s="192">
        <f>ROUND((F78*G78),0)</f>
        <v>86135</v>
      </c>
      <c r="J78" s="192">
        <f>(G78-H78-G79)*F78</f>
        <v>0</v>
      </c>
      <c r="K78" s="192">
        <v>0</v>
      </c>
      <c r="L78" s="193">
        <f>ROUND((F78*G79),0)</f>
        <v>0</v>
      </c>
      <c r="M78" s="64">
        <f>ROUND((H78*F78),0)</f>
        <v>86135</v>
      </c>
      <c r="N78" s="63"/>
      <c r="O78" s="65"/>
      <c r="P78" s="66" t="s">
        <v>58</v>
      </c>
      <c r="Q78" s="258">
        <v>1279.3</v>
      </c>
      <c r="R78" s="260">
        <v>1279.3</v>
      </c>
      <c r="S78" s="260"/>
      <c r="T78" s="258"/>
      <c r="U78" s="258"/>
      <c r="V78" s="258">
        <f t="shared" ref="V78" si="7">Q78-R78-S78-T78-U78</f>
        <v>0</v>
      </c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</row>
    <row r="79" spans="1:256" customFormat="1" ht="30" customHeight="1" x14ac:dyDescent="0.2">
      <c r="A79" s="195"/>
      <c r="B79" s="195"/>
      <c r="C79" s="197"/>
      <c r="D79" s="199"/>
      <c r="E79" s="201"/>
      <c r="F79" s="195"/>
      <c r="G79" s="63">
        <v>0</v>
      </c>
      <c r="H79" s="63">
        <v>0</v>
      </c>
      <c r="I79" s="192"/>
      <c r="J79" s="192"/>
      <c r="K79" s="192"/>
      <c r="L79" s="193"/>
      <c r="M79" s="64">
        <f>ROUND((H79*F78),0)</f>
        <v>0</v>
      </c>
      <c r="N79" s="63"/>
      <c r="O79" s="65"/>
      <c r="P79" s="66" t="s">
        <v>59</v>
      </c>
      <c r="Q79" s="259"/>
      <c r="R79" s="261"/>
      <c r="S79" s="261"/>
      <c r="T79" s="259"/>
      <c r="U79" s="259"/>
      <c r="V79" s="259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customFormat="1" ht="30" customHeight="1" x14ac:dyDescent="0.2">
      <c r="A80" s="194"/>
      <c r="B80" s="194">
        <v>7</v>
      </c>
      <c r="C80" s="196" t="s">
        <v>91</v>
      </c>
      <c r="D80" s="198" t="s">
        <v>67</v>
      </c>
      <c r="E80" s="200" t="s">
        <v>65</v>
      </c>
      <c r="F80" s="194">
        <v>1279.3</v>
      </c>
      <c r="G80" s="63">
        <v>329.63</v>
      </c>
      <c r="H80" s="63">
        <v>329.63</v>
      </c>
      <c r="I80" s="192">
        <f>ROUND((F80*G80),0)</f>
        <v>421696</v>
      </c>
      <c r="J80" s="192">
        <f>(G80-H80-G81)*F80</f>
        <v>0</v>
      </c>
      <c r="K80" s="192">
        <v>0</v>
      </c>
      <c r="L80" s="193">
        <f>ROUND((F80*G81),0)</f>
        <v>0</v>
      </c>
      <c r="M80" s="64">
        <f>ROUND((H80*F80),0)</f>
        <v>421696</v>
      </c>
      <c r="N80" s="63"/>
      <c r="O80" s="65"/>
      <c r="P80" s="66" t="s">
        <v>58</v>
      </c>
      <c r="Q80" s="258">
        <v>1279.3</v>
      </c>
      <c r="R80" s="260">
        <v>1279.3</v>
      </c>
      <c r="S80" s="260"/>
      <c r="T80" s="258"/>
      <c r="U80" s="258"/>
      <c r="V80" s="258">
        <f t="shared" ref="V80" si="8">Q80-R80-S80-T80-U80</f>
        <v>0</v>
      </c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customFormat="1" ht="30" customHeight="1" x14ac:dyDescent="0.2">
      <c r="A81" s="195"/>
      <c r="B81" s="195"/>
      <c r="C81" s="197"/>
      <c r="D81" s="199"/>
      <c r="E81" s="201"/>
      <c r="F81" s="195"/>
      <c r="G81" s="63">
        <v>0</v>
      </c>
      <c r="H81" s="63">
        <v>0</v>
      </c>
      <c r="I81" s="192"/>
      <c r="J81" s="192"/>
      <c r="K81" s="192"/>
      <c r="L81" s="193"/>
      <c r="M81" s="64">
        <f>ROUND((H81*F80),0)</f>
        <v>0</v>
      </c>
      <c r="N81" s="63"/>
      <c r="O81" s="65"/>
      <c r="P81" s="66" t="s">
        <v>59</v>
      </c>
      <c r="Q81" s="259"/>
      <c r="R81" s="261"/>
      <c r="S81" s="261"/>
      <c r="T81" s="259"/>
      <c r="U81" s="259"/>
      <c r="V81" s="259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customFormat="1" ht="15.75" x14ac:dyDescent="0.25">
      <c r="A82" s="53"/>
      <c r="B82" s="55"/>
      <c r="C82" s="60" t="s">
        <v>132</v>
      </c>
      <c r="D82" s="61"/>
      <c r="E82" s="61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6"/>
      <c r="R82" s="149"/>
      <c r="S82" s="149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customFormat="1" ht="15.75" x14ac:dyDescent="0.25">
      <c r="A83" s="73"/>
      <c r="B83" s="55"/>
      <c r="C83" s="60" t="s">
        <v>92</v>
      </c>
      <c r="D83" s="61"/>
      <c r="E83" s="61"/>
      <c r="F83" s="62"/>
      <c r="G83" s="53"/>
      <c r="H83" s="53"/>
      <c r="I83" s="53"/>
      <c r="J83" s="53"/>
      <c r="K83" s="53"/>
      <c r="L83" s="53"/>
      <c r="M83" s="53"/>
      <c r="N83" s="53"/>
      <c r="O83" s="53"/>
      <c r="P83" s="56"/>
      <c r="R83" s="149"/>
      <c r="S83" s="149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</row>
    <row r="84" spans="1:256" customFormat="1" ht="30" customHeight="1" x14ac:dyDescent="0.2">
      <c r="A84" s="202"/>
      <c r="B84" s="194">
        <v>8</v>
      </c>
      <c r="C84" s="196" t="s">
        <v>93</v>
      </c>
      <c r="D84" s="198" t="s">
        <v>94</v>
      </c>
      <c r="E84" s="200" t="s">
        <v>57</v>
      </c>
      <c r="F84" s="194">
        <v>371</v>
      </c>
      <c r="G84" s="145">
        <v>7233.6602278355613</v>
      </c>
      <c r="H84" s="145">
        <v>3575.1097903252435</v>
      </c>
      <c r="I84" s="192">
        <f>ROUND((F84*G84),0)</f>
        <v>2683688</v>
      </c>
      <c r="J84" s="192">
        <f>ROUND((G84-H84-G85)*F84,0)</f>
        <v>49050</v>
      </c>
      <c r="K84" s="192">
        <v>0</v>
      </c>
      <c r="L84" s="193">
        <f>ROUND((F84*G85),0)</f>
        <v>1308272</v>
      </c>
      <c r="M84" s="64">
        <f>ROUND((H84*F84),0)</f>
        <v>1326366</v>
      </c>
      <c r="N84" s="63">
        <v>15.45</v>
      </c>
      <c r="O84" s="65">
        <f>F84*N84</f>
        <v>5731.95</v>
      </c>
      <c r="P84" s="66" t="s">
        <v>58</v>
      </c>
      <c r="Q84" s="258">
        <v>639</v>
      </c>
      <c r="R84" s="260">
        <f>277+94</f>
        <v>371</v>
      </c>
      <c r="S84" s="260"/>
      <c r="T84" s="258"/>
      <c r="U84" s="258"/>
      <c r="V84" s="258">
        <f>Q84-R84-S84-T84-U84</f>
        <v>268</v>
      </c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customFormat="1" ht="30" customHeight="1" x14ac:dyDescent="0.2">
      <c r="A85" s="202"/>
      <c r="B85" s="195"/>
      <c r="C85" s="197"/>
      <c r="D85" s="199"/>
      <c r="E85" s="201"/>
      <c r="F85" s="195"/>
      <c r="G85" s="145">
        <v>3526.3397721644374</v>
      </c>
      <c r="H85" s="145">
        <v>1548.7105827967639</v>
      </c>
      <c r="I85" s="192"/>
      <c r="J85" s="192"/>
      <c r="K85" s="192"/>
      <c r="L85" s="193"/>
      <c r="M85" s="64">
        <f>ROUND((H85*F84),0)</f>
        <v>574572</v>
      </c>
      <c r="N85" s="63">
        <v>5.63</v>
      </c>
      <c r="O85" s="65">
        <f>F84*N85</f>
        <v>2088.73</v>
      </c>
      <c r="P85" s="66" t="s">
        <v>59</v>
      </c>
      <c r="Q85" s="259"/>
      <c r="R85" s="261"/>
      <c r="S85" s="261"/>
      <c r="T85" s="259"/>
      <c r="U85" s="259"/>
      <c r="V85" s="259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</row>
    <row r="86" spans="1:256" customFormat="1" x14ac:dyDescent="0.25">
      <c r="A86" s="55"/>
      <c r="B86" s="55"/>
      <c r="C86" s="55"/>
      <c r="D86" s="203" t="s">
        <v>60</v>
      </c>
      <c r="E86" s="204"/>
      <c r="F86" s="205"/>
      <c r="G86" s="67">
        <v>1.0285</v>
      </c>
      <c r="H86" s="68"/>
      <c r="I86" s="69">
        <f>ROUND((L84+M85)*G86,0)</f>
        <v>1936505</v>
      </c>
      <c r="J86" s="69"/>
      <c r="K86" s="69"/>
      <c r="L86" s="64"/>
      <c r="M86" s="64"/>
      <c r="N86" s="63"/>
      <c r="O86" s="70"/>
      <c r="P86" s="56"/>
      <c r="R86" s="149"/>
      <c r="S86" s="149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customFormat="1" x14ac:dyDescent="0.25">
      <c r="A87" s="55"/>
      <c r="B87" s="55"/>
      <c r="C87" s="55"/>
      <c r="D87" s="203" t="s">
        <v>61</v>
      </c>
      <c r="E87" s="204"/>
      <c r="F87" s="205"/>
      <c r="G87" s="67">
        <v>0.56000000000000005</v>
      </c>
      <c r="H87" s="68"/>
      <c r="I87" s="69">
        <f>ROUND((L84+M85)*G87,0)</f>
        <v>1054393</v>
      </c>
      <c r="J87" s="69"/>
      <c r="K87" s="69"/>
      <c r="L87" s="64"/>
      <c r="M87" s="64"/>
      <c r="N87" s="63"/>
      <c r="O87" s="70"/>
      <c r="P87" s="56"/>
      <c r="R87" s="149"/>
      <c r="S87" s="149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</row>
    <row r="88" spans="1:256" customFormat="1" x14ac:dyDescent="0.25">
      <c r="A88" s="55"/>
      <c r="B88" s="55"/>
      <c r="C88" s="55"/>
      <c r="D88" s="53"/>
      <c r="E88" s="53"/>
      <c r="F88" s="71" t="s">
        <v>62</v>
      </c>
      <c r="G88" s="72"/>
      <c r="H88" s="68"/>
      <c r="I88" s="69">
        <f>I84+I86+I87</f>
        <v>5674586</v>
      </c>
      <c r="J88" s="69"/>
      <c r="K88" s="69"/>
      <c r="L88" s="64"/>
      <c r="M88" s="64"/>
      <c r="N88" s="63"/>
      <c r="O88" s="70"/>
      <c r="P88" s="56"/>
      <c r="R88" s="149"/>
      <c r="S88" s="149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</row>
    <row r="89" spans="1:256" customFormat="1" ht="30" customHeight="1" x14ac:dyDescent="0.2">
      <c r="A89" s="202"/>
      <c r="B89" s="194">
        <v>9</v>
      </c>
      <c r="C89" s="196" t="s">
        <v>95</v>
      </c>
      <c r="D89" s="198" t="s">
        <v>96</v>
      </c>
      <c r="E89" s="200" t="s">
        <v>65</v>
      </c>
      <c r="F89" s="194">
        <v>185.5</v>
      </c>
      <c r="G89" s="63">
        <v>151.84075573549256</v>
      </c>
      <c r="H89" s="63">
        <v>0</v>
      </c>
      <c r="I89" s="192">
        <f>ROUND((F89*G89),0)</f>
        <v>28166</v>
      </c>
      <c r="J89" s="192">
        <f>(G89-H89-G90)*F89</f>
        <v>28166.46018893387</v>
      </c>
      <c r="K89" s="192">
        <v>0</v>
      </c>
      <c r="L89" s="193">
        <f>ROUND((F89*G90),0)</f>
        <v>0</v>
      </c>
      <c r="M89" s="64">
        <f>ROUND((H89*F89),0)</f>
        <v>0</v>
      </c>
      <c r="N89" s="63"/>
      <c r="O89" s="65"/>
      <c r="P89" s="66" t="s">
        <v>58</v>
      </c>
      <c r="Q89" s="258">
        <v>320</v>
      </c>
      <c r="R89" s="260">
        <f>R84*0.5</f>
        <v>185.5</v>
      </c>
      <c r="S89" s="260"/>
      <c r="T89" s="258"/>
      <c r="U89" s="258"/>
      <c r="V89" s="258">
        <f t="shared" ref="V89" si="9">Q89-R89-S89-T89-U89</f>
        <v>134.5</v>
      </c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</row>
    <row r="90" spans="1:256" customFormat="1" ht="30" customHeight="1" x14ac:dyDescent="0.2">
      <c r="A90" s="202"/>
      <c r="B90" s="195"/>
      <c r="C90" s="197"/>
      <c r="D90" s="199"/>
      <c r="E90" s="201"/>
      <c r="F90" s="195"/>
      <c r="G90" s="63">
        <v>0</v>
      </c>
      <c r="H90" s="63">
        <v>0</v>
      </c>
      <c r="I90" s="192"/>
      <c r="J90" s="192"/>
      <c r="K90" s="192"/>
      <c r="L90" s="193"/>
      <c r="M90" s="64">
        <f>ROUND((H90*F89),0)</f>
        <v>0</v>
      </c>
      <c r="N90" s="63"/>
      <c r="O90" s="65"/>
      <c r="P90" s="66" t="s">
        <v>59</v>
      </c>
      <c r="Q90" s="259"/>
      <c r="R90" s="261"/>
      <c r="S90" s="261"/>
      <c r="T90" s="259"/>
      <c r="U90" s="259"/>
      <c r="V90" s="259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</row>
    <row r="91" spans="1:256" customFormat="1" ht="30" customHeight="1" x14ac:dyDescent="0.2">
      <c r="A91" s="194"/>
      <c r="B91" s="194">
        <v>10</v>
      </c>
      <c r="C91" s="196" t="s">
        <v>97</v>
      </c>
      <c r="D91" s="198" t="s">
        <v>98</v>
      </c>
      <c r="E91" s="200" t="s">
        <v>65</v>
      </c>
      <c r="F91" s="194">
        <v>185.5</v>
      </c>
      <c r="G91" s="63">
        <v>329.63022941970308</v>
      </c>
      <c r="H91" s="63">
        <v>0</v>
      </c>
      <c r="I91" s="192">
        <f>ROUND((F91*G91),0)</f>
        <v>61146</v>
      </c>
      <c r="J91" s="192">
        <f>(G91-H91-G92)*F91</f>
        <v>61146.40755735492</v>
      </c>
      <c r="K91" s="192">
        <v>0</v>
      </c>
      <c r="L91" s="193">
        <f>ROUND((F91*G92),0)</f>
        <v>0</v>
      </c>
      <c r="M91" s="64">
        <f>ROUND((H91*F91),0)</f>
        <v>0</v>
      </c>
      <c r="N91" s="63"/>
      <c r="O91" s="65"/>
      <c r="P91" s="66" t="s">
        <v>58</v>
      </c>
      <c r="Q91" s="258">
        <v>320</v>
      </c>
      <c r="R91" s="260">
        <f>R84*0.5</f>
        <v>185.5</v>
      </c>
      <c r="S91" s="260"/>
      <c r="T91" s="258"/>
      <c r="U91" s="258"/>
      <c r="V91" s="258">
        <f t="shared" ref="V91" si="10">Q91-R91-S91-T91-U91</f>
        <v>134.5</v>
      </c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</row>
    <row r="92" spans="1:256" customFormat="1" ht="30" customHeight="1" x14ac:dyDescent="0.2">
      <c r="A92" s="195"/>
      <c r="B92" s="195"/>
      <c r="C92" s="197"/>
      <c r="D92" s="199"/>
      <c r="E92" s="201"/>
      <c r="F92" s="195"/>
      <c r="G92" s="63">
        <v>0</v>
      </c>
      <c r="H92" s="63">
        <v>0</v>
      </c>
      <c r="I92" s="192"/>
      <c r="J92" s="192"/>
      <c r="K92" s="192"/>
      <c r="L92" s="193"/>
      <c r="M92" s="64">
        <f>ROUND((H92*F91),0)</f>
        <v>0</v>
      </c>
      <c r="N92" s="63"/>
      <c r="O92" s="65"/>
      <c r="P92" s="66" t="s">
        <v>59</v>
      </c>
      <c r="Q92" s="259"/>
      <c r="R92" s="261"/>
      <c r="S92" s="261"/>
      <c r="T92" s="259"/>
      <c r="U92" s="259"/>
      <c r="V92" s="259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</row>
    <row r="93" spans="1:256" customFormat="1" x14ac:dyDescent="0.25">
      <c r="A93" s="186" t="s">
        <v>99</v>
      </c>
      <c r="B93" s="187"/>
      <c r="C93" s="187"/>
      <c r="D93" s="187"/>
      <c r="E93" s="187"/>
      <c r="F93" s="187"/>
      <c r="G93" s="188"/>
      <c r="H93" s="182"/>
      <c r="I93" s="178">
        <f>SUMIF($B35:$B92,"&gt;0",I35:I92)</f>
        <v>3581128</v>
      </c>
      <c r="J93" s="178">
        <f>SUMIF($B35:$B92,"&gt;0",J35:J92)</f>
        <v>245784.8677462888</v>
      </c>
      <c r="K93" s="178">
        <f>SUMIF($B35:$B92,"&gt;0",K35:K92)</f>
        <v>0</v>
      </c>
      <c r="L93" s="178">
        <f>SUMIF($B35:$B92,"&gt;0",L35:L92)</f>
        <v>1052824</v>
      </c>
      <c r="M93" s="74">
        <f>SUMIF(P37:P92,"р",M37:M92)</f>
        <v>2282520</v>
      </c>
      <c r="N93" s="74"/>
      <c r="O93" s="74">
        <f>SUMIF(P37:P92,"р",O37:O92)</f>
        <v>5354.7460000000001</v>
      </c>
      <c r="P93" s="56"/>
      <c r="R93" s="149"/>
      <c r="S93" s="149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</row>
    <row r="94" spans="1:256" customFormat="1" x14ac:dyDescent="0.25">
      <c r="A94" s="189"/>
      <c r="B94" s="190"/>
      <c r="C94" s="190"/>
      <c r="D94" s="190"/>
      <c r="E94" s="190"/>
      <c r="F94" s="190"/>
      <c r="G94" s="191"/>
      <c r="H94" s="183"/>
      <c r="I94" s="179" t="e">
        <f>SUMIF(#REF!,"&gt;"&amp;#REF!,I35:I93)</f>
        <v>#REF!</v>
      </c>
      <c r="J94" s="179" t="e">
        <f>SUMIF(#REF!,"&gt;"&amp;#REF!,J35:J93)</f>
        <v>#REF!</v>
      </c>
      <c r="K94" s="179" t="e">
        <f>SUMIF(#REF!,"&gt;"&amp;#REF!,K35:K93)</f>
        <v>#REF!</v>
      </c>
      <c r="L94" s="179" t="e">
        <f>SUMIF(#REF!,"&gt;"&amp;#REF!,L35:L93)</f>
        <v>#REF!</v>
      </c>
      <c r="M94" s="74">
        <f>SUMIF(P38:P93,"м",M38:M93)</f>
        <v>538747</v>
      </c>
      <c r="N94" s="74"/>
      <c r="O94" s="74">
        <f>SUMIF(P38:P93,"м",O38:O93)</f>
        <v>1979.1524999999997</v>
      </c>
      <c r="P94" s="56"/>
      <c r="R94" s="149"/>
      <c r="S94" s="149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</row>
    <row r="95" spans="1:256" customFormat="1" x14ac:dyDescent="0.25">
      <c r="A95" s="184" t="s">
        <v>100</v>
      </c>
      <c r="B95" s="184"/>
      <c r="C95" s="184"/>
      <c r="D95" s="184"/>
      <c r="E95" s="184"/>
      <c r="F95" s="184"/>
      <c r="G95" s="184"/>
      <c r="H95" s="75"/>
      <c r="I95" s="74">
        <f>L93+M94</f>
        <v>1591571</v>
      </c>
      <c r="J95" s="76"/>
      <c r="K95" s="76"/>
      <c r="L95" s="76"/>
      <c r="M95" s="77"/>
      <c r="N95" s="77"/>
      <c r="O95" s="77"/>
      <c r="P95" s="56"/>
      <c r="R95" s="149"/>
      <c r="S95" s="149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</row>
    <row r="96" spans="1:256" customFormat="1" x14ac:dyDescent="0.25">
      <c r="A96" s="185" t="s">
        <v>101</v>
      </c>
      <c r="B96" s="185"/>
      <c r="C96" s="185"/>
      <c r="D96" s="185"/>
      <c r="E96" s="185"/>
      <c r="F96" s="185"/>
      <c r="G96" s="185"/>
      <c r="H96" s="75"/>
      <c r="I96" s="76">
        <f>SUMIF(D35:D92,"накладные расходы*",I35:I92)</f>
        <v>1650270</v>
      </c>
      <c r="J96" s="76"/>
      <c r="K96" s="76"/>
      <c r="L96" s="76"/>
      <c r="M96" s="76"/>
      <c r="N96" s="65"/>
      <c r="O96" s="65"/>
      <c r="P96" s="56"/>
      <c r="R96" s="149"/>
      <c r="S96" s="149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</row>
    <row r="97" spans="1:256" customFormat="1" x14ac:dyDescent="0.25">
      <c r="A97" s="185" t="s">
        <v>102</v>
      </c>
      <c r="B97" s="185"/>
      <c r="C97" s="185"/>
      <c r="D97" s="185"/>
      <c r="E97" s="185"/>
      <c r="F97" s="185"/>
      <c r="G97" s="185"/>
      <c r="H97" s="75"/>
      <c r="I97" s="76">
        <f>SUMIF(D35:D92,"Сметная прибыль*",I35:I92)</f>
        <v>894153</v>
      </c>
      <c r="J97" s="76"/>
      <c r="K97" s="76"/>
      <c r="L97" s="76"/>
      <c r="M97" s="76"/>
      <c r="N97" s="65"/>
      <c r="O97" s="65"/>
      <c r="P97" s="56"/>
      <c r="R97" s="149"/>
      <c r="S97" s="149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</row>
    <row r="98" spans="1:256" ht="18.75" x14ac:dyDescent="0.3">
      <c r="A98" s="186" t="s">
        <v>103</v>
      </c>
      <c r="B98" s="187"/>
      <c r="C98" s="187"/>
      <c r="D98" s="187"/>
      <c r="E98" s="187"/>
      <c r="F98" s="187"/>
      <c r="G98" s="188"/>
      <c r="H98" s="164"/>
      <c r="I98" s="166">
        <f>ROUND((I93+I96+I97),0)</f>
        <v>6125551</v>
      </c>
      <c r="J98" s="76"/>
      <c r="K98" s="76"/>
      <c r="L98" s="76"/>
      <c r="M98" s="76"/>
      <c r="N98" s="65"/>
      <c r="O98" s="65"/>
      <c r="P98" s="78"/>
    </row>
    <row r="99" spans="1:256" x14ac:dyDescent="0.25">
      <c r="A99" s="189"/>
      <c r="B99" s="190"/>
      <c r="C99" s="190"/>
      <c r="D99" s="190"/>
      <c r="E99" s="190"/>
      <c r="F99" s="190"/>
      <c r="G99" s="191"/>
      <c r="H99" s="165"/>
      <c r="I99" s="167"/>
      <c r="J99" s="77"/>
      <c r="K99" s="77"/>
      <c r="L99" s="77"/>
      <c r="M99" s="77"/>
      <c r="N99" s="77"/>
      <c r="O99" s="77"/>
      <c r="P99" s="56"/>
    </row>
    <row r="100" spans="1:256" s="83" customFormat="1" x14ac:dyDescent="0.25">
      <c r="A100" s="168" t="s">
        <v>104</v>
      </c>
      <c r="B100" s="169"/>
      <c r="C100" s="169"/>
      <c r="D100" s="169"/>
      <c r="E100" s="169"/>
      <c r="F100" s="169"/>
      <c r="G100" s="170"/>
      <c r="H100" s="174">
        <f ca="1">J128</f>
        <v>1.4320959241054396</v>
      </c>
      <c r="I100" s="176">
        <f ca="1">ROUND(H100*I98,2)</f>
        <v>8772376.6199999992</v>
      </c>
      <c r="J100" s="79"/>
      <c r="K100" s="79"/>
      <c r="L100" s="79"/>
      <c r="M100" s="80"/>
      <c r="N100" s="81"/>
      <c r="O100" s="81"/>
      <c r="P100" s="82"/>
      <c r="Q100"/>
      <c r="R100" s="149"/>
      <c r="S100" s="149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</row>
    <row r="101" spans="1:256" s="83" customFormat="1" x14ac:dyDescent="0.25">
      <c r="A101" s="171"/>
      <c r="B101" s="172"/>
      <c r="C101" s="172"/>
      <c r="D101" s="172"/>
      <c r="E101" s="172"/>
      <c r="F101" s="172"/>
      <c r="G101" s="173"/>
      <c r="H101" s="175"/>
      <c r="I101" s="177"/>
      <c r="J101" s="84"/>
      <c r="K101" s="84"/>
      <c r="L101" s="84"/>
      <c r="M101" s="84"/>
      <c r="N101" s="84"/>
      <c r="O101" s="84"/>
      <c r="P101" s="82"/>
      <c r="Q101"/>
      <c r="R101" s="149"/>
      <c r="S101" s="149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</row>
    <row r="102" spans="1:256" s="83" customFormat="1" x14ac:dyDescent="0.25">
      <c r="A102" s="85"/>
      <c r="B102" s="86"/>
      <c r="C102" s="87"/>
      <c r="D102" s="87"/>
      <c r="E102" s="87"/>
      <c r="F102" s="87"/>
      <c r="G102" s="88"/>
      <c r="H102" s="89"/>
      <c r="I102" s="90"/>
      <c r="J102" s="91"/>
      <c r="K102" s="91"/>
      <c r="L102" s="91"/>
      <c r="M102" s="84"/>
      <c r="N102" s="84"/>
      <c r="O102" s="84"/>
      <c r="P102" s="82"/>
      <c r="Q102"/>
      <c r="R102" s="149"/>
      <c r="S102" s="149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</row>
    <row r="103" spans="1:256" x14ac:dyDescent="0.25">
      <c r="A103" s="158" t="s">
        <v>105</v>
      </c>
      <c r="B103" s="159"/>
      <c r="C103" s="159"/>
      <c r="D103" s="159"/>
      <c r="E103" s="159"/>
      <c r="F103" s="159"/>
      <c r="G103" s="160"/>
      <c r="H103" s="182"/>
      <c r="I103" s="178">
        <f ca="1">SUMIF($A$35:$G102,"Итого по разделу*",I$35:I102)</f>
        <v>3581128</v>
      </c>
      <c r="J103" s="178">
        <f ca="1">SUMIF($A$35:$G102,"Итого по разделу*",J$35:J102)</f>
        <v>245784.8677462888</v>
      </c>
      <c r="K103" s="178">
        <f ca="1">SUMIF($A$35:$G102,"Итого по разделу*",K$35:K102)</f>
        <v>0</v>
      </c>
      <c r="L103" s="178">
        <f ca="1">SUMIF($A$35:$G102,"Итого по разделу*",L$35:L102)</f>
        <v>1052824</v>
      </c>
      <c r="M103" s="74">
        <f>SUMIF(P$35:P102,"р",M$35:M102)</f>
        <v>2282520</v>
      </c>
      <c r="N103" s="74"/>
      <c r="O103" s="74">
        <f>SUMIF(P$35:P102,"р",O$35:O102)</f>
        <v>5354.7460000000001</v>
      </c>
      <c r="P103" s="56"/>
    </row>
    <row r="104" spans="1:256" x14ac:dyDescent="0.25">
      <c r="A104" s="161"/>
      <c r="B104" s="162"/>
      <c r="C104" s="162"/>
      <c r="D104" s="162"/>
      <c r="E104" s="162"/>
      <c r="F104" s="162"/>
      <c r="G104" s="163"/>
      <c r="H104" s="183"/>
      <c r="I104" s="179" t="e">
        <f>SUMIF(#REF!,"&gt;"&amp;#REF!,I93:I103)</f>
        <v>#REF!</v>
      </c>
      <c r="J104" s="179" t="e">
        <f>SUMIF(#REF!,"&gt;"&amp;#REF!,J93:J103)</f>
        <v>#REF!</v>
      </c>
      <c r="K104" s="179" t="e">
        <f>SUMIF(#REF!,"&gt;"&amp;#REF!,K93:K103)</f>
        <v>#REF!</v>
      </c>
      <c r="L104" s="179" t="e">
        <f>SUMIF(#REF!,"&gt;"&amp;#REF!,L93:L103)</f>
        <v>#REF!</v>
      </c>
      <c r="M104" s="74">
        <f>SUMIF(P$35:P103,"м",M$35:M103)</f>
        <v>538747</v>
      </c>
      <c r="N104" s="74"/>
      <c r="O104" s="74">
        <f>SUMIF(P$35:P103,"м",O$35:O103)</f>
        <v>1979.1524999999997</v>
      </c>
      <c r="P104" s="56"/>
    </row>
    <row r="105" spans="1:256" x14ac:dyDescent="0.25">
      <c r="A105" s="180" t="s">
        <v>100</v>
      </c>
      <c r="B105" s="180"/>
      <c r="C105" s="180"/>
      <c r="D105" s="180"/>
      <c r="E105" s="180"/>
      <c r="F105" s="180"/>
      <c r="G105" s="180"/>
      <c r="H105" s="75"/>
      <c r="I105" s="74">
        <f ca="1">L103+M104</f>
        <v>1591571</v>
      </c>
      <c r="J105" s="76"/>
      <c r="K105" s="76"/>
      <c r="L105" s="76"/>
      <c r="M105" s="77"/>
      <c r="N105" s="77"/>
      <c r="O105" s="77"/>
      <c r="P105" s="56"/>
    </row>
    <row r="106" spans="1:256" x14ac:dyDescent="0.25">
      <c r="A106" s="181" t="s">
        <v>106</v>
      </c>
      <c r="B106" s="181"/>
      <c r="C106" s="181"/>
      <c r="D106" s="181"/>
      <c r="E106" s="181"/>
      <c r="F106" s="181"/>
      <c r="G106" s="181"/>
      <c r="H106" s="75"/>
      <c r="I106" s="76">
        <f ca="1">SUMIF($A$35:$G105,"Накладные расходы по разделу*",I$35:I105)</f>
        <v>1650270</v>
      </c>
      <c r="J106" s="76"/>
      <c r="K106" s="76"/>
      <c r="L106" s="76"/>
      <c r="M106" s="76"/>
      <c r="N106" s="65"/>
      <c r="O106" s="65"/>
      <c r="P106" s="56"/>
    </row>
    <row r="107" spans="1:256" x14ac:dyDescent="0.25">
      <c r="A107" s="181" t="s">
        <v>107</v>
      </c>
      <c r="B107" s="181"/>
      <c r="C107" s="181"/>
      <c r="D107" s="181"/>
      <c r="E107" s="181"/>
      <c r="F107" s="181"/>
      <c r="G107" s="181"/>
      <c r="H107" s="75"/>
      <c r="I107" s="76">
        <f ca="1">SUMIF($A$35:$G106,"Сметная прибыль по разделу*",I$35:I106)</f>
        <v>894153</v>
      </c>
      <c r="J107" s="76"/>
      <c r="K107" s="76"/>
      <c r="L107" s="76"/>
      <c r="M107" s="76"/>
      <c r="N107" s="65"/>
      <c r="O107" s="65"/>
      <c r="P107" s="56"/>
    </row>
    <row r="108" spans="1:256" ht="18.75" x14ac:dyDescent="0.3">
      <c r="A108" s="158" t="s">
        <v>108</v>
      </c>
      <c r="B108" s="159"/>
      <c r="C108" s="159"/>
      <c r="D108" s="159"/>
      <c r="E108" s="159"/>
      <c r="F108" s="159"/>
      <c r="G108" s="160"/>
      <c r="H108" s="164"/>
      <c r="I108" s="166">
        <f ca="1">ROUND((I103+I106+I107),0)</f>
        <v>6125551</v>
      </c>
      <c r="J108" s="76"/>
      <c r="K108" s="76"/>
      <c r="L108" s="76"/>
      <c r="M108" s="76"/>
      <c r="N108" s="65"/>
      <c r="O108" s="65"/>
      <c r="P108" s="78"/>
    </row>
    <row r="109" spans="1:256" x14ac:dyDescent="0.25">
      <c r="A109" s="161"/>
      <c r="B109" s="162"/>
      <c r="C109" s="162"/>
      <c r="D109" s="162"/>
      <c r="E109" s="162"/>
      <c r="F109" s="162"/>
      <c r="G109" s="163"/>
      <c r="H109" s="165"/>
      <c r="I109" s="167"/>
      <c r="J109" s="77"/>
      <c r="K109" s="77"/>
      <c r="L109" s="77"/>
      <c r="M109" s="77"/>
      <c r="N109" s="77"/>
      <c r="O109" s="77"/>
      <c r="P109" s="56"/>
    </row>
    <row r="110" spans="1:256" s="83" customFormat="1" x14ac:dyDescent="0.25">
      <c r="A110" s="168" t="s">
        <v>109</v>
      </c>
      <c r="B110" s="169"/>
      <c r="C110" s="169"/>
      <c r="D110" s="169"/>
      <c r="E110" s="169"/>
      <c r="F110" s="169"/>
      <c r="G110" s="170"/>
      <c r="H110" s="174"/>
      <c r="I110" s="176">
        <f ca="1">SUMIF($A$35:$G109,"Всего по разделу с коэф*",I$35:I109)</f>
        <v>8772376.6199999992</v>
      </c>
      <c r="J110" s="79"/>
      <c r="K110" s="79"/>
      <c r="L110" s="79"/>
      <c r="M110" s="80"/>
      <c r="N110" s="81"/>
      <c r="O110" s="81"/>
      <c r="P110" s="82"/>
      <c r="Q110"/>
      <c r="R110" s="149"/>
      <c r="S110" s="149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</row>
    <row r="111" spans="1:256" s="83" customFormat="1" x14ac:dyDescent="0.25">
      <c r="A111" s="171"/>
      <c r="B111" s="172"/>
      <c r="C111" s="172"/>
      <c r="D111" s="172"/>
      <c r="E111" s="172"/>
      <c r="F111" s="172"/>
      <c r="G111" s="173"/>
      <c r="H111" s="175"/>
      <c r="I111" s="177">
        <f ca="1">SUMIF($A$35:$G110,"Сметная прибыль по разделу*",I$35:I110)</f>
        <v>894153</v>
      </c>
      <c r="J111" s="84"/>
      <c r="K111" s="84"/>
      <c r="L111" s="84"/>
      <c r="M111" s="84"/>
      <c r="N111" s="84"/>
      <c r="O111" s="84"/>
      <c r="P111" s="82"/>
      <c r="Q111"/>
      <c r="R111" s="149"/>
      <c r="S111" s="149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</row>
    <row r="112" spans="1:256" ht="22.5" customHeight="1" x14ac:dyDescent="0.25">
      <c r="G112" s="94" t="s">
        <v>110</v>
      </c>
      <c r="H112" s="95">
        <f>H127</f>
        <v>371</v>
      </c>
      <c r="I112" s="148">
        <f>J127</f>
        <v>8772376.6199999992</v>
      </c>
    </row>
    <row r="113" spans="1:44" s="105" customFormat="1" ht="15.75" customHeight="1" x14ac:dyDescent="0.25">
      <c r="A113" s="96"/>
      <c r="B113" s="97" t="s">
        <v>111</v>
      </c>
      <c r="C113" s="98"/>
      <c r="D113" s="99"/>
      <c r="E113" s="99"/>
      <c r="F113" s="98"/>
      <c r="G113" s="100"/>
      <c r="H113" s="101"/>
      <c r="I113" s="102"/>
      <c r="J113" s="102"/>
      <c r="K113" s="102"/>
      <c r="L113" s="102"/>
      <c r="M113" s="102"/>
      <c r="N113" s="103"/>
      <c r="O113" s="103"/>
      <c r="P113" s="104"/>
      <c r="Q113"/>
      <c r="R113" s="149"/>
      <c r="S113" s="149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</row>
    <row r="114" spans="1:44" s="105" customFormat="1" ht="9.75" hidden="1" customHeight="1" x14ac:dyDescent="0.25">
      <c r="A114" s="46"/>
      <c r="B114" s="106"/>
      <c r="C114" s="107"/>
      <c r="D114" s="108"/>
      <c r="E114" s="108"/>
      <c r="F114" s="109"/>
      <c r="G114" s="110"/>
      <c r="H114" s="110"/>
      <c r="I114" s="111"/>
      <c r="J114" s="111"/>
      <c r="K114" s="111"/>
      <c r="L114" s="111"/>
      <c r="M114" s="111"/>
      <c r="N114" s="111"/>
      <c r="O114" s="111"/>
      <c r="P114" s="104"/>
      <c r="Q114"/>
      <c r="R114" s="149"/>
      <c r="S114" s="149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</row>
    <row r="115" spans="1:44" s="105" customFormat="1" ht="15.75" x14ac:dyDescent="0.25">
      <c r="A115" s="96"/>
      <c r="B115" s="112"/>
      <c r="C115" s="113"/>
      <c r="D115" s="114"/>
      <c r="E115" s="114"/>
      <c r="F115" s="115"/>
      <c r="G115" s="115"/>
      <c r="H115" s="116"/>
      <c r="I115" s="117"/>
      <c r="J115" s="118"/>
      <c r="K115" s="119"/>
      <c r="L115" s="120"/>
      <c r="M115" s="121"/>
      <c r="N115" s="121"/>
      <c r="O115" s="117"/>
      <c r="P115" s="104"/>
      <c r="Q115"/>
      <c r="R115" s="149"/>
      <c r="S115" s="149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</row>
    <row r="116" spans="1:44" s="105" customFormat="1" x14ac:dyDescent="0.25">
      <c r="A116" s="96"/>
      <c r="B116" s="112"/>
      <c r="C116" s="41" t="s">
        <v>114</v>
      </c>
      <c r="D116" s="150" t="s">
        <v>115</v>
      </c>
      <c r="E116" s="150"/>
      <c r="F116" s="122"/>
      <c r="G116" s="119"/>
      <c r="H116" s="41"/>
      <c r="I116" s="41"/>
      <c r="J116" s="44"/>
      <c r="K116" s="44"/>
      <c r="L116" s="123"/>
      <c r="M116" s="41"/>
      <c r="N116" s="41"/>
      <c r="O116" s="117"/>
      <c r="P116" s="104"/>
      <c r="Q116"/>
      <c r="R116" s="149"/>
      <c r="S116" s="149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</row>
    <row r="117" spans="1:44" s="105" customFormat="1" ht="15.75" x14ac:dyDescent="0.25">
      <c r="A117" s="96"/>
      <c r="B117" s="151"/>
      <c r="C117" s="151"/>
      <c r="D117" s="124"/>
      <c r="E117" s="124"/>
      <c r="F117" s="125"/>
      <c r="G117" s="126"/>
      <c r="H117" s="127"/>
      <c r="I117" s="128"/>
      <c r="J117" s="128"/>
      <c r="K117" s="128"/>
      <c r="L117" s="129"/>
      <c r="M117" s="129"/>
      <c r="N117" s="126"/>
      <c r="O117" s="117"/>
      <c r="P117" s="104"/>
      <c r="Q117"/>
      <c r="R117" s="149"/>
      <c r="S117" s="149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</row>
    <row r="118" spans="1:44" x14ac:dyDescent="0.25">
      <c r="F118" s="130"/>
      <c r="G118" s="131"/>
      <c r="H118" s="131"/>
      <c r="M118" s="131"/>
      <c r="N118" s="131"/>
      <c r="O118" s="131"/>
    </row>
    <row r="119" spans="1:44" x14ac:dyDescent="0.25">
      <c r="F119" s="130"/>
      <c r="G119" s="131"/>
      <c r="H119" s="131"/>
      <c r="M119" s="131"/>
      <c r="N119" s="131"/>
      <c r="O119" s="131"/>
    </row>
    <row r="120" spans="1:44" x14ac:dyDescent="0.25">
      <c r="F120" s="130"/>
      <c r="G120" s="131"/>
      <c r="H120" s="131"/>
      <c r="M120" s="131"/>
      <c r="N120" s="131"/>
      <c r="O120" s="131"/>
    </row>
    <row r="121" spans="1:44" x14ac:dyDescent="0.25">
      <c r="E121"/>
      <c r="F121"/>
      <c r="G121"/>
      <c r="H121"/>
      <c r="I121"/>
      <c r="J121"/>
    </row>
    <row r="122" spans="1:44" ht="15.75" thickBot="1" x14ac:dyDescent="0.3">
      <c r="E122"/>
      <c r="F122"/>
      <c r="G122"/>
      <c r="H122"/>
      <c r="I122"/>
      <c r="J122"/>
    </row>
    <row r="123" spans="1:44" ht="33" customHeight="1" x14ac:dyDescent="0.25">
      <c r="E123"/>
      <c r="F123"/>
      <c r="G123" s="152" t="s">
        <v>116</v>
      </c>
      <c r="H123" s="154" t="s">
        <v>117</v>
      </c>
      <c r="I123" s="154" t="s">
        <v>43</v>
      </c>
      <c r="J123" s="156" t="s">
        <v>118</v>
      </c>
    </row>
    <row r="124" spans="1:44" ht="33" customHeight="1" x14ac:dyDescent="0.25">
      <c r="E124"/>
      <c r="F124"/>
      <c r="G124" s="153"/>
      <c r="H124" s="155"/>
      <c r="I124" s="155"/>
      <c r="J124" s="157"/>
    </row>
    <row r="125" spans="1:44" ht="33" customHeight="1" x14ac:dyDescent="0.25">
      <c r="E125"/>
      <c r="F125" s="132" t="s">
        <v>119</v>
      </c>
      <c r="G125" s="133" t="s">
        <v>78</v>
      </c>
      <c r="H125" s="134">
        <v>639</v>
      </c>
      <c r="I125" s="134">
        <v>23645.22</v>
      </c>
      <c r="J125" s="135">
        <v>15109295.58</v>
      </c>
      <c r="K125" s="136" t="s">
        <v>120</v>
      </c>
    </row>
    <row r="126" spans="1:44" ht="33" customHeight="1" thickBot="1" x14ac:dyDescent="0.3">
      <c r="E126"/>
      <c r="F126" s="132" t="s">
        <v>121</v>
      </c>
      <c r="G126" s="133" t="str">
        <f>G125</f>
        <v>м3</v>
      </c>
      <c r="H126" s="134">
        <f ca="1">J126/I126</f>
        <v>370.99999999999994</v>
      </c>
      <c r="I126" s="134">
        <f>I125</f>
        <v>23645.22</v>
      </c>
      <c r="J126" s="135">
        <f ca="1">I110</f>
        <v>8772376.6199999992</v>
      </c>
      <c r="K126" s="137" t="s">
        <v>122</v>
      </c>
    </row>
    <row r="127" spans="1:44" ht="33" customHeight="1" thickBot="1" x14ac:dyDescent="0.3">
      <c r="D127" s="138"/>
      <c r="E127" s="139" t="s">
        <v>123</v>
      </c>
      <c r="F127" s="140"/>
      <c r="G127" s="141" t="str">
        <f>G125</f>
        <v>м3</v>
      </c>
      <c r="H127" s="142">
        <v>371</v>
      </c>
      <c r="I127" s="143">
        <f>I125</f>
        <v>23645.22</v>
      </c>
      <c r="J127" s="147">
        <f>ROUND(H127*I127,2)</f>
        <v>8772376.6199999992</v>
      </c>
    </row>
    <row r="128" spans="1:44" x14ac:dyDescent="0.25">
      <c r="H128" s="144" t="s">
        <v>124</v>
      </c>
      <c r="J128" s="29">
        <f ca="1">J127/I108</f>
        <v>1.4320959241054396</v>
      </c>
    </row>
    <row r="130" spans="1:256" s="29" customFormat="1" ht="33" customHeight="1" x14ac:dyDescent="0.25">
      <c r="A130" s="5"/>
      <c r="B130" s="92"/>
      <c r="C130" s="93"/>
      <c r="D130" s="5"/>
      <c r="E130"/>
      <c r="F130"/>
      <c r="G130"/>
      <c r="H130"/>
      <c r="I130"/>
      <c r="J130"/>
      <c r="M130" s="5"/>
      <c r="N130" s="5"/>
      <c r="O130" s="5"/>
      <c r="P130" s="5"/>
      <c r="Q130"/>
      <c r="R130" s="149"/>
      <c r="S130" s="149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</row>
    <row r="131" spans="1:256" s="29" customFormat="1" x14ac:dyDescent="0.25">
      <c r="A131" s="5"/>
      <c r="B131" s="92"/>
      <c r="C131" s="93"/>
      <c r="D131" s="5"/>
      <c r="E131"/>
      <c r="F131"/>
      <c r="G131"/>
      <c r="H131"/>
      <c r="I131"/>
      <c r="J131"/>
      <c r="M131" s="5"/>
      <c r="N131" s="5"/>
      <c r="O131" s="5"/>
      <c r="P131" s="5"/>
      <c r="Q131"/>
      <c r="R131" s="149"/>
      <c r="S131" s="149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</sheetData>
  <mergeCells count="358">
    <mergeCell ref="B9:I9"/>
    <mergeCell ref="N9:O10"/>
    <mergeCell ref="B10:J10"/>
    <mergeCell ref="B11:J11"/>
    <mergeCell ref="N11:O12"/>
    <mergeCell ref="B12:K12"/>
    <mergeCell ref="L1:O1"/>
    <mergeCell ref="N3:O3"/>
    <mergeCell ref="N4:O4"/>
    <mergeCell ref="N5:O6"/>
    <mergeCell ref="B6:L6"/>
    <mergeCell ref="B7:G7"/>
    <mergeCell ref="N7:O8"/>
    <mergeCell ref="B8:L8"/>
    <mergeCell ref="N18:O18"/>
    <mergeCell ref="F20:G21"/>
    <mergeCell ref="H20:I21"/>
    <mergeCell ref="F22:G22"/>
    <mergeCell ref="H22:I22"/>
    <mergeCell ref="N22:O22"/>
    <mergeCell ref="B13:J13"/>
    <mergeCell ref="N13:O14"/>
    <mergeCell ref="B14:K14"/>
    <mergeCell ref="B15:K15"/>
    <mergeCell ref="N15:O16"/>
    <mergeCell ref="N17:O17"/>
    <mergeCell ref="G24:H24"/>
    <mergeCell ref="G25:H25"/>
    <mergeCell ref="F26:I26"/>
    <mergeCell ref="A28:C28"/>
    <mergeCell ref="A30:B30"/>
    <mergeCell ref="C30:C33"/>
    <mergeCell ref="D30:D33"/>
    <mergeCell ref="E30:E33"/>
    <mergeCell ref="F30:O30"/>
    <mergeCell ref="A31:A33"/>
    <mergeCell ref="T32:T33"/>
    <mergeCell ref="U32:U33"/>
    <mergeCell ref="V32:V33"/>
    <mergeCell ref="B31:B33"/>
    <mergeCell ref="F31:F33"/>
    <mergeCell ref="G31:H31"/>
    <mergeCell ref="I31:M31"/>
    <mergeCell ref="N31:O31"/>
    <mergeCell ref="I32:I33"/>
    <mergeCell ref="J32:K32"/>
    <mergeCell ref="L32:L33"/>
    <mergeCell ref="N32:N33"/>
    <mergeCell ref="O32:O33"/>
    <mergeCell ref="A37:A38"/>
    <mergeCell ref="B37:B38"/>
    <mergeCell ref="C37:C38"/>
    <mergeCell ref="D37:D38"/>
    <mergeCell ref="E37:E38"/>
    <mergeCell ref="F37:F38"/>
    <mergeCell ref="Q32:Q33"/>
    <mergeCell ref="R32:R33"/>
    <mergeCell ref="S32:S33"/>
    <mergeCell ref="S37:S38"/>
    <mergeCell ref="T37:T38"/>
    <mergeCell ref="U37:U38"/>
    <mergeCell ref="V37:V38"/>
    <mergeCell ref="D39:F39"/>
    <mergeCell ref="D40:F40"/>
    <mergeCell ref="I37:I38"/>
    <mergeCell ref="J37:J38"/>
    <mergeCell ref="K37:K38"/>
    <mergeCell ref="L37:L38"/>
    <mergeCell ref="Q37:Q38"/>
    <mergeCell ref="R37:R38"/>
    <mergeCell ref="S42:S43"/>
    <mergeCell ref="T42:T43"/>
    <mergeCell ref="U42:U43"/>
    <mergeCell ref="V42:V43"/>
    <mergeCell ref="A44:A45"/>
    <mergeCell ref="B44:B45"/>
    <mergeCell ref="C44:C45"/>
    <mergeCell ref="D44:D45"/>
    <mergeCell ref="E44:E45"/>
    <mergeCell ref="F44:F45"/>
    <mergeCell ref="I42:I43"/>
    <mergeCell ref="J42:J43"/>
    <mergeCell ref="K42:K43"/>
    <mergeCell ref="L42:L43"/>
    <mergeCell ref="Q42:Q43"/>
    <mergeCell ref="R42:R43"/>
    <mergeCell ref="A42:A43"/>
    <mergeCell ref="B42:B43"/>
    <mergeCell ref="C42:C43"/>
    <mergeCell ref="D42:D43"/>
    <mergeCell ref="E42:E43"/>
    <mergeCell ref="F42:F43"/>
    <mergeCell ref="S44:S45"/>
    <mergeCell ref="T44:T45"/>
    <mergeCell ref="R46:R47"/>
    <mergeCell ref="V51:V52"/>
    <mergeCell ref="U44:U45"/>
    <mergeCell ref="V44:V45"/>
    <mergeCell ref="A46:A47"/>
    <mergeCell ref="B46:B47"/>
    <mergeCell ref="C46:C47"/>
    <mergeCell ref="D46:D47"/>
    <mergeCell ref="E46:E47"/>
    <mergeCell ref="F46:F47"/>
    <mergeCell ref="I44:I45"/>
    <mergeCell ref="J44:J45"/>
    <mergeCell ref="K44:K45"/>
    <mergeCell ref="L44:L45"/>
    <mergeCell ref="Q44:Q45"/>
    <mergeCell ref="R44:R45"/>
    <mergeCell ref="S46:S47"/>
    <mergeCell ref="T46:T47"/>
    <mergeCell ref="U46:U47"/>
    <mergeCell ref="V46:V47"/>
    <mergeCell ref="E51:E52"/>
    <mergeCell ref="F51:F52"/>
    <mergeCell ref="D48:F48"/>
    <mergeCell ref="D49:F49"/>
    <mergeCell ref="I46:I47"/>
    <mergeCell ref="J46:J47"/>
    <mergeCell ref="K46:K47"/>
    <mergeCell ref="L46:L47"/>
    <mergeCell ref="Q46:Q47"/>
    <mergeCell ref="A56:A57"/>
    <mergeCell ref="B56:B57"/>
    <mergeCell ref="C56:C57"/>
    <mergeCell ref="D56:D57"/>
    <mergeCell ref="E56:E57"/>
    <mergeCell ref="F56:F57"/>
    <mergeCell ref="S51:S52"/>
    <mergeCell ref="T51:T52"/>
    <mergeCell ref="U51:U52"/>
    <mergeCell ref="A51:A52"/>
    <mergeCell ref="B51:B52"/>
    <mergeCell ref="C51:C52"/>
    <mergeCell ref="S56:S57"/>
    <mergeCell ref="T56:T57"/>
    <mergeCell ref="U56:U57"/>
    <mergeCell ref="D53:F53"/>
    <mergeCell ref="D54:F54"/>
    <mergeCell ref="I51:I52"/>
    <mergeCell ref="J51:J52"/>
    <mergeCell ref="K51:K52"/>
    <mergeCell ref="L51:L52"/>
    <mergeCell ref="Q51:Q52"/>
    <mergeCell ref="R51:R52"/>
    <mergeCell ref="D51:D52"/>
    <mergeCell ref="V56:V57"/>
    <mergeCell ref="D58:F58"/>
    <mergeCell ref="D59:F59"/>
    <mergeCell ref="I56:I57"/>
    <mergeCell ref="J56:J57"/>
    <mergeCell ref="K56:K57"/>
    <mergeCell ref="L56:L57"/>
    <mergeCell ref="Q56:Q57"/>
    <mergeCell ref="R56:R57"/>
    <mergeCell ref="S61:S62"/>
    <mergeCell ref="T61:T62"/>
    <mergeCell ref="U61:U62"/>
    <mergeCell ref="V61:V62"/>
    <mergeCell ref="A63:A64"/>
    <mergeCell ref="B63:B64"/>
    <mergeCell ref="C63:C64"/>
    <mergeCell ref="D63:D64"/>
    <mergeCell ref="E63:E64"/>
    <mergeCell ref="F63:F64"/>
    <mergeCell ref="I61:I62"/>
    <mergeCell ref="J61:J62"/>
    <mergeCell ref="K61:K62"/>
    <mergeCell ref="L61:L62"/>
    <mergeCell ref="Q61:Q62"/>
    <mergeCell ref="R61:R62"/>
    <mergeCell ref="A61:A62"/>
    <mergeCell ref="B61:B62"/>
    <mergeCell ref="C61:C62"/>
    <mergeCell ref="D61:D62"/>
    <mergeCell ref="E61:E62"/>
    <mergeCell ref="F61:F62"/>
    <mergeCell ref="S63:S64"/>
    <mergeCell ref="T63:T64"/>
    <mergeCell ref="U63:U64"/>
    <mergeCell ref="V63:V64"/>
    <mergeCell ref="D65:F65"/>
    <mergeCell ref="D66:F66"/>
    <mergeCell ref="I63:I64"/>
    <mergeCell ref="J63:J64"/>
    <mergeCell ref="K63:K64"/>
    <mergeCell ref="L63:L64"/>
    <mergeCell ref="Q63:Q64"/>
    <mergeCell ref="R63:R64"/>
    <mergeCell ref="S68:S69"/>
    <mergeCell ref="T68:T69"/>
    <mergeCell ref="U68:U69"/>
    <mergeCell ref="V68:V69"/>
    <mergeCell ref="A70:A71"/>
    <mergeCell ref="B70:B71"/>
    <mergeCell ref="C70:C71"/>
    <mergeCell ref="D70:D71"/>
    <mergeCell ref="E70:E71"/>
    <mergeCell ref="F70:F71"/>
    <mergeCell ref="I68:I69"/>
    <mergeCell ref="J68:J69"/>
    <mergeCell ref="K68:K69"/>
    <mergeCell ref="L68:L69"/>
    <mergeCell ref="Q68:Q69"/>
    <mergeCell ref="R68:R69"/>
    <mergeCell ref="A68:A69"/>
    <mergeCell ref="B68:B69"/>
    <mergeCell ref="C68:C69"/>
    <mergeCell ref="D68:D69"/>
    <mergeCell ref="E68:E69"/>
    <mergeCell ref="F68:F69"/>
    <mergeCell ref="S70:S71"/>
    <mergeCell ref="T70:T71"/>
    <mergeCell ref="U70:U71"/>
    <mergeCell ref="V70:V71"/>
    <mergeCell ref="A73:A74"/>
    <mergeCell ref="B73:B74"/>
    <mergeCell ref="C73:C74"/>
    <mergeCell ref="D73:D74"/>
    <mergeCell ref="E73:E74"/>
    <mergeCell ref="F73:F74"/>
    <mergeCell ref="I70:I71"/>
    <mergeCell ref="J70:J71"/>
    <mergeCell ref="K70:K71"/>
    <mergeCell ref="L70:L71"/>
    <mergeCell ref="Q70:Q71"/>
    <mergeCell ref="R70:R71"/>
    <mergeCell ref="S73:S74"/>
    <mergeCell ref="T73:T74"/>
    <mergeCell ref="U73:U74"/>
    <mergeCell ref="V73:V74"/>
    <mergeCell ref="D75:F75"/>
    <mergeCell ref="D76:F76"/>
    <mergeCell ref="I73:I74"/>
    <mergeCell ref="J73:J74"/>
    <mergeCell ref="K73:K74"/>
    <mergeCell ref="L73:L74"/>
    <mergeCell ref="Q73:Q74"/>
    <mergeCell ref="R73:R74"/>
    <mergeCell ref="S78:S79"/>
    <mergeCell ref="T78:T79"/>
    <mergeCell ref="U78:U79"/>
    <mergeCell ref="V78:V79"/>
    <mergeCell ref="A80:A81"/>
    <mergeCell ref="B80:B81"/>
    <mergeCell ref="C80:C81"/>
    <mergeCell ref="D80:D81"/>
    <mergeCell ref="E80:E81"/>
    <mergeCell ref="F80:F81"/>
    <mergeCell ref="I78:I79"/>
    <mergeCell ref="J78:J79"/>
    <mergeCell ref="K78:K79"/>
    <mergeCell ref="L78:L79"/>
    <mergeCell ref="Q78:Q79"/>
    <mergeCell ref="R78:R79"/>
    <mergeCell ref="A78:A79"/>
    <mergeCell ref="B78:B79"/>
    <mergeCell ref="C78:C79"/>
    <mergeCell ref="D78:D79"/>
    <mergeCell ref="E78:E79"/>
    <mergeCell ref="F78:F79"/>
    <mergeCell ref="S80:S81"/>
    <mergeCell ref="T80:T81"/>
    <mergeCell ref="U80:U81"/>
    <mergeCell ref="V80:V81"/>
    <mergeCell ref="A84:A85"/>
    <mergeCell ref="B84:B85"/>
    <mergeCell ref="C84:C85"/>
    <mergeCell ref="D84:D85"/>
    <mergeCell ref="E84:E85"/>
    <mergeCell ref="F84:F85"/>
    <mergeCell ref="I80:I81"/>
    <mergeCell ref="J80:J81"/>
    <mergeCell ref="K80:K81"/>
    <mergeCell ref="L80:L81"/>
    <mergeCell ref="Q80:Q81"/>
    <mergeCell ref="R80:R81"/>
    <mergeCell ref="S84:S85"/>
    <mergeCell ref="T84:T85"/>
    <mergeCell ref="U84:U85"/>
    <mergeCell ref="V84:V85"/>
    <mergeCell ref="D86:F86"/>
    <mergeCell ref="D87:F87"/>
    <mergeCell ref="I84:I85"/>
    <mergeCell ref="J84:J85"/>
    <mergeCell ref="K84:K85"/>
    <mergeCell ref="L84:L85"/>
    <mergeCell ref="Q84:Q85"/>
    <mergeCell ref="R84:R85"/>
    <mergeCell ref="S89:S90"/>
    <mergeCell ref="T89:T90"/>
    <mergeCell ref="U89:U90"/>
    <mergeCell ref="V89:V90"/>
    <mergeCell ref="A91:A92"/>
    <mergeCell ref="B91:B92"/>
    <mergeCell ref="C91:C92"/>
    <mergeCell ref="D91:D92"/>
    <mergeCell ref="E91:E92"/>
    <mergeCell ref="F91:F92"/>
    <mergeCell ref="I89:I90"/>
    <mergeCell ref="J89:J90"/>
    <mergeCell ref="K89:K90"/>
    <mergeCell ref="L89:L90"/>
    <mergeCell ref="Q89:Q90"/>
    <mergeCell ref="R89:R90"/>
    <mergeCell ref="A89:A90"/>
    <mergeCell ref="B89:B90"/>
    <mergeCell ref="C89:C90"/>
    <mergeCell ref="D89:D90"/>
    <mergeCell ref="E89:E90"/>
    <mergeCell ref="F89:F90"/>
    <mergeCell ref="V91:V92"/>
    <mergeCell ref="Q91:Q92"/>
    <mergeCell ref="R91:R92"/>
    <mergeCell ref="A95:G95"/>
    <mergeCell ref="A96:G96"/>
    <mergeCell ref="A97:G97"/>
    <mergeCell ref="A98:G99"/>
    <mergeCell ref="H98:H99"/>
    <mergeCell ref="I98:I99"/>
    <mergeCell ref="S91:S92"/>
    <mergeCell ref="T91:T92"/>
    <mergeCell ref="U91:U92"/>
    <mergeCell ref="A93:G94"/>
    <mergeCell ref="H93:H94"/>
    <mergeCell ref="I93:I94"/>
    <mergeCell ref="J93:J94"/>
    <mergeCell ref="K93:K94"/>
    <mergeCell ref="L93:L94"/>
    <mergeCell ref="I91:I92"/>
    <mergeCell ref="J91:J92"/>
    <mergeCell ref="K91:K92"/>
    <mergeCell ref="L91:L92"/>
    <mergeCell ref="J103:J104"/>
    <mergeCell ref="K103:K104"/>
    <mergeCell ref="L103:L104"/>
    <mergeCell ref="A105:G105"/>
    <mergeCell ref="A106:G106"/>
    <mergeCell ref="A107:G107"/>
    <mergeCell ref="A100:G101"/>
    <mergeCell ref="H100:H101"/>
    <mergeCell ref="I100:I101"/>
    <mergeCell ref="A103:G104"/>
    <mergeCell ref="H103:H104"/>
    <mergeCell ref="I103:I104"/>
    <mergeCell ref="D116:E116"/>
    <mergeCell ref="B117:C117"/>
    <mergeCell ref="G123:G124"/>
    <mergeCell ref="H123:H124"/>
    <mergeCell ref="I123:I124"/>
    <mergeCell ref="J123:J124"/>
    <mergeCell ref="A108:G109"/>
    <mergeCell ref="H108:H109"/>
    <mergeCell ref="I108:I109"/>
    <mergeCell ref="A110:G111"/>
    <mergeCell ref="H110:H111"/>
    <mergeCell ref="I110:I111"/>
  </mergeCells>
  <conditionalFormatting sqref="F117:I117">
    <cfRule type="cellIs" dxfId="0" priority="1" stopIfTrue="1" operator="lessThan">
      <formula>0</formula>
    </cfRule>
  </conditionalFormatting>
  <printOptions horizontalCentered="1"/>
  <pageMargins left="0.19685039370078741" right="0.19685039370078741" top="0.39370078740157483" bottom="0.39370078740157483" header="0" footer="0.11811023622047245"/>
  <pageSetup paperSize="9" scale="69" fitToHeight="1000" orientation="landscape" r:id="rId1"/>
  <headerFooter>
    <oddFooter>Страница  &amp;P из &amp;N</oddFooter>
  </headerFooter>
  <rowBreaks count="1" manualBreakCount="1">
    <brk id="9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п.205.4 (02-04-01)</vt:lpstr>
      <vt:lpstr>п.205.4 (02-04-01) 01-2016</vt:lpstr>
      <vt:lpstr>'п.205.4 (02-04-01)'!Заголовки_для_печати</vt:lpstr>
      <vt:lpstr>'п.205.4 (02-04-01) 01-2016'!Заголовки_для_печати</vt:lpstr>
      <vt:lpstr>'п.205.4 (02-04-01)'!Область_печати</vt:lpstr>
      <vt:lpstr>'п.205.4 (02-04-01) 01-2016'!Область_печати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Ярослав Тимощук</cp:lastModifiedBy>
  <dcterms:created xsi:type="dcterms:W3CDTF">2016-01-30T19:18:27Z</dcterms:created>
  <dcterms:modified xsi:type="dcterms:W3CDTF">2016-02-06T06:09:37Z</dcterms:modified>
</cp:coreProperties>
</file>