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данные'!$14:$14</definedName>
    <definedName name="_xlnm.Print_Area" localSheetId="0">'Мои данные'!$A$1:$L$72</definedName>
  </definedNames>
  <calcPr calcId="145621" fullCalcOnLoad="1" refMode="R1C1"/>
</workbook>
</file>

<file path=xl/calcChain.xml><?xml version="1.0" encoding="utf-8"?>
<calcChain xmlns="http://schemas.openxmlformats.org/spreadsheetml/2006/main">
  <c r="L56" i="1" l="1"/>
  <c r="L58" i="1"/>
  <c r="L59" i="1"/>
  <c r="L60" i="1"/>
  <c r="L61" i="1"/>
  <c r="L62" i="1"/>
  <c r="L63" i="1"/>
  <c r="L64" i="1"/>
  <c r="L65" i="1"/>
  <c r="L50" i="1"/>
  <c r="L52" i="1"/>
  <c r="L53" i="1"/>
  <c r="L54" i="1"/>
  <c r="L55" i="1"/>
  <c r="L42" i="1"/>
  <c r="L44" i="1"/>
  <c r="L45" i="1"/>
  <c r="L46" i="1"/>
  <c r="L47" i="1"/>
  <c r="L34" i="1"/>
  <c r="L36" i="1"/>
  <c r="L37" i="1"/>
  <c r="L38" i="1"/>
  <c r="L39" i="1"/>
  <c r="L26" i="1"/>
  <c r="L28" i="1"/>
  <c r="L29" i="1"/>
  <c r="L30" i="1"/>
  <c r="L31" i="1"/>
  <c r="L18" i="1"/>
  <c r="L20" i="1"/>
  <c r="L21" i="1"/>
  <c r="L22" i="1"/>
  <c r="L23" i="1"/>
  <c r="E17" i="1"/>
  <c r="L49" i="1"/>
  <c r="F49" i="1"/>
  <c r="D49" i="1" s="1"/>
  <c r="L41" i="1"/>
  <c r="F41" i="1"/>
  <c r="D41" i="1" s="1"/>
  <c r="L33" i="1"/>
  <c r="F33" i="1"/>
  <c r="D33" i="1" s="1"/>
  <c r="F25" i="1"/>
  <c r="D25" i="1"/>
  <c r="L25" i="1"/>
  <c r="F16" i="1"/>
  <c r="F17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56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56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68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7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<sst xmlns="http://schemas.openxmlformats.org/spreadsheetml/2006/main" count="86" uniqueCount="61">
  <si>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</si>
  <si>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</si>
  <si>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</si>
  <si>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</si>
  <si>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</si>
  <si>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</si>
  <si>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</si>
  <si>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</si>
  <si>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</si>
  <si>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</si>
  <si>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</si>
  <si>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</si>
  <si>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</si>
  <si>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</si>
  <si>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 xml:space="preserve">, , </t>
  </si>
  <si>
    <t>Автономные источники тепла (АИТ) теплопроизводительностью: свыше 5 до 10 мВт (Водогрейная котельная 6,0 МВт)</t>
  </si>
  <si>
    <t>1,2; 1,27; 1,1; 1,05; 1,1; 1,26; 1,02; 1,06; 1,03; 1,1</t>
  </si>
  <si>
    <t>цены 2001</t>
  </si>
  <si>
    <t>Металлические дымовые трубы для автономных источников тепла (АИТ), высота трубы: свыше 15 до 30 м</t>
  </si>
  <si>
    <t>1,4; 1,2; 1,1; 1,26; 1,1</t>
  </si>
  <si>
    <t>Итоги по разделу 1 Проектные работы. Водогрейная котельная 6,0 МВт. :</t>
  </si>
  <si>
    <t xml:space="preserve">  Проектные работы: Газооборудование и газоснабжение</t>
  </si>
  <si>
    <t xml:space="preserve">  Итого</t>
  </si>
  <si>
    <t xml:space="preserve">  Итого по разделу 1 Проектные работы. Водогрейная котельная 6,0 МВт.</t>
  </si>
  <si>
    <t>Автоматические установки пожарной сигнализации, защищающие объект площадью: 400-700м2</t>
  </si>
  <si>
    <t>1,5; 1,73; 1,07</t>
  </si>
  <si>
    <t>Итоги по разделу 2 Проектные работы. Пожарная сигнализация. Диспетчеризация :</t>
  </si>
  <si>
    <t xml:space="preserve">  Проектные работы: Системы противопожарной и охранной защиты</t>
  </si>
  <si>
    <t xml:space="preserve">  Итого по разделу 2 Проектные работы. Пожарная сигнализация. Диспетчеризация</t>
  </si>
  <si>
    <t>Составление сводных планов</t>
  </si>
  <si>
    <t>5248,8+1219594,32+1284123,12</t>
  </si>
  <si>
    <t>Итоги по разделу 3 Составление сводных планов :</t>
  </si>
  <si>
    <t xml:space="preserve">  Итого по разделу 3 Составление сводных планов</t>
  </si>
  <si>
    <t>Охрана окружающей среды</t>
  </si>
  <si>
    <t>(5248,8+1219594,32+1284123,12)*0,4</t>
  </si>
  <si>
    <t>Итоги по разделу 4 Охрана окружающей среды :</t>
  </si>
  <si>
    <t xml:space="preserve">  Проектные работы</t>
  </si>
  <si>
    <t xml:space="preserve">  Итого по разделу 4 Охрана окружающей среды</t>
  </si>
  <si>
    <t>Экспертиза промышленной безопасности</t>
  </si>
  <si>
    <t>(5248,8+1219594,32+1284123,12)*0,6</t>
  </si>
  <si>
    <t>Итоги по разделу 5 Экспертиза промышленной безопасности :</t>
  </si>
  <si>
    <t xml:space="preserve">  Итого по разделу 5 Экспертиза промышленной безопасности</t>
  </si>
  <si>
    <t>Итоги по смете:</t>
  </si>
  <si>
    <t xml:space="preserve">  НДС 18%</t>
  </si>
  <si>
    <t xml:space="preserve">  ВСЕГО по смете</t>
  </si>
  <si>
    <t>При проектировании АИТ с применением сжиженного углеводородного газа ПЗ=1.2 (1-й уровень);
 Стадия (РП) Технологическая часть (27%) ПЗ=1.27 (2-й уровень);
 Стадия (РП) Автоматизация (10%) ПЗ=1.1 (2-й уровень);
 Стадия (РП) Электроснабжение и электрооборудование (5%) ПЗ=1.05 (2-й уровень);
 Стадия (РП) Газоснабжение и газооборудование (10%) ПЗ=1.1 (2-й уровень);
 Стадия (РП) Архитектурно-строительная часть (26%) ПЗ=1.26 (2-й уровень);
 Стадия (РП) Водоснабжение и канализация (2%) ПЗ=1.02 (2-й уровень);
 Стадия (РП) Отопление и вентиляция (6%) ПЗ=1.06 (2-й уровень);
 Стадия (РП) Организация строительства (3%) ПЗ=1.03 (2-й уровень);
 Стадия (РП) Сметная документация (10%) ПЗ=1.1 (2-й уровень);</t>
  </si>
  <si>
    <t>2 При проектировании отдельно стоящих труб на специальном фундаменте ПЗ=1.4 (1-й уровень);
3 При проектировании дымовых труб с устройством отяжек ПЗ=1.2 (1-й уровень);
 Стадия (РП) Сметная документация (10%) ПЗ=1.1 (2-й уровень);
 Стадия (РП) Архитектурно-строительная часть (26%) ПЗ=1.26 (2-й уровень);
 Стадия (РП) Газоснабжение и газооборудование (10%) ПЗ=1.1 (2-й уровень);</t>
  </si>
  <si>
    <t>3 Проектирование установок. для которых необходимо формировать импульс на управлением системами пожарной защиты и безопасности ПЗ=1.5 (1-й уровень);
 Стадия (РП) Автоматика и сигнализация (73%) ПЗ=1.73 (2-й уровень);
 Стадия (РП) Сметная документация (7%) ПЗ=1.07 (2-й уровень);</t>
  </si>
  <si>
    <t xml:space="preserve">                            Проектные работы. Водогрейная котельная 6,0 МВт.</t>
  </si>
  <si>
    <t>(423920*1+18970*6)*1,2; 1,27; 1,1; 1,05; 1,1; 1,26; 1,02; 1,06; 1,03; 1,1</t>
  </si>
  <si>
    <t>(2118*1+267*25)*1,4; 1,2; 1,1; 1,26; 1,1</t>
  </si>
  <si>
    <t xml:space="preserve">  Всего с учетом Письмо Минстроя РФ №19823/ЮР-08 от 26.06.2015г. к уровню 2001г. на проектные 3,73</t>
  </si>
  <si>
    <t xml:space="preserve">                            Проектные работы. Пожарная сигнализация. Диспетчеризация</t>
  </si>
  <si>
    <t xml:space="preserve">                            Составление сводных планов</t>
  </si>
  <si>
    <t xml:space="preserve">                            Охрана окружающей среды</t>
  </si>
  <si>
    <t xml:space="preserve">                            Экспертиза промышленной безопасности</t>
  </si>
  <si>
    <r>
      <t xml:space="preserve">СБЦ18-2-2
</t>
    </r>
    <r>
      <rPr>
        <i/>
        <sz val="11"/>
        <rFont val="Arial"/>
        <family val="2"/>
        <charset val="204"/>
      </rPr>
      <t xml:space="preserve"> "Газооборудование и газоснабжение (2006г.)" 
При проектировании АИТ с применением сжиженного углеводородного газа ПЗ=1.2 (1-й уровень);
 Стадия (РП) Технологическая часть (27%) ПЗ=1.27 (2-й уровень);
 Стадия (РП) Автоматизация (10%) ПЗ=1.1 (2-й уровень);
 Стадия (РП) Электроснабжение и электрооборудование (5%) ПЗ=1.05 (2-й уровень);
 Стадия (РП) Газоснабжение и газооборудование (10%) ПЗ=1.1 (2-й уровень);
 Стадия (РП) Архитектурно-строительная часть (26%) ПЗ=1.26 (2-й уровень);
 Стадия (РП) Водоснабжение и канализация (2%) ПЗ=1.02 (2-й уровень);
 Стадия (РП) Отопление и вентиляция (6%) ПЗ=1.06 (2-й уровень);
 Стадия (РП) Организация строительства (3%) ПЗ=1.03 (2-й уровень);
 Стадия (РП) Сметная документация (10%) ПЗ=1.1 (2-й уровень);</t>
    </r>
  </si>
  <si>
    <r>
      <t xml:space="preserve">СБЦ18-3-2
</t>
    </r>
    <r>
      <rPr>
        <i/>
        <sz val="11"/>
        <rFont val="Arial"/>
        <family val="2"/>
        <charset val="204"/>
      </rPr>
      <t xml:space="preserve"> "Газооборудование и газоснабжение (2006г.)" 
2 При проектировании отдельно стоящих труб на специальном фундаменте ПЗ=1.4 (1-й уровень);
3 При проектировании дымовых труб с устройством отяжек ПЗ=1.2 (1-й уровень);
 Стадия (РП) Сметная документация (10%) ПЗ=1.1 (2-й уровень);
 Стадия (РП) Архитектурно-строительная часть (26%) ПЗ=1.26 (2-й уровень);
 Стадия (РП) Газоснабжение и газооборудование (10%) ПЗ=1.1 (2-й уровень);</t>
    </r>
  </si>
  <si>
    <r>
      <t xml:space="preserve">СБЦ1-3-4
</t>
    </r>
    <r>
      <rPr>
        <i/>
        <sz val="11"/>
        <rFont val="Arial"/>
        <family val="2"/>
        <charset val="204"/>
      </rPr>
      <t>"Системы противоп.и охр. защ. (1999г.)"
3 Проектирование установок. для которых необходимо формировать импульс на управлением системами пожарной защиты и безопасности ПЗ=1.5 (1-й уровень);
 Стадия (РП) Автоматика и сигнализация (73%) ПЗ=1.73 (2-й уровень);
 Стадия (РП) Сметная документация (7%) ПЗ=1.07 (2-й уровень);</t>
    </r>
  </si>
  <si>
    <t>Итого затраты по разделу</t>
  </si>
  <si>
    <t>Итого затраты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</si>
</sst>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8" fillId="0" borderId="0" xfId="0" applyFont="1" applyAlignment="1">
      <alignment horizontal="left" indent="1"/>
    </xf>
    <xf numFmtId="0" fontId="11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168" fontId="8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12</xdr:row>
          <xdr:rowOff>1104900</xdr:rowOff>
        </xdr:from>
        <xdr:to>
          <xdr:col>1</xdr:col>
          <xdr:colOff>1209675</xdr:colOff>
          <xdr:row>12</xdr:row>
          <xdr:rowOff>1352550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73"/>
  <sheetViews>
    <sheetView showGridLines="0" tabSelected="1" topLeftCell="A10" zoomScaleNormal="100" workbookViewId="0">
      <selection sqref="A1:D1"/>
    </sheetView>
  </sheetViews>
  <sheetFormatPr defaultRowHeight="15" x14ac:dyDescent="0.2"/>
  <cols>
    <col min="1" max="1" width="9.140625" style="1"/>
    <col min="2" max="2" width="50.42578125" style="1" customWidth="1"/>
    <col min="3" max="3" width="41.4257812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 x14ac:dyDescent="0.2">
      <c r="A1" s="14"/>
      <c r="B1" s="14"/>
      <c r="C1" s="14"/>
      <c r="D1" s="14"/>
      <c r="L1" s="2" t="s">
        <v>7</v>
      </c>
    </row>
    <row r="2" spans="1:17" x14ac:dyDescent="0.2">
      <c r="A2" s="19" t="s">
        <v>13</v>
      </c>
      <c r="B2" s="19"/>
      <c r="C2" s="19"/>
      <c r="D2" s="19"/>
    </row>
    <row r="3" spans="1:17" ht="18" x14ac:dyDescent="0.25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7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5.75" x14ac:dyDescent="0.2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7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 x14ac:dyDescent="0.2">
      <c r="A9" s="9" t="s">
        <v>2</v>
      </c>
      <c r="B9" s="3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x14ac:dyDescent="0.2">
      <c r="A10" s="3"/>
      <c r="B10" s="3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7" x14ac:dyDescent="0.2">
      <c r="A11" s="9" t="s">
        <v>3</v>
      </c>
      <c r="B11" s="3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x14ac:dyDescent="0.2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5" t="s">
        <v>12</v>
      </c>
    </row>
    <row r="13" spans="1:17" s="7" customFormat="1" ht="121.5" customHeight="1" x14ac:dyDescent="0.2">
      <c r="A13" s="6" t="s">
        <v>0</v>
      </c>
      <c r="B13" s="6" t="s">
        <v>8</v>
      </c>
      <c r="C13" s="6" t="s">
        <v>9</v>
      </c>
      <c r="D13" s="6" t="s">
        <v>10</v>
      </c>
      <c r="E13" s="6"/>
      <c r="F13" s="6"/>
      <c r="G13" s="6"/>
      <c r="H13" s="6"/>
      <c r="I13" s="6"/>
      <c r="J13" s="6"/>
      <c r="K13" s="6"/>
      <c r="L13" s="6" t="s">
        <v>11</v>
      </c>
    </row>
    <row r="14" spans="1:17" x14ac:dyDescent="0.2">
      <c r="A14" s="20">
        <v>1</v>
      </c>
      <c r="B14" s="20">
        <v>2</v>
      </c>
      <c r="C14" s="20">
        <v>3</v>
      </c>
      <c r="D14" s="20">
        <v>4</v>
      </c>
      <c r="E14" s="20"/>
      <c r="F14" s="20"/>
      <c r="G14" s="20"/>
      <c r="H14" s="20"/>
      <c r="I14" s="20"/>
      <c r="J14" s="20"/>
      <c r="K14" s="20"/>
      <c r="L14" s="20">
        <v>5</v>
      </c>
    </row>
    <row r="15" spans="1:17" s="8" customFormat="1" ht="23.1" customHeight="1" x14ac:dyDescent="0.2">
      <c r="A15" s="21" t="s">
        <v>48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7" s="10" customFormat="1" ht="409.5" x14ac:dyDescent="0.2">
      <c r="A16" s="23">
        <v>1</v>
      </c>
      <c r="B16" s="24" t="s">
        <v>15</v>
      </c>
      <c r="C16" s="24" t="s">
        <v>56</v>
      </c>
      <c r="D16" s="25" t="s">
        <v>49</v>
      </c>
      <c r="E16" s="26">
        <v>1</v>
      </c>
      <c r="F16" s="26" t="str">
        <f ca="1">IF(INDIRECT("J" &amp; ROW())="текущие цены", IF(INDIRECT("G" &amp; ROW())="", "0", "0"), IF(INDIRECT("G" &amp; ROW())="", "1012320.96","423920"))</f>
        <v>423920</v>
      </c>
      <c r="G16" s="26" t="s">
        <v>16</v>
      </c>
      <c r="H16" s="26"/>
      <c r="I16" s="26"/>
      <c r="J16" s="26" t="s">
        <v>17</v>
      </c>
      <c r="K16" s="26" t="s">
        <v>45</v>
      </c>
      <c r="L16" s="27">
        <v>1284.12312</v>
      </c>
      <c r="M16" s="8"/>
      <c r="N16" s="8"/>
      <c r="O16" s="8"/>
      <c r="P16" s="8"/>
      <c r="Q16" s="8"/>
    </row>
    <row r="17" spans="1:17" ht="243" x14ac:dyDescent="0.2">
      <c r="A17" s="23">
        <v>2</v>
      </c>
      <c r="B17" s="24" t="s">
        <v>18</v>
      </c>
      <c r="C17" s="24" t="s">
        <v>57</v>
      </c>
      <c r="D17" s="25" t="s">
        <v>50</v>
      </c>
      <c r="E17" s="26">
        <f>1</f>
        <v>1</v>
      </c>
      <c r="F17" s="26" t="str">
        <f ca="1">IF(INDIRECT("J" &amp; ROW())="текущие цены", IF(INDIRECT("G" &amp; ROW())="", "0", "0"), IF(INDIRECT("G" &amp; ROW())="", "4947.65","2118"))</f>
        <v>2118</v>
      </c>
      <c r="G17" s="26" t="s">
        <v>19</v>
      </c>
      <c r="H17" s="26"/>
      <c r="I17" s="26"/>
      <c r="J17" s="26" t="s">
        <v>17</v>
      </c>
      <c r="K17" s="26" t="s">
        <v>46</v>
      </c>
      <c r="L17" s="27">
        <v>20.540399999999998</v>
      </c>
      <c r="M17" s="8"/>
      <c r="N17" s="8"/>
      <c r="O17" s="8"/>
      <c r="P17" s="8"/>
      <c r="Q17" s="8"/>
    </row>
    <row r="18" spans="1:17" x14ac:dyDescent="0.2">
      <c r="A18" s="33" t="s">
        <v>59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7">
        <f>1304663.52/1000</f>
        <v>1304.6635200000001</v>
      </c>
      <c r="M18" s="8"/>
      <c r="N18" s="8"/>
      <c r="O18" s="8"/>
      <c r="P18" s="8"/>
      <c r="Q18" s="8"/>
    </row>
    <row r="19" spans="1:17" x14ac:dyDescent="0.2">
      <c r="A19" s="35" t="s">
        <v>20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27"/>
      <c r="M19" s="8"/>
      <c r="N19" s="8"/>
      <c r="O19" s="8"/>
      <c r="P19" s="8"/>
      <c r="Q19" s="8"/>
    </row>
    <row r="20" spans="1:17" x14ac:dyDescent="0.2">
      <c r="A20" s="33" t="s">
        <v>21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27">
        <f>1304663.52/1000</f>
        <v>1304.6635200000001</v>
      </c>
      <c r="M20" s="8"/>
      <c r="N20" s="8"/>
      <c r="O20" s="8"/>
      <c r="P20" s="8"/>
      <c r="Q20" s="8"/>
    </row>
    <row r="21" spans="1:17" x14ac:dyDescent="0.2">
      <c r="A21" s="33" t="s">
        <v>22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27">
        <f>1304663.52/1000</f>
        <v>1304.6635200000001</v>
      </c>
      <c r="M21" s="8"/>
      <c r="N21" s="8"/>
      <c r="O21" s="8"/>
      <c r="P21" s="8"/>
      <c r="Q21" s="8"/>
    </row>
    <row r="22" spans="1:17" x14ac:dyDescent="0.2">
      <c r="A22" s="33" t="s">
        <v>51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27">
        <f>4866394.93/1000</f>
        <v>4866.3949299999995</v>
      </c>
      <c r="M22" s="8"/>
      <c r="N22" s="8"/>
      <c r="O22" s="8"/>
      <c r="P22" s="8"/>
      <c r="Q22" s="8"/>
    </row>
    <row r="23" spans="1:17" ht="15" customHeight="1" x14ac:dyDescent="0.2">
      <c r="A23" s="37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2">
        <f>4866394.93/1000</f>
        <v>4866.3949299999995</v>
      </c>
      <c r="M23" s="8"/>
      <c r="N23" s="8"/>
      <c r="O23" s="8"/>
      <c r="P23" s="8"/>
      <c r="Q23" s="8"/>
    </row>
    <row r="24" spans="1:17" ht="32.1" customHeight="1" x14ac:dyDescent="0.2">
      <c r="A24" s="21" t="s">
        <v>52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8"/>
      <c r="N24" s="8"/>
      <c r="O24" s="8"/>
      <c r="P24" s="8"/>
      <c r="Q24" s="8"/>
    </row>
    <row r="25" spans="1:17" ht="186" x14ac:dyDescent="0.2">
      <c r="A25" s="28">
        <v>3</v>
      </c>
      <c r="B25" s="29" t="s">
        <v>24</v>
      </c>
      <c r="C25" s="29" t="s">
        <v>58</v>
      </c>
      <c r="D25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2 * 972 * 1,5; 1,73; 1,07</v>
      </c>
      <c r="E25" s="31">
        <v>2</v>
      </c>
      <c r="F25" s="31" t="str">
        <f ca="1">IF(INDIRECT("J" &amp; ROW())="текущие цены", IF(INDIRECT("G" &amp; ROW())="", "0", "0"), IF(INDIRECT("G" &amp; ROW())="", "2624.4","972"))</f>
        <v>972</v>
      </c>
      <c r="G25" s="31" t="s">
        <v>25</v>
      </c>
      <c r="H25" s="31"/>
      <c r="I25" s="31"/>
      <c r="J25" s="31" t="s">
        <v>17</v>
      </c>
      <c r="K25" s="31" t="s">
        <v>47</v>
      </c>
      <c r="L25" s="32">
        <f ca="1">IF(INDIRECT("J" &amp; ROW())="текущие цены", 0/1000, 5248.8/1000)</f>
        <v>5.2488000000000001</v>
      </c>
      <c r="M25" s="8"/>
      <c r="N25" s="8"/>
      <c r="O25" s="8"/>
      <c r="P25" s="8"/>
      <c r="Q25" s="8"/>
    </row>
    <row r="26" spans="1:17" x14ac:dyDescent="0.2">
      <c r="A26" s="33" t="s">
        <v>59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27">
        <f>5248.8/1000</f>
        <v>5.2488000000000001</v>
      </c>
      <c r="M26" s="8"/>
      <c r="N26" s="8"/>
      <c r="O26" s="8"/>
      <c r="P26" s="8"/>
      <c r="Q26" s="8"/>
    </row>
    <row r="27" spans="1:17" ht="33.950000000000003" customHeight="1" x14ac:dyDescent="0.2">
      <c r="A27" s="35" t="s">
        <v>26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27"/>
      <c r="M27" s="8"/>
      <c r="N27" s="8"/>
      <c r="O27" s="8"/>
      <c r="P27" s="8"/>
      <c r="Q27" s="8"/>
    </row>
    <row r="28" spans="1:17" x14ac:dyDescent="0.2">
      <c r="A28" s="33" t="s">
        <v>27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27">
        <f>5248.8/1000</f>
        <v>5.2488000000000001</v>
      </c>
      <c r="M28" s="8"/>
      <c r="N28" s="8"/>
      <c r="O28" s="8"/>
      <c r="P28" s="8"/>
      <c r="Q28" s="8"/>
    </row>
    <row r="29" spans="1:17" x14ac:dyDescent="0.2">
      <c r="A29" s="33" t="s">
        <v>22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7">
        <f>5248.8/1000</f>
        <v>5.2488000000000001</v>
      </c>
      <c r="M29" s="8"/>
      <c r="N29" s="8"/>
      <c r="O29" s="8"/>
      <c r="P29" s="8"/>
      <c r="Q29" s="8"/>
    </row>
    <row r="30" spans="1:17" ht="32.1" customHeight="1" x14ac:dyDescent="0.2">
      <c r="A30" s="33" t="s">
        <v>51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27">
        <f>19578.02/1000</f>
        <v>19.578020000000002</v>
      </c>
      <c r="M30" s="8"/>
      <c r="N30" s="8"/>
      <c r="O30" s="8"/>
      <c r="P30" s="8"/>
      <c r="Q30" s="8"/>
    </row>
    <row r="31" spans="1:17" ht="15" customHeight="1" x14ac:dyDescent="0.2">
      <c r="A31" s="37" t="s">
        <v>28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2">
        <f>19578.02/1000</f>
        <v>19.578020000000002</v>
      </c>
      <c r="M31" s="8"/>
      <c r="N31" s="8"/>
      <c r="O31" s="8"/>
      <c r="P31" s="8"/>
      <c r="Q31" s="8"/>
    </row>
    <row r="32" spans="1:17" ht="16.5" x14ac:dyDescent="0.2">
      <c r="A32" s="21" t="s">
        <v>53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8"/>
      <c r="N32" s="8"/>
      <c r="O32" s="8"/>
      <c r="P32" s="8"/>
      <c r="Q32" s="8"/>
    </row>
    <row r="33" spans="1:17" ht="32.1" customHeight="1" x14ac:dyDescent="0.2">
      <c r="A33" s="28">
        <v>4</v>
      </c>
      <c r="B33" s="29" t="s">
        <v>29</v>
      </c>
      <c r="C33" s="29"/>
      <c r="D33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(5248,8+1219594,32+1284123,12) * 0.03 </v>
      </c>
      <c r="E33" s="31">
        <v>2508966.2400000002</v>
      </c>
      <c r="F33" s="31" t="str">
        <f ca="1">IF(INDIRECT("J" &amp; ROW())="текущие цены", IF(INDIRECT("G" &amp; ROW())="", "0", "0"), IF(INDIRECT("G" &amp; ROW())="", "0.03","0.03"))</f>
        <v>0.03</v>
      </c>
      <c r="G33" s="31"/>
      <c r="H33" s="31" t="s">
        <v>30</v>
      </c>
      <c r="I33" s="31"/>
      <c r="J33" s="31" t="s">
        <v>17</v>
      </c>
      <c r="K33" s="31"/>
      <c r="L33" s="32">
        <f ca="1">IF(INDIRECT("J" &amp; ROW())="текущие цены", 0/1000, 75268.99/1000)</f>
        <v>75.268990000000002</v>
      </c>
      <c r="M33" s="8"/>
      <c r="N33" s="8"/>
      <c r="O33" s="8"/>
      <c r="P33" s="8"/>
      <c r="Q33" s="8"/>
    </row>
    <row r="34" spans="1:17" x14ac:dyDescent="0.2">
      <c r="A34" s="33" t="s">
        <v>59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27">
        <f>75268.99/1000</f>
        <v>75.268990000000002</v>
      </c>
      <c r="M34" s="8"/>
      <c r="N34" s="8"/>
      <c r="O34" s="8"/>
      <c r="P34" s="8"/>
      <c r="Q34" s="8"/>
    </row>
    <row r="35" spans="1:17" ht="32.1" customHeight="1" x14ac:dyDescent="0.2">
      <c r="A35" s="35" t="s">
        <v>31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27"/>
      <c r="M35" s="8"/>
      <c r="N35" s="8"/>
      <c r="O35" s="8"/>
      <c r="P35" s="8"/>
      <c r="Q35" s="8"/>
    </row>
    <row r="36" spans="1:17" ht="23.1" customHeight="1" x14ac:dyDescent="0.2">
      <c r="A36" s="33" t="s">
        <v>21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27">
        <f>75268.99/1000</f>
        <v>75.268990000000002</v>
      </c>
      <c r="M36" s="8"/>
      <c r="N36" s="8"/>
      <c r="O36" s="8"/>
      <c r="P36" s="8"/>
      <c r="Q36" s="8"/>
    </row>
    <row r="37" spans="1:17" x14ac:dyDescent="0.2">
      <c r="A37" s="33" t="s">
        <v>22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27">
        <f>75268.99/1000</f>
        <v>75.268990000000002</v>
      </c>
      <c r="M37" s="8"/>
      <c r="N37" s="8"/>
      <c r="O37" s="8"/>
      <c r="P37" s="8"/>
      <c r="Q37" s="8"/>
    </row>
    <row r="38" spans="1:17" x14ac:dyDescent="0.2">
      <c r="A38" s="33" t="s">
        <v>51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27">
        <f>280753.33/1000</f>
        <v>280.75333000000001</v>
      </c>
      <c r="M38" s="8"/>
      <c r="N38" s="8"/>
      <c r="O38" s="8"/>
      <c r="P38" s="8"/>
      <c r="Q38" s="8"/>
    </row>
    <row r="39" spans="1:17" ht="15" customHeight="1" x14ac:dyDescent="0.2">
      <c r="A39" s="37" t="s">
        <v>32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2">
        <f>280753.33/1000</f>
        <v>280.75333000000001</v>
      </c>
      <c r="M39" s="8"/>
      <c r="N39" s="8"/>
      <c r="O39" s="8"/>
      <c r="P39" s="8"/>
      <c r="Q39" s="8"/>
    </row>
    <row r="40" spans="1:17" ht="16.5" x14ac:dyDescent="0.2">
      <c r="A40" s="21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8"/>
      <c r="N40" s="8"/>
      <c r="O40" s="8"/>
      <c r="P40" s="8"/>
      <c r="Q40" s="8"/>
    </row>
    <row r="41" spans="1:17" ht="45" x14ac:dyDescent="0.2">
      <c r="A41" s="28">
        <v>5</v>
      </c>
      <c r="B41" s="29" t="s">
        <v>33</v>
      </c>
      <c r="C41" s="29"/>
      <c r="D41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((5248,8+1219594,32+1284123,12)*0,4) * 0.07 </v>
      </c>
      <c r="E41" s="31">
        <v>1003586.496</v>
      </c>
      <c r="F41" s="31" t="str">
        <f ca="1">IF(INDIRECT("J" &amp; ROW())="текущие цены", IF(INDIRECT("G" &amp; ROW())="", "0", "0"), IF(INDIRECT("G" &amp; ROW())="", "0.07","0.07"))</f>
        <v>0.07</v>
      </c>
      <c r="G41" s="31"/>
      <c r="H41" s="31" t="s">
        <v>34</v>
      </c>
      <c r="I41" s="31"/>
      <c r="J41" s="31" t="s">
        <v>17</v>
      </c>
      <c r="K41" s="31"/>
      <c r="L41" s="32">
        <f ca="1">IF(INDIRECT("J" &amp; ROW())="текущие цены", 0/1000, 70251.05/1000)</f>
        <v>70.251050000000006</v>
      </c>
      <c r="M41" s="8"/>
      <c r="N41" s="8"/>
      <c r="O41" s="8"/>
      <c r="P41" s="8"/>
      <c r="Q41" s="8"/>
    </row>
    <row r="42" spans="1:17" ht="32.1" customHeight="1" x14ac:dyDescent="0.2">
      <c r="A42" s="33" t="s">
        <v>59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27">
        <f>70251.05/1000</f>
        <v>70.251050000000006</v>
      </c>
      <c r="M42" s="8"/>
      <c r="N42" s="8"/>
      <c r="O42" s="8"/>
      <c r="P42" s="8"/>
      <c r="Q42" s="8"/>
    </row>
    <row r="43" spans="1:17" x14ac:dyDescent="0.2">
      <c r="A43" s="35" t="s">
        <v>35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7"/>
      <c r="M43" s="8"/>
      <c r="N43" s="8"/>
      <c r="O43" s="8"/>
      <c r="P43" s="8"/>
      <c r="Q43" s="8"/>
    </row>
    <row r="44" spans="1:17" x14ac:dyDescent="0.2">
      <c r="A44" s="33" t="s">
        <v>36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27">
        <f>70251.05/1000</f>
        <v>70.251050000000006</v>
      </c>
      <c r="M44" s="8"/>
      <c r="N44" s="8"/>
      <c r="O44" s="8"/>
      <c r="P44" s="8"/>
      <c r="Q44" s="8"/>
    </row>
    <row r="45" spans="1:17" x14ac:dyDescent="0.2">
      <c r="A45" s="33" t="s">
        <v>22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27">
        <f>70251.05/1000</f>
        <v>70.251050000000006</v>
      </c>
      <c r="M45" s="8"/>
      <c r="N45" s="8"/>
      <c r="O45" s="8"/>
      <c r="P45" s="8"/>
      <c r="Q45" s="8"/>
    </row>
    <row r="46" spans="1:17" ht="23.1" customHeight="1" x14ac:dyDescent="0.2">
      <c r="A46" s="33" t="s">
        <v>51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27">
        <f>262036.42/1000</f>
        <v>262.03642000000002</v>
      </c>
      <c r="M46" s="8"/>
      <c r="N46" s="8"/>
      <c r="O46" s="8"/>
      <c r="P46" s="8"/>
      <c r="Q46" s="8"/>
    </row>
    <row r="47" spans="1:17" ht="15" customHeight="1" x14ac:dyDescent="0.2">
      <c r="A47" s="37" t="s">
        <v>37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2">
        <f>262036.42/1000</f>
        <v>262.03642000000002</v>
      </c>
      <c r="M47" s="8"/>
      <c r="N47" s="8"/>
      <c r="O47" s="8"/>
      <c r="P47" s="8"/>
      <c r="Q47" s="8"/>
    </row>
    <row r="48" spans="1:17" ht="16.5" x14ac:dyDescent="0.2">
      <c r="A48" s="21" t="s">
        <v>55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8"/>
      <c r="N48" s="8"/>
      <c r="O48" s="8"/>
      <c r="P48" s="8"/>
      <c r="Q48" s="8"/>
    </row>
    <row r="49" spans="1:17" ht="45" x14ac:dyDescent="0.2">
      <c r="A49" s="28">
        <v>6</v>
      </c>
      <c r="B49" s="29" t="s">
        <v>38</v>
      </c>
      <c r="C49" s="29"/>
      <c r="D49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((5248,8+1219594,32+1284123,12)*0,6) * 0.06 </v>
      </c>
      <c r="E49" s="31">
        <v>1505379.7439999999</v>
      </c>
      <c r="F49" s="31" t="str">
        <f ca="1">IF(INDIRECT("J" &amp; ROW())="текущие цены", IF(INDIRECT("G" &amp; ROW())="", "0", "0"), IF(INDIRECT("G" &amp; ROW())="", "0.06","0.06"))</f>
        <v>0.06</v>
      </c>
      <c r="G49" s="31"/>
      <c r="H49" s="31" t="s">
        <v>39</v>
      </c>
      <c r="I49" s="31"/>
      <c r="J49" s="31" t="s">
        <v>17</v>
      </c>
      <c r="K49" s="31"/>
      <c r="L49" s="32">
        <f ca="1">IF(INDIRECT("J" &amp; ROW())="текущие цены", 0/1000, 90322.78/1000)</f>
        <v>90.322779999999995</v>
      </c>
      <c r="M49" s="8"/>
      <c r="N49" s="8"/>
      <c r="O49" s="8"/>
      <c r="P49" s="8"/>
      <c r="Q49" s="8"/>
    </row>
    <row r="50" spans="1:17" x14ac:dyDescent="0.2">
      <c r="A50" s="33" t="s">
        <v>59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27">
        <f>90322.78/1000</f>
        <v>90.322779999999995</v>
      </c>
      <c r="M50" s="8"/>
      <c r="N50" s="8"/>
      <c r="O50" s="8"/>
      <c r="P50" s="8"/>
      <c r="Q50" s="8"/>
    </row>
    <row r="51" spans="1:17" x14ac:dyDescent="0.2">
      <c r="A51" s="35" t="s">
        <v>40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7"/>
      <c r="M51" s="8"/>
      <c r="N51" s="8"/>
      <c r="O51" s="8"/>
      <c r="P51" s="8"/>
      <c r="Q51" s="8"/>
    </row>
    <row r="52" spans="1:17" ht="32.1" customHeight="1" x14ac:dyDescent="0.2">
      <c r="A52" s="33" t="s">
        <v>36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>
        <f>90322.78/1000</f>
        <v>90.322779999999995</v>
      </c>
      <c r="M52" s="8"/>
      <c r="N52" s="8"/>
      <c r="O52" s="8"/>
      <c r="P52" s="8"/>
      <c r="Q52" s="8"/>
    </row>
    <row r="53" spans="1:17" x14ac:dyDescent="0.2">
      <c r="A53" s="33" t="s">
        <v>22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27">
        <f>90322.78/1000</f>
        <v>90.322779999999995</v>
      </c>
      <c r="M53" s="8"/>
      <c r="N53" s="8"/>
      <c r="O53" s="8"/>
      <c r="P53" s="8"/>
      <c r="Q53" s="8"/>
    </row>
    <row r="54" spans="1:17" x14ac:dyDescent="0.2">
      <c r="A54" s="33" t="s">
        <v>51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27">
        <f>336903.97/1000</f>
        <v>336.90396999999996</v>
      </c>
      <c r="M54" s="8"/>
      <c r="N54" s="8"/>
      <c r="O54" s="8"/>
      <c r="P54" s="8"/>
      <c r="Q54" s="8"/>
    </row>
    <row r="55" spans="1:17" ht="15" customHeight="1" x14ac:dyDescent="0.2">
      <c r="A55" s="37" t="s">
        <v>41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2">
        <f>336903.97/1000</f>
        <v>336.90396999999996</v>
      </c>
      <c r="M55" s="8"/>
      <c r="N55" s="8"/>
      <c r="O55" s="8"/>
      <c r="P55" s="8"/>
      <c r="Q55" s="8"/>
    </row>
    <row r="56" spans="1:17" ht="23.1" customHeight="1" x14ac:dyDescent="0.2">
      <c r="A56" s="39" t="s">
        <v>60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40">
        <f>1545755.14/1000</f>
        <v>1545.75514</v>
      </c>
      <c r="M56" s="8"/>
      <c r="N56" s="8"/>
      <c r="O56" s="8"/>
      <c r="P56" s="8"/>
      <c r="Q56" s="8"/>
    </row>
    <row r="57" spans="1:17" x14ac:dyDescent="0.2">
      <c r="A57" s="41" t="s">
        <v>42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40"/>
      <c r="M57" s="8"/>
      <c r="N57" s="8"/>
      <c r="O57" s="8"/>
      <c r="P57" s="8"/>
      <c r="Q57" s="8"/>
    </row>
    <row r="58" spans="1:17" x14ac:dyDescent="0.2">
      <c r="A58" s="39" t="s">
        <v>23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40">
        <f>4866394.93/1000</f>
        <v>4866.3949299999995</v>
      </c>
      <c r="M58" s="8"/>
      <c r="N58" s="8"/>
      <c r="O58" s="8"/>
      <c r="P58" s="8"/>
      <c r="Q58" s="8"/>
    </row>
    <row r="59" spans="1:17" x14ac:dyDescent="0.2">
      <c r="A59" s="39" t="s">
        <v>28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40">
        <f>19578.02/1000</f>
        <v>19.578020000000002</v>
      </c>
      <c r="M59" s="8"/>
      <c r="N59" s="8"/>
      <c r="O59" s="8"/>
      <c r="P59" s="8"/>
      <c r="Q59" s="8"/>
    </row>
    <row r="60" spans="1:17" x14ac:dyDescent="0.2">
      <c r="A60" s="39" t="s">
        <v>32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40">
        <f>280753.33/1000</f>
        <v>280.75333000000001</v>
      </c>
      <c r="M60" s="8"/>
      <c r="N60" s="8"/>
      <c r="O60" s="8"/>
      <c r="P60" s="8"/>
      <c r="Q60" s="8"/>
    </row>
    <row r="61" spans="1:17" x14ac:dyDescent="0.2">
      <c r="A61" s="39" t="s">
        <v>37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40">
        <f>262036.42/1000</f>
        <v>262.03642000000002</v>
      </c>
      <c r="M61" s="8"/>
      <c r="N61" s="8"/>
      <c r="O61" s="8"/>
      <c r="P61" s="8"/>
      <c r="Q61" s="8"/>
    </row>
    <row r="62" spans="1:17" ht="32.1" customHeight="1" x14ac:dyDescent="0.2">
      <c r="A62" s="39" t="s">
        <v>41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40">
        <f>336903.97/1000</f>
        <v>336.90396999999996</v>
      </c>
      <c r="M62" s="8"/>
      <c r="N62" s="8"/>
      <c r="O62" s="8"/>
      <c r="P62" s="8"/>
      <c r="Q62" s="8"/>
    </row>
    <row r="63" spans="1:17" x14ac:dyDescent="0.2">
      <c r="A63" s="39" t="s">
        <v>22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40">
        <f>5765666.67/1000</f>
        <v>5765.6666699999996</v>
      </c>
      <c r="M63" s="8"/>
      <c r="N63" s="8"/>
      <c r="O63" s="8"/>
      <c r="P63" s="8"/>
      <c r="Q63" s="8"/>
    </row>
    <row r="64" spans="1:17" ht="15" customHeight="1" x14ac:dyDescent="0.2">
      <c r="A64" s="39" t="s">
        <v>43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40">
        <f>1037820/1000</f>
        <v>1037.82</v>
      </c>
      <c r="M64" s="8"/>
      <c r="N64" s="8"/>
      <c r="O64" s="8"/>
      <c r="P64" s="8"/>
      <c r="Q64" s="8"/>
    </row>
    <row r="65" spans="1:17" x14ac:dyDescent="0.2">
      <c r="A65" s="41" t="s">
        <v>44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40">
        <f>6803486.67/1000</f>
        <v>6803.4866700000002</v>
      </c>
      <c r="M65" s="8"/>
      <c r="N65" s="8"/>
      <c r="O65" s="8"/>
      <c r="P65" s="8"/>
      <c r="Q65" s="8"/>
    </row>
    <row r="66" spans="1:1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9"/>
      <c r="N66" s="10"/>
      <c r="O66" s="10"/>
      <c r="P66" s="10"/>
      <c r="Q66" s="10"/>
    </row>
    <row r="67" spans="1:1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7" x14ac:dyDescent="0.2">
      <c r="A68" s="1" t="s">
        <v>4</v>
      </c>
      <c r="B68" s="3"/>
      <c r="C68" s="11"/>
      <c r="D68" s="3"/>
      <c r="E68" s="3"/>
      <c r="F68" s="3"/>
      <c r="G68" s="3"/>
      <c r="H68" s="3"/>
      <c r="I68" s="3"/>
      <c r="J68" s="3"/>
      <c r="K68" s="3"/>
      <c r="L68" s="3"/>
    </row>
    <row r="69" spans="1:17" ht="32.1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7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7" x14ac:dyDescent="0.2">
      <c r="A71" s="1" t="s">
        <v>5</v>
      </c>
      <c r="B71" s="3"/>
      <c r="C71" s="11"/>
      <c r="D71" s="3"/>
      <c r="E71" s="3"/>
      <c r="F71" s="3"/>
      <c r="G71" s="3"/>
      <c r="H71" s="3"/>
      <c r="I71" s="3"/>
      <c r="J71" s="3"/>
      <c r="K71" s="3"/>
      <c r="L71" s="3"/>
    </row>
    <row r="73" spans="1:17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</sheetData>
  <mergeCells count="53">
    <mergeCell ref="A63:K63"/>
    <mergeCell ref="A64:K64"/>
    <mergeCell ref="A65:K65"/>
    <mergeCell ref="A57:K57"/>
    <mergeCell ref="A58:K58"/>
    <mergeCell ref="A59:K59"/>
    <mergeCell ref="A60:K60"/>
    <mergeCell ref="A61:K61"/>
    <mergeCell ref="A62:K62"/>
    <mergeCell ref="A53:K53"/>
    <mergeCell ref="A54:K54"/>
    <mergeCell ref="A55:K55"/>
    <mergeCell ref="A56:K56"/>
    <mergeCell ref="A47:K47"/>
    <mergeCell ref="A48:L48"/>
    <mergeCell ref="A50:K50"/>
    <mergeCell ref="A51:K51"/>
    <mergeCell ref="A52:K52"/>
    <mergeCell ref="A42:K42"/>
    <mergeCell ref="A43:K43"/>
    <mergeCell ref="A44:K44"/>
    <mergeCell ref="A45:K45"/>
    <mergeCell ref="A46:K46"/>
    <mergeCell ref="A37:K37"/>
    <mergeCell ref="A38:K38"/>
    <mergeCell ref="A39:K39"/>
    <mergeCell ref="A40:L40"/>
    <mergeCell ref="A31:K31"/>
    <mergeCell ref="A32:L32"/>
    <mergeCell ref="A34:K34"/>
    <mergeCell ref="A35:K35"/>
    <mergeCell ref="A36:K36"/>
    <mergeCell ref="A24:L24"/>
    <mergeCell ref="A26:K26"/>
    <mergeCell ref="A27:K27"/>
    <mergeCell ref="A28:K28"/>
    <mergeCell ref="A29:K29"/>
    <mergeCell ref="A30:K30"/>
    <mergeCell ref="A19:K19"/>
    <mergeCell ref="A20:K20"/>
    <mergeCell ref="A21:K21"/>
    <mergeCell ref="A22:K22"/>
    <mergeCell ref="A23:K23"/>
    <mergeCell ref="A73:L73"/>
    <mergeCell ref="A1:D1"/>
    <mergeCell ref="A3:L3"/>
    <mergeCell ref="A4:L4"/>
    <mergeCell ref="A7:L7"/>
    <mergeCell ref="C11:L11"/>
    <mergeCell ref="C9:L9"/>
    <mergeCell ref="A2:D2"/>
    <mergeCell ref="A15:L15"/>
    <mergeCell ref="A18:K18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66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95250</xdr:colOff>
                    <xdr:row>12</xdr:row>
                    <xdr:rowOff>1104900</xdr:rowOff>
                  </from>
                  <to>
                    <xdr:col>1</xdr:col>
                    <xdr:colOff>1209675</xdr:colOff>
                    <xdr:row>12</xdr:row>
                    <xdr:rowOff>1352550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807117</dc:creator>
  <dc:description>27.04.2009</dc:description>
  <cp:lastModifiedBy>807117</cp:lastModifiedBy>
  <cp:lastPrinted>2009-02-02T07:59:09Z</cp:lastPrinted>
  <dcterms:created xsi:type="dcterms:W3CDTF">2007-02-21T08:42:24Z</dcterms:created>
  <dcterms:modified xsi:type="dcterms:W3CDTF">2015-07-14T13:18:01Z</dcterms:modified>
</cp:coreProperties>
</file>