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5" yWindow="5970" windowWidth="15420" windowHeight="5715"/>
  </bookViews>
  <sheets>
    <sheet name="Мои данные" sheetId="1" r:id="rId1"/>
    <sheet name="Вспомогательный" sheetId="2" state="hidden" r:id="rId2"/>
  </sheets>
  <definedNames>
    <definedName name="_xlnm.Print_Titles" localSheetId="0">'Мои данные'!$15:$15</definedName>
    <definedName name="_xlnm.Print_Area" localSheetId="0">'Мои данные'!$A$1:$N$63</definedName>
  </definedNames>
  <calcPr calcId="145621" fullCalcOnLoad="1"/>
</workbook>
</file>

<file path=xl/calcChain.xml><?xml version="1.0" encoding="utf-8"?>
<calcChain xmlns="http://schemas.openxmlformats.org/spreadsheetml/2006/main">
  <c r="N45" i="1" l="1"/>
  <c r="N47" i="1"/>
  <c r="N48" i="1"/>
  <c r="N49" i="1"/>
  <c r="N50" i="1"/>
  <c r="N51" i="1"/>
  <c r="N52" i="1"/>
  <c r="N53" i="1"/>
  <c r="N55" i="1"/>
  <c r="N56" i="1"/>
  <c r="E18" i="1"/>
  <c r="E19" i="1"/>
  <c r="E20" i="1"/>
  <c r="E21" i="1"/>
  <c r="E22" i="1"/>
  <c r="E23" i="1"/>
  <c r="E24" i="1"/>
  <c r="E26" i="1"/>
  <c r="E27" i="1"/>
  <c r="E28" i="1"/>
  <c r="E30" i="1"/>
  <c r="E31" i="1"/>
  <c r="E32" i="1"/>
  <c r="E34" i="1"/>
  <c r="E35" i="1"/>
  <c r="E36" i="1"/>
  <c r="E37" i="1"/>
  <c r="E38" i="1"/>
  <c r="E40" i="1"/>
  <c r="E41" i="1"/>
  <c r="E43" i="1"/>
  <c r="E44" i="1"/>
  <c r="A12" i="2"/>
  <c r="N43" i="1"/>
  <c r="F18" i="1"/>
  <c r="D18" i="1" s="1"/>
  <c r="F19" i="1"/>
  <c r="D19" i="1" s="1"/>
  <c r="F20" i="1"/>
  <c r="D20" i="1" s="1"/>
  <c r="F21" i="1"/>
  <c r="D21" i="1" s="1"/>
  <c r="F22" i="1"/>
  <c r="D22" i="1" s="1"/>
  <c r="F23" i="1"/>
  <c r="D23" i="1" s="1"/>
  <c r="F24" i="1"/>
  <c r="D24" i="1" s="1"/>
  <c r="F26" i="1"/>
  <c r="D26" i="1" s="1"/>
  <c r="F27" i="1"/>
  <c r="D27" i="1" s="1"/>
  <c r="F28" i="1"/>
  <c r="D28" i="1" s="1"/>
  <c r="F30" i="1"/>
  <c r="D30" i="1" s="1"/>
  <c r="F31" i="1"/>
  <c r="D31" i="1" s="1"/>
  <c r="F32" i="1"/>
  <c r="D32" i="1" s="1"/>
  <c r="F34" i="1"/>
  <c r="D34" i="1" s="1"/>
  <c r="F35" i="1"/>
  <c r="D35" i="1" s="1"/>
  <c r="F36" i="1"/>
  <c r="D36" i="1" s="1"/>
  <c r="F37" i="1"/>
  <c r="F38" i="1"/>
  <c r="D38" i="1" s="1"/>
  <c r="F40" i="1"/>
  <c r="D40" i="1" s="1"/>
  <c r="F41" i="1"/>
  <c r="F43" i="1"/>
  <c r="D43" i="1" s="1"/>
  <c r="F44" i="1"/>
  <c r="N18" i="1"/>
  <c r="N19" i="1"/>
  <c r="N20" i="1"/>
  <c r="N21" i="1"/>
  <c r="N22" i="1"/>
  <c r="N23" i="1"/>
  <c r="N24" i="1"/>
  <c r="N26" i="1"/>
  <c r="N27" i="1"/>
  <c r="N28" i="1"/>
  <c r="N30" i="1"/>
  <c r="N31" i="1"/>
  <c r="N32" i="1"/>
  <c r="N34" i="1"/>
  <c r="N35" i="1"/>
  <c r="N36" i="1"/>
  <c r="N37" i="1"/>
  <c r="N38" i="1"/>
  <c r="N40" i="1"/>
  <c r="N41" i="1"/>
  <c r="N44" i="1"/>
  <c r="D37" i="1"/>
  <c r="D41" i="1"/>
  <c r="D44" i="1"/>
</calcChain>
</file>

<file path=xl/comments1.xml><?xml version="1.0" encoding="utf-8"?>
<comments xmlns="http://schemas.openxmlformats.org/spreadsheetml/2006/main">
  <authors>
    <author>Сергей</author>
    <author>Alex</author>
    <author>Alex Sosedko</author>
  </authors>
  <commentList>
    <comment ref="A2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A3" authorId="0">
      <text>
        <r>
          <rPr>
            <sz val="8"/>
            <color indexed="81"/>
            <rFont val="Tahoma"/>
            <family val="2"/>
            <charset val="204"/>
          </rPr>
          <t xml:space="preserve"> &lt;Индекс/ЛН расчета&gt;</t>
        </r>
      </text>
    </comment>
    <comment ref="A7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стройки&gt;, &lt;Наименование объекта&gt;, &lt;Наименование локальной сметы&gt;</t>
        </r>
      </text>
    </comment>
    <comment ref="A10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A15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B15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(текстовая часть) расценки&gt;</t>
        </r>
      </text>
    </comment>
    <comment ref="C15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&lt;Комментарии из базы данных к расценке&gt;
Примечание: &lt;Примечание&gt;</t>
        </r>
      </text>
    </comment>
    <comment ref="D15" authorId="0">
      <text>
        <r>
          <rPr>
            <sz val="8"/>
            <color indexed="81"/>
            <rFont val="Tahoma"/>
            <family val="2"/>
            <charset val="204"/>
          </rPr>
          <t xml:space="preserve"> =IF(INDIRECT("H"&amp;ROW())="",INDIRECT("E"&amp;ROW()),"("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"&amp;INDIRECT("G"&amp;ROW()))&lt;Пустой идентификатор&gt;</t>
        </r>
      </text>
    </comment>
    <comment ref="E15" authorId="0">
      <text>
        <r>
          <rPr>
            <sz val="8"/>
            <color indexed="81"/>
            <rFont val="Tahoma"/>
            <family val="2"/>
            <charset val="204"/>
          </rPr>
          <t xml:space="preserve"> =IF(&lt;Пустой идентификатор&gt;&lt;Количество всего (физ. объем) по позиции&gt; = "","0",&lt;Количество всего (физ. объем) по позиции&gt;)</t>
        </r>
      </text>
    </comment>
    <comment ref="F15" authorId="0">
      <text>
        <r>
          <rPr>
            <sz val="8"/>
            <color indexed="81"/>
            <rFont val="Tahoma"/>
            <family val="2"/>
            <charset val="204"/>
          </rPr>
          <t xml:space="preserve"> =IF(INDIRECT("J" &amp; ROW())="текущие цены", IF(INDIRECT("G" &amp; ROW())="", "&lt;ПЗ по позиции на единицу в текущих ценах с учетом всех к-тов&gt;", "&lt;ПЗ по позиции на единицу в текущих ценах&gt;"), IF(INDIRECT("G" &amp; ROW())="", "&lt;ПЗ по позиции на единицу в базисных ценах с учетом всех к-тов&gt;","&lt;ПЗ по позиции на единицу в базисных ценах&gt;")) </t>
        </r>
      </text>
    </comment>
    <comment ref="G15" authorId="0">
      <text>
        <r>
          <rPr>
            <sz val="8"/>
            <color indexed="81"/>
            <rFont val="Tahoma"/>
            <family val="2"/>
            <charset val="204"/>
          </rPr>
          <t xml:space="preserve"> &lt;К-т к позиции на прямые затраты&gt;</t>
        </r>
      </text>
    </comment>
    <comment ref="H15" authorId="0">
      <text>
        <r>
          <rPr>
            <sz val="8"/>
            <color indexed="81"/>
            <rFont val="Tahoma"/>
            <family val="2"/>
            <charset val="204"/>
          </rPr>
          <t xml:space="preserve"> &lt;Формула расчета физ. объема&gt;</t>
        </r>
      </text>
    </comment>
    <comment ref="I15" authorId="0">
      <text>
        <r>
          <rPr>
            <sz val="8"/>
            <color indexed="81"/>
            <rFont val="Tahoma"/>
            <family val="2"/>
            <charset val="204"/>
          </rPr>
          <t xml:space="preserve"> &lt;Формула расчета стоимости единицы&gt;</t>
        </r>
      </text>
    </comment>
    <comment ref="J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&lt;Уровень цен позиции&gt;</t>
        </r>
      </text>
    </comment>
    <comment ref="K15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коэффициентов&gt;</t>
        </r>
      </text>
    </comment>
    <comment ref="L1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раздела&gt;</t>
        </r>
      </text>
    </comment>
    <comment ref="M15" authorId="0">
      <text>
        <r>
          <rPr>
            <sz val="8"/>
            <color indexed="81"/>
            <rFont val="Tahoma"/>
            <family val="2"/>
            <charset val="204"/>
          </rPr>
          <t xml:space="preserve"> &lt;Ед. измерения по расценке&gt;</t>
        </r>
      </text>
    </comment>
    <comment ref="N1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=IF(INDIRECT("J" &amp; ROW())="текущие цены", &lt;ИТОГО ПЗ по позиции в текущих ценах&gt;/1000, &lt;ИТОГО ПЗ по позиции для БИМ&gt;/1000) 
</t>
        </r>
      </text>
    </comment>
    <comment ref="A45" authorId="0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N45" authorId="0">
      <text>
        <r>
          <rPr>
            <sz val="8"/>
            <color indexed="81"/>
            <rFont val="Tahoma"/>
            <family val="2"/>
            <charset val="204"/>
          </rPr>
          <t xml:space="preserve"> =&lt;Прямые затраты (итоги)&gt;/1000</t>
        </r>
      </text>
    </comment>
    <comment ref="C59" authorId="0">
      <text>
        <r>
          <rPr>
            <sz val="8"/>
            <color indexed="81"/>
            <rFont val="Tahoma"/>
            <family val="2"/>
            <charset val="204"/>
          </rPr>
          <t xml:space="preserve"> &lt;подпись 360 значение&gt;</t>
        </r>
      </text>
    </comment>
    <comment ref="C6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&lt;Составил&gt;</t>
        </r>
      </text>
    </comment>
    <comment ref="A6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&lt;Комментарии к смете&gt;</t>
        </r>
      </text>
    </comment>
  </commentList>
</comments>
</file>

<file path=xl/sharedStrings.xml><?xml version="1.0" encoding="utf-8"?>
<sst xmlns="http://schemas.openxmlformats.org/spreadsheetml/2006/main" count="154" uniqueCount="89">
  <si>
    <t>№ пп</t>
  </si>
  <si>
    <t>на проектные (изыскательские)  работы</t>
  </si>
  <si>
    <t>Наименование проектной (изыскательской) организации</t>
  </si>
  <si>
    <t>Наименование организации заказчика</t>
  </si>
  <si>
    <t xml:space="preserve">Главный инженер проекта </t>
  </si>
  <si>
    <t xml:space="preserve">Составитель сметы </t>
  </si>
  <si>
    <t xml:space="preserve">СМЕТА № </t>
  </si>
  <si>
    <t>Характеристика предприятия,
здания, сооружения или вид работ</t>
  </si>
  <si>
    <t>Номер частей, глав, таблиц,
параграфов и пунктов указаний к
разделу справочника базовых цен
на проектные и изыскательские
работы для строителей</t>
  </si>
  <si>
    <t xml:space="preserve">Приложение к Договору № </t>
  </si>
  <si>
    <t>Форма 2п</t>
  </si>
  <si>
    <t>Расчет стоимости: (a+bx)*Kj или
(стоимость
строительно-монтажных
работ)*проц./ 100 или количество * цена, руб.</t>
  </si>
  <si>
    <t>Стоимость работ,    тыс. руб.</t>
  </si>
  <si>
    <t>, , Проектные работы</t>
  </si>
  <si>
    <t>Раздел 1. Разработка проектной документации</t>
  </si>
  <si>
    <t>ДНС с УСПВ</t>
  </si>
  <si>
    <t>Дожимная нефтенасосная станция с предварительным сбросом пластовой воды производительностью по жидкости: свыше 1 млн.т/год</t>
  </si>
  <si>
    <t xml:space="preserve">СБЦ16-2-19-3-А
/Таблица: СБЦ16-2-19-3 параметр: А/ "Объекты нефтедоб.промышл.(2006г.)" </t>
  </si>
  <si>
    <t>0,4*1,1</t>
  </si>
  <si>
    <t>цены 2001</t>
  </si>
  <si>
    <t>(Проект ПЗ=0,4 (ОЗП=0,4; ЭМ=0,4 к расх.; ЗПМ=0,4; МАТ=0,4 к расх.; ТЗ=0,4; ТЗМ=0,4);
При проектировании объектов, требующих тепловой изоляции трубопроводов или оборудования ПЗ=1,1)</t>
  </si>
  <si>
    <t>объект</t>
  </si>
  <si>
    <t xml:space="preserve">СБЦ16-2-19-3-Б
/Таблица: СБЦ16-2-19-3 параметр: Б/ "Объекты нефтедоб.промышл.(2006г.)" </t>
  </si>
  <si>
    <t>1 млн.т/год</t>
  </si>
  <si>
    <t>Узел учета нефти производительностью по жидкости: до 0,5 тыс.м3/сут.</t>
  </si>
  <si>
    <t xml:space="preserve">СБЦ16-2-22-1-А
/Таблица: СБЦ16-2-22-1 параметр: А/ "Объекты нефтедоб.промышл.(2006г.)" </t>
  </si>
  <si>
    <t xml:space="preserve">СБЦ16-2-22-1-Б
/Таблица: СБЦ16-2-22-1 параметр: Б/ "Объекты нефтедоб.промышл.(2006г.)" </t>
  </si>
  <si>
    <t>1 тыс.м3/сут.</t>
  </si>
  <si>
    <t>Резервуарный парк для нефти общей емкостью: до 10 тыс.м3</t>
  </si>
  <si>
    <t xml:space="preserve">СБЦ16-2-24-1-А
/Таблица: СБЦ16-2-24-1 параметр: А/ "Объекты нефтедоб.промышл.(2006г.)" </t>
  </si>
  <si>
    <t xml:space="preserve">СБЦ16-2-24-1-Б
/Таблица: СБЦ16-2-24-1 параметр: Б/ "Объекты нефтедоб.промышл.(2006г.)" </t>
  </si>
  <si>
    <t>1 тыс.м3</t>
  </si>
  <si>
    <t>Пруверная установка для проверки счетчиков производительностью: до 500 м3/час</t>
  </si>
  <si>
    <t xml:space="preserve">СБЦ16-2-23-1-А
/Таблица: СБЦ16-2-23-1 параметр: А/ "Объекты нефтедоб.промышл.(2006г.)" </t>
  </si>
  <si>
    <t>1 установка</t>
  </si>
  <si>
    <t>КНС</t>
  </si>
  <si>
    <t>Кустовая насосная станция (КНС) в капитальном исполнении для закачки пресной воды в пласты производительностью: свыше 180 до 360 м3/ч</t>
  </si>
  <si>
    <t xml:space="preserve">СБЦ16-4-2-2-А
/Таблица: СБЦ16-4-2-2 параметр: А/ "Объекты нефтедоб.промышл.(2006г.)" </t>
  </si>
  <si>
    <t>1,2*0,4</t>
  </si>
  <si>
    <t>(При проектировании объектов для работы с агрессивными средами ПЗ=1,2;
Проект ПЗ=0,4 (ОЗП=0,4; ЭМ=0,4 к расх.; ЗПМ=0,4; МАТ=0,4 к расх.; ТЗ=0,4; ТЗМ=0,4))</t>
  </si>
  <si>
    <t xml:space="preserve">СБЦ16-4-2-2-Б
/Таблица: СБЦ16-4-2-2 параметр: Б/ "Объекты нефтедоб.промышл.(2006г.)" </t>
  </si>
  <si>
    <t>1 м3/ч</t>
  </si>
  <si>
    <t>Водораспределительный пункт системы заводнения пластов</t>
  </si>
  <si>
    <t xml:space="preserve">СБЦ16-4-3-А
/Таблица: СБЦ16-4-3 параметр: А/ "Объекты нефтедоб.промышл.(2006г.)" </t>
  </si>
  <si>
    <t>1 пункт</t>
  </si>
  <si>
    <t>ДКС</t>
  </si>
  <si>
    <t>Установка компримирования газа на дожимной компрессорной станции с газотурбинным приводом, рабочее давление до 7,5 МПа с суммарной установленной мощностью: до 50 тыс.кВт</t>
  </si>
  <si>
    <t xml:space="preserve">СБЦ5-9-2-А
/Таблица: СБЦ5-9-2 параметр: А/ "Объекты газовой промышл.(1999г.)" </t>
  </si>
  <si>
    <t>(Проект ПЗ=0,4 (ОЗП=0,4; ЭМ=0,4 к расх.; ЗПМ=0,4; МАТ=0,4 к расх.; ТЗ=0,4; ТЗМ=0,4);
2.6При строительстве объектов в сложных геолого-климатических условиях: для проекта ПЗ=1,1)</t>
  </si>
  <si>
    <t>Производственно-энергетический блок (ПЭБ) площадью: от 250 до 500 м2</t>
  </si>
  <si>
    <t xml:space="preserve">СБЦ5-9-13-А
/Таблица: СБЦ5-9-13 параметр: А/ "Объекты газовой промышл.(1999г.)" </t>
  </si>
  <si>
    <t xml:space="preserve">СБЦ5-9-13-Б
/Таблица: СБЦ5-9-13 параметр: Б/ "Объекты газовой промышл.(1999г.)" </t>
  </si>
  <si>
    <t>1 м2</t>
  </si>
  <si>
    <t>Внутриплощадочные коммуникации</t>
  </si>
  <si>
    <t>Тепло-, газо-, материалопроводы на эстакадах при длине трассы свыше 0,85 до 4 км</t>
  </si>
  <si>
    <t xml:space="preserve">СБЦ15-7-2-4-А
/Таблица: СБЦ15-7-2-4 параметр: А/ "Объекты нефтеперер.промышл.(2004г.)" </t>
  </si>
  <si>
    <t>(Проект ПЗ=0,4 (ОЗП=0,4; ЭМ=0,4 к расх.; ЗПМ=0,4; МАТ=0,4 к расх.; ТЗ=0,4; ТЗМ=0,4))</t>
  </si>
  <si>
    <t xml:space="preserve">СБЦ15-7-2-4-Б
/Таблица: СБЦ15-7-2-4 параметр: Б/ "Объекты нефтеперер.промышл.(2004г.)" </t>
  </si>
  <si>
    <t>км</t>
  </si>
  <si>
    <t>Сети связи и сигналазации на площади от 0,5 до 10 га</t>
  </si>
  <si>
    <t xml:space="preserve">СБЦ15-7-2-7-Б
/Таблица: СБЦ15-7-2-7 параметр: Б/ "Объекты нефтеперер.промышл.(2004г.)" </t>
  </si>
  <si>
    <t>га</t>
  </si>
  <si>
    <t>Внутриплощадочная сеть пожарной сигнализации объекта площадью: до 10 га</t>
  </si>
  <si>
    <t xml:space="preserve">СБЦ5-7-87-А
/Таблица: СБЦ5-7-87 параметр: А/ "Объекты газовой промышл.(1999г.)" </t>
  </si>
  <si>
    <t>Генеральный план и транспорт в составе: вертикальная планировка, благоустройство и озеленение, внутриплощадочные автодороги, сводный план подземных коммуникаций, площадью свыше 1 до 10 га</t>
  </si>
  <si>
    <t xml:space="preserve">СБЦ5-7-98-Б
/Таблица: СБЦ5-7-98 параметр: Б/ "Объекты газовой промышл.(1999г.)" </t>
  </si>
  <si>
    <t>1 га</t>
  </si>
  <si>
    <t>Кабель 6 кВ на этакадах</t>
  </si>
  <si>
    <t>Проходная кабельная эстакада протяженностью: 1 км</t>
  </si>
  <si>
    <t xml:space="preserve">СБЦ5-7-84-3-Б
/Таблица: СБЦ5-7-84-3 параметр: Б/ "Объекты газовой промышл.(1999г.)" </t>
  </si>
  <si>
    <t>1 км</t>
  </si>
  <si>
    <t>Электрокабельные сети, сети КиА при прокладке по проходным кабельным эстакадам</t>
  </si>
  <si>
    <t xml:space="preserve">СБЦ15-7-2-6-3-Б
/Таблица: СБЦ15-7-2-6-3 параметр: Б/ "Объекты нефтеперер.промышл.(2004г.)" </t>
  </si>
  <si>
    <t>Подъезная автомобильная автодорога</t>
  </si>
  <si>
    <t>Подъездная, служебная или патрульная автомобильная дорога протяженностью от 0,2 до 2 км: категория сложности проектирования III</t>
  </si>
  <si>
    <t xml:space="preserve">СЦ38-34-01-3-А
/Таблица: СЦ38-34-01-3 параметр: А/ "Разд.38 Железные и автом.дороги. Мосты. Тоннели. Метропол.(1987г.)" </t>
  </si>
  <si>
    <t xml:space="preserve">СЦ38-34-01-3-Б
/Таблица: СЦ38-34-01-3 параметр: Б/ "Разд.38 Железные и автом.дороги. Мосты. Тоннели. Метропол.(1987г.)" </t>
  </si>
  <si>
    <t>Итого прямые затраты по смете в ценах 2001г.</t>
  </si>
  <si>
    <t>Итоги по смете:</t>
  </si>
  <si>
    <t xml:space="preserve">  Проектные работы: Объекты нефтедобывающей промышленности (2006)</t>
  </si>
  <si>
    <t xml:space="preserve">  Проектные работы: Объекты газовой промышленности (1999)</t>
  </si>
  <si>
    <t xml:space="preserve">  Проектные работы: Объекты нефтеперерабатывающей промышленности (2004)</t>
  </si>
  <si>
    <t xml:space="preserve">  Проектные работы: Раздел 38.Железные и автомобильные дороги. Мосты. Тоннели. Метрополитены (1987)</t>
  </si>
  <si>
    <t xml:space="preserve">  Итого</t>
  </si>
  <si>
    <t xml:space="preserve">  Всего с учетом "Индекс изменения стоимсоти проектных работ для стороительства (перевод в текущие цены) СМР=2,05"</t>
  </si>
  <si>
    <t xml:space="preserve">  Понижающий коэффициент 4 954 742,52 * 0,85</t>
  </si>
  <si>
    <t xml:space="preserve">    Справочно, в ценах 2001г.:</t>
  </si>
  <si>
    <t xml:space="preserve">  НДС 18%</t>
  </si>
  <si>
    <t xml:space="preserve">  ВСЕГО по смете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</si>
</sst>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sz val="9"/>
      <name val="Arial Cyr"/>
      <charset val="204"/>
    </font>
    <font>
      <b/>
      <sz val="10"/>
      <name val="Arial Cyr"/>
      <charset val="204"/>
    </font>
    <font>
      <b/>
      <sz val="11"/>
      <name val="Arial"/>
      <family val="2"/>
      <charset val="204"/>
    </font>
    <font>
      <b/>
      <sz val="11"/>
      <name val="Arial Cyr"/>
      <charset val="204"/>
    </font>
    <font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5" fillId="0" borderId="1">
      <alignment horizontal="center"/>
    </xf>
    <xf numFmtId="0" fontId="1" fillId="0" borderId="0">
      <alignment vertical="top"/>
    </xf>
    <xf numFmtId="0" fontId="5" fillId="0" borderId="1">
      <alignment horizontal="center"/>
    </xf>
    <xf numFmtId="0" fontId="5" fillId="0" borderId="0">
      <alignment vertical="top"/>
    </xf>
    <xf numFmtId="0" fontId="5" fillId="0" borderId="0">
      <alignment horizontal="right" vertical="top" wrapText="1"/>
    </xf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5" fillId="0" borderId="0"/>
    <xf numFmtId="0" fontId="5" fillId="0" borderId="1">
      <alignment horizontal="center" wrapText="1"/>
    </xf>
    <xf numFmtId="0" fontId="5" fillId="0" borderId="1">
      <alignment horizontal="center"/>
    </xf>
    <xf numFmtId="0" fontId="5" fillId="0" borderId="1">
      <alignment horizontal="center" wrapText="1"/>
    </xf>
    <xf numFmtId="0" fontId="1" fillId="0" borderId="0"/>
    <xf numFmtId="0" fontId="5" fillId="0" borderId="0">
      <alignment horizontal="center"/>
    </xf>
    <xf numFmtId="0" fontId="5" fillId="0" borderId="0">
      <alignment horizontal="left" vertical="top"/>
    </xf>
    <xf numFmtId="0" fontId="5" fillId="0" borderId="0"/>
  </cellStyleXfs>
  <cellXfs count="42">
    <xf numFmtId="0" fontId="0" fillId="0" borderId="0" xfId="0"/>
    <xf numFmtId="0" fontId="7" fillId="0" borderId="0" xfId="0" applyFont="1"/>
    <xf numFmtId="0" fontId="9" fillId="0" borderId="0" xfId="0" applyFont="1"/>
    <xf numFmtId="0" fontId="9" fillId="0" borderId="0" xfId="0" applyFont="1" applyAlignment="1">
      <alignment vertical="top"/>
    </xf>
    <xf numFmtId="0" fontId="9" fillId="0" borderId="0" xfId="0" applyFont="1" applyAlignment="1">
      <alignment horizontal="left" indent="1"/>
    </xf>
    <xf numFmtId="0" fontId="9" fillId="0" borderId="0" xfId="21" applyFont="1" applyBorder="1">
      <alignment horizontal="center"/>
    </xf>
    <xf numFmtId="0" fontId="9" fillId="0" borderId="0" xfId="21" applyFont="1" applyBorder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9" fillId="0" borderId="0" xfId="22" applyFont="1">
      <alignment horizontal="left" vertical="top"/>
    </xf>
    <xf numFmtId="0" fontId="12" fillId="0" borderId="0" xfId="0" applyFont="1" applyAlignment="1">
      <alignment horizontal="right"/>
    </xf>
    <xf numFmtId="0" fontId="7" fillId="0" borderId="0" xfId="0" applyFont="1" applyAlignment="1">
      <alignment wrapText="1"/>
    </xf>
    <xf numFmtId="0" fontId="11" fillId="0" borderId="0" xfId="21" applyFont="1" applyBorder="1" applyAlignment="1">
      <alignment horizontal="left" vertical="top" wrapText="1"/>
    </xf>
    <xf numFmtId="0" fontId="9" fillId="0" borderId="0" xfId="21" applyFont="1" applyBorder="1" applyAlignment="1">
      <alignment horizontal="left" wrapText="1"/>
    </xf>
    <xf numFmtId="0" fontId="8" fillId="0" borderId="0" xfId="21" applyFont="1">
      <alignment horizontal="center"/>
    </xf>
    <xf numFmtId="0" fontId="9" fillId="0" borderId="0" xfId="0" applyFont="1" applyAlignment="1">
      <alignment horizontal="center"/>
    </xf>
    <xf numFmtId="0" fontId="10" fillId="0" borderId="0" xfId="21" applyFont="1" applyBorder="1" applyAlignment="1">
      <alignment horizontal="center" vertical="top" wrapText="1"/>
    </xf>
    <xf numFmtId="0" fontId="9" fillId="0" borderId="0" xfId="21" applyFont="1" applyBorder="1" applyAlignment="1">
      <alignment horizontal="left" vertical="top" wrapText="1"/>
    </xf>
    <xf numFmtId="0" fontId="9" fillId="0" borderId="0" xfId="21" applyFont="1" applyBorder="1" applyAlignment="1">
      <alignment horizontal="center" vertical="top" wrapText="1"/>
    </xf>
    <xf numFmtId="0" fontId="9" fillId="0" borderId="2" xfId="12" applyFont="1" applyBorder="1">
      <alignment horizontal="center" wrapText="1"/>
    </xf>
    <xf numFmtId="49" fontId="14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10" fontId="9" fillId="0" borderId="1" xfId="0" applyNumberFormat="1" applyFont="1" applyBorder="1" applyAlignment="1">
      <alignment horizontal="center" vertical="top" wrapText="1"/>
    </xf>
    <xf numFmtId="0" fontId="9" fillId="0" borderId="1" xfId="0" applyNumberFormat="1" applyFont="1" applyBorder="1" applyAlignment="1">
      <alignment horizontal="center" vertical="top" wrapText="1"/>
    </xf>
    <xf numFmtId="168" fontId="9" fillId="0" borderId="1" xfId="0" applyNumberFormat="1" applyFont="1" applyBorder="1" applyAlignment="1">
      <alignment horizontal="right" vertical="top" wrapText="1"/>
    </xf>
    <xf numFmtId="49" fontId="9" fillId="0" borderId="2" xfId="0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horizontal="left" vertical="top" wrapText="1"/>
    </xf>
    <xf numFmtId="10" fontId="9" fillId="0" borderId="2" xfId="0" applyNumberFormat="1" applyFont="1" applyBorder="1" applyAlignment="1">
      <alignment horizontal="center" vertical="top" wrapText="1"/>
    </xf>
    <xf numFmtId="0" fontId="9" fillId="0" borderId="2" xfId="0" applyNumberFormat="1" applyFont="1" applyBorder="1" applyAlignment="1">
      <alignment horizontal="center" vertical="top" wrapText="1"/>
    </xf>
    <xf numFmtId="168" fontId="9" fillId="0" borderId="2" xfId="0" applyNumberFormat="1" applyFont="1" applyBorder="1" applyAlignment="1">
      <alignment horizontal="right" vertical="top" wrapText="1"/>
    </xf>
    <xf numFmtId="0" fontId="9" fillId="0" borderId="1" xfId="5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168" fontId="9" fillId="0" borderId="1" xfId="5" applyNumberFormat="1" applyFont="1" applyBorder="1" applyAlignment="1">
      <alignment horizontal="right" vertical="top" wrapText="1"/>
    </xf>
    <xf numFmtId="0" fontId="10" fillId="0" borderId="1" xfId="5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168" fontId="10" fillId="0" borderId="1" xfId="5" applyNumberFormat="1" applyFont="1" applyBorder="1" applyAlignment="1">
      <alignment horizontal="right" vertical="top" wrapText="1"/>
    </xf>
  </cellXfs>
  <cellStyles count="24">
    <cellStyle name="Акт" xfId="1"/>
    <cellStyle name="АктМТСН" xfId="2"/>
    <cellStyle name="ВедРесурсов" xfId="3"/>
    <cellStyle name="ВедРесурсовАкт" xfId="4"/>
    <cellStyle name="Итоги" xfId="5"/>
    <cellStyle name="ИтогоАктБазЦ" xfId="6"/>
    <cellStyle name="ИтогоАктБИМ" xfId="7"/>
    <cellStyle name="ИтогоАктРесМет" xfId="8"/>
    <cellStyle name="ИтогоБазЦ" xfId="9"/>
    <cellStyle name="ИтогоБИМ" xfId="10"/>
    <cellStyle name="ИтогоРесМет" xfId="11"/>
    <cellStyle name="ЛокСмета" xfId="12"/>
    <cellStyle name="ЛокСмМТСН" xfId="13"/>
    <cellStyle name="М29" xfId="14"/>
    <cellStyle name="ОбСмета" xfId="15"/>
    <cellStyle name="Обычный" xfId="0" builtinId="0"/>
    <cellStyle name="Параметр" xfId="16"/>
    <cellStyle name="ПеременныеСметы" xfId="17"/>
    <cellStyle name="РесСмета" xfId="18"/>
    <cellStyle name="СводкаСтоимРаб" xfId="19"/>
    <cellStyle name="СводРасч" xfId="20"/>
    <cellStyle name="Титул" xfId="21"/>
    <cellStyle name="Хвост" xfId="22"/>
    <cellStyle name="Экспертиза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13</xdr:row>
          <xdr:rowOff>1057275</xdr:rowOff>
        </xdr:from>
        <xdr:to>
          <xdr:col>1</xdr:col>
          <xdr:colOff>1000125</xdr:colOff>
          <xdr:row>13</xdr:row>
          <xdr:rowOff>1266825</xdr:rowOff>
        </xdr:to>
        <xdr:sp macro="" textlink="">
          <xdr:nvSpPr>
            <xdr:cNvPr id="1053" name="Button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 …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Y64"/>
  <sheetViews>
    <sheetView showGridLines="0" tabSelected="1" zoomScale="120" zoomScaleNormal="120" workbookViewId="0">
      <selection sqref="A1:D1"/>
    </sheetView>
  </sheetViews>
  <sheetFormatPr defaultRowHeight="12.75" x14ac:dyDescent="0.2"/>
  <cols>
    <col min="1" max="1" width="5.7109375" style="1" customWidth="1"/>
    <col min="2" max="3" width="29.42578125" style="1" customWidth="1"/>
    <col min="4" max="4" width="16.85546875" style="1" customWidth="1"/>
    <col min="5" max="10" width="22.140625" style="1" hidden="1" customWidth="1"/>
    <col min="11" max="11" width="73.7109375" style="1" hidden="1" customWidth="1"/>
    <col min="12" max="13" width="15" style="1" hidden="1" customWidth="1"/>
    <col min="14" max="14" width="11.140625" style="1" customWidth="1"/>
    <col min="15" max="16" width="9.140625" style="1" customWidth="1"/>
    <col min="17" max="24" width="9.140625" style="1"/>
    <col min="25" max="25" width="79.28515625" style="13" customWidth="1"/>
    <col min="26" max="16384" width="9.140625" style="1"/>
  </cols>
  <sheetData>
    <row r="1" spans="1:14" x14ac:dyDescent="0.2">
      <c r="A1" s="15"/>
      <c r="B1" s="15"/>
      <c r="C1" s="15"/>
      <c r="D1" s="15"/>
      <c r="N1" s="12" t="s">
        <v>10</v>
      </c>
    </row>
    <row r="2" spans="1:14" x14ac:dyDescent="0.2">
      <c r="A2" s="19" t="s">
        <v>9</v>
      </c>
      <c r="B2" s="19"/>
      <c r="C2" s="19"/>
      <c r="D2" s="19"/>
    </row>
    <row r="3" spans="1:14" ht="15.75" x14ac:dyDescent="0.25">
      <c r="A3" s="16" t="s">
        <v>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x14ac:dyDescent="0.2">
      <c r="A4" s="17" t="s">
        <v>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4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2">
      <c r="A7" s="18" t="s">
        <v>13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4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2">
      <c r="A9" s="3" t="s">
        <v>2</v>
      </c>
      <c r="B9" s="2"/>
    </row>
    <row r="10" spans="1:14" x14ac:dyDescent="0.2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</row>
    <row r="11" spans="1:14" x14ac:dyDescent="0.2">
      <c r="A11" s="2"/>
      <c r="B11" s="2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 x14ac:dyDescent="0.2">
      <c r="A12" s="3" t="s">
        <v>3</v>
      </c>
      <c r="B12" s="2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4" x14ac:dyDescent="0.2">
      <c r="A13" s="2"/>
      <c r="B13" s="2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6"/>
    </row>
    <row r="14" spans="1:14" s="8" customFormat="1" ht="100.5" customHeight="1" x14ac:dyDescent="0.2">
      <c r="A14" s="7" t="s">
        <v>0</v>
      </c>
      <c r="B14" s="7" t="s">
        <v>7</v>
      </c>
      <c r="C14" s="7" t="s">
        <v>8</v>
      </c>
      <c r="D14" s="7" t="s">
        <v>11</v>
      </c>
      <c r="E14" s="7"/>
      <c r="F14" s="7"/>
      <c r="G14" s="7"/>
      <c r="H14" s="7"/>
      <c r="I14" s="7"/>
      <c r="J14" s="7"/>
      <c r="K14" s="7"/>
      <c r="L14" s="7"/>
      <c r="M14" s="7"/>
      <c r="N14" s="7" t="s">
        <v>12</v>
      </c>
    </row>
    <row r="15" spans="1:14" x14ac:dyDescent="0.2">
      <c r="A15" s="21">
        <v>1</v>
      </c>
      <c r="B15" s="21">
        <v>2</v>
      </c>
      <c r="C15" s="21">
        <v>3</v>
      </c>
      <c r="D15" s="21">
        <v>4</v>
      </c>
      <c r="E15" s="21"/>
      <c r="F15" s="21"/>
      <c r="G15" s="21"/>
      <c r="H15" s="21"/>
      <c r="I15" s="21"/>
      <c r="J15" s="21"/>
      <c r="K15" s="21"/>
      <c r="L15" s="21"/>
      <c r="M15" s="21"/>
      <c r="N15" s="21">
        <v>5</v>
      </c>
    </row>
    <row r="16" spans="1:14" s="9" customFormat="1" ht="21" customHeight="1" x14ac:dyDescent="0.2">
      <c r="A16" s="22" t="s">
        <v>14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25" s="10" customFormat="1" ht="17.850000000000001" customHeight="1" x14ac:dyDescent="0.2">
      <c r="A17" s="24" t="s">
        <v>15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9"/>
      <c r="P17" s="9"/>
      <c r="Q17" s="9"/>
      <c r="R17" s="9"/>
      <c r="S17" s="9"/>
      <c r="Y17" s="9"/>
    </row>
    <row r="18" spans="1:25" ht="63.75" x14ac:dyDescent="0.2">
      <c r="A18" s="26">
        <v>1</v>
      </c>
      <c r="B18" s="27" t="s">
        <v>16</v>
      </c>
      <c r="C18" s="27" t="s">
        <v>17</v>
      </c>
      <c r="D18" s="28" t="str">
        <f ca="1">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</f>
        <v>1 * 1034469 * 0,4*1,1</v>
      </c>
      <c r="E18" s="29">
        <f>IF( 1 = "","0",1)</f>
        <v>1</v>
      </c>
      <c r="F18" s="29" t="str">
        <f ca="1">IF(INDIRECT("J" &amp; ROW())="текущие цены", IF(INDIRECT("G" &amp; ROW())="", "0", "0"), IF(INDIRECT("G" &amp; ROW())="", "455166.36","1034469"))</f>
        <v>1034469</v>
      </c>
      <c r="G18" s="29" t="s">
        <v>18</v>
      </c>
      <c r="H18" s="29"/>
      <c r="I18" s="29"/>
      <c r="J18" s="29" t="s">
        <v>19</v>
      </c>
      <c r="K18" s="29" t="s">
        <v>20</v>
      </c>
      <c r="L18" s="29">
        <v>1</v>
      </c>
      <c r="M18" s="29" t="s">
        <v>21</v>
      </c>
      <c r="N18" s="30">
        <f ca="1">IF(INDIRECT("J" &amp; ROW())="текущие цены", 0/1000, 455166.36/1000)</f>
        <v>455.16636</v>
      </c>
      <c r="O18" s="9"/>
      <c r="P18" s="9"/>
      <c r="Q18" s="9"/>
      <c r="R18" s="9"/>
      <c r="S18" s="9"/>
    </row>
    <row r="19" spans="1:25" ht="63.75" x14ac:dyDescent="0.2">
      <c r="A19" s="26">
        <v>2</v>
      </c>
      <c r="B19" s="27" t="s">
        <v>16</v>
      </c>
      <c r="C19" s="27" t="s">
        <v>22</v>
      </c>
      <c r="D19" s="28" t="str">
        <f ca="1">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</f>
        <v>1,824 * 107550 * 0,4*1,1</v>
      </c>
      <c r="E19" s="29">
        <f>IF( 1.824 = "","0",1.824)</f>
        <v>1.8240000000000001</v>
      </c>
      <c r="F19" s="29" t="str">
        <f ca="1">IF(INDIRECT("J" &amp; ROW())="текущие цены", IF(INDIRECT("G" &amp; ROW())="", "0", "0"), IF(INDIRECT("G" &amp; ROW())="", "47322","107550"))</f>
        <v>107550</v>
      </c>
      <c r="G19" s="29" t="s">
        <v>18</v>
      </c>
      <c r="H19" s="29"/>
      <c r="I19" s="29"/>
      <c r="J19" s="29" t="s">
        <v>19</v>
      </c>
      <c r="K19" s="29" t="s">
        <v>20</v>
      </c>
      <c r="L19" s="29">
        <v>1</v>
      </c>
      <c r="M19" s="29" t="s">
        <v>23</v>
      </c>
      <c r="N19" s="30">
        <f ca="1">IF(INDIRECT("J" &amp; ROW())="текущие цены", 0/1000, 86315.33/1000)</f>
        <v>86.315330000000003</v>
      </c>
      <c r="O19" s="9"/>
      <c r="P19" s="9"/>
      <c r="Q19" s="9"/>
      <c r="R19" s="9"/>
      <c r="S19" s="9"/>
    </row>
    <row r="20" spans="1:25" ht="51" x14ac:dyDescent="0.2">
      <c r="A20" s="26">
        <v>3</v>
      </c>
      <c r="B20" s="27" t="s">
        <v>24</v>
      </c>
      <c r="C20" s="27" t="s">
        <v>25</v>
      </c>
      <c r="D20" s="28" t="str">
        <f ca="1">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</f>
        <v>1 * 21381 * 0,4*1,1</v>
      </c>
      <c r="E20" s="29">
        <f>IF( 1 = "","0",1)</f>
        <v>1</v>
      </c>
      <c r="F20" s="29" t="str">
        <f ca="1">IF(INDIRECT("J" &amp; ROW())="текущие цены", IF(INDIRECT("G" &amp; ROW())="", "0", "0"), IF(INDIRECT("G" &amp; ROW())="", "9407.64","21381"))</f>
        <v>21381</v>
      </c>
      <c r="G20" s="29" t="s">
        <v>18</v>
      </c>
      <c r="H20" s="29"/>
      <c r="I20" s="29"/>
      <c r="J20" s="29" t="s">
        <v>19</v>
      </c>
      <c r="K20" s="29" t="s">
        <v>20</v>
      </c>
      <c r="L20" s="29">
        <v>1</v>
      </c>
      <c r="M20" s="29" t="s">
        <v>21</v>
      </c>
      <c r="N20" s="30">
        <f ca="1">IF(INDIRECT("J" &amp; ROW())="текущие цены", 0/1000, 9407.64/1000)</f>
        <v>9.4076399999999989</v>
      </c>
      <c r="O20" s="9"/>
      <c r="P20" s="9"/>
      <c r="Q20" s="9"/>
      <c r="R20" s="9"/>
      <c r="S20" s="9"/>
    </row>
    <row r="21" spans="1:25" ht="51" x14ac:dyDescent="0.2">
      <c r="A21" s="26">
        <v>4</v>
      </c>
      <c r="B21" s="27" t="s">
        <v>24</v>
      </c>
      <c r="C21" s="27" t="s">
        <v>26</v>
      </c>
      <c r="D21" s="28" t="str">
        <f ca="1">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</f>
        <v>0,244 * 8462 * 0,4*1,1</v>
      </c>
      <c r="E21" s="29">
        <f>IF( 0.244 = "","0",0.244)</f>
        <v>0.24399999999999999</v>
      </c>
      <c r="F21" s="29" t="str">
        <f ca="1">IF(INDIRECT("J" &amp; ROW())="текущие цены", IF(INDIRECT("G" &amp; ROW())="", "0", "0"), IF(INDIRECT("G" &amp; ROW())="", "3723.28","8462"))</f>
        <v>8462</v>
      </c>
      <c r="G21" s="29" t="s">
        <v>18</v>
      </c>
      <c r="H21" s="29"/>
      <c r="I21" s="29"/>
      <c r="J21" s="29" t="s">
        <v>19</v>
      </c>
      <c r="K21" s="29" t="s">
        <v>20</v>
      </c>
      <c r="L21" s="29">
        <v>1</v>
      </c>
      <c r="M21" s="29" t="s">
        <v>27</v>
      </c>
      <c r="N21" s="30">
        <f ca="1">IF(INDIRECT("J" &amp; ROW())="текущие цены", 0/1000, 908.48/1000)</f>
        <v>0.90848000000000007</v>
      </c>
      <c r="O21" s="9"/>
      <c r="P21" s="9"/>
      <c r="Q21" s="9"/>
      <c r="R21" s="9"/>
      <c r="S21" s="9"/>
    </row>
    <row r="22" spans="1:25" ht="51" x14ac:dyDescent="0.2">
      <c r="A22" s="26">
        <v>5</v>
      </c>
      <c r="B22" s="27" t="s">
        <v>28</v>
      </c>
      <c r="C22" s="27" t="s">
        <v>29</v>
      </c>
      <c r="D22" s="28" t="str">
        <f ca="1">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</f>
        <v>1 * 70159 * 0,4*1,1</v>
      </c>
      <c r="E22" s="29">
        <f>IF( 1 = "","0",1)</f>
        <v>1</v>
      </c>
      <c r="F22" s="29" t="str">
        <f ca="1">IF(INDIRECT("J" &amp; ROW())="текущие цены", IF(INDIRECT("G" &amp; ROW())="", "0", "0"), IF(INDIRECT("G" &amp; ROW())="", "30869.96","70159"))</f>
        <v>70159</v>
      </c>
      <c r="G22" s="29" t="s">
        <v>18</v>
      </c>
      <c r="H22" s="29"/>
      <c r="I22" s="29"/>
      <c r="J22" s="29" t="s">
        <v>19</v>
      </c>
      <c r="K22" s="29" t="s">
        <v>20</v>
      </c>
      <c r="L22" s="29">
        <v>1</v>
      </c>
      <c r="M22" s="29" t="s">
        <v>21</v>
      </c>
      <c r="N22" s="30">
        <f ca="1">IF(INDIRECT("J" &amp; ROW())="текущие цены", 0/1000, 30869.96/1000)</f>
        <v>30.869959999999999</v>
      </c>
      <c r="O22" s="9"/>
      <c r="P22" s="9"/>
      <c r="Q22" s="9"/>
      <c r="R22" s="9"/>
      <c r="S22" s="9"/>
    </row>
    <row r="23" spans="1:25" ht="51" x14ac:dyDescent="0.2">
      <c r="A23" s="26">
        <v>6</v>
      </c>
      <c r="B23" s="27" t="s">
        <v>28</v>
      </c>
      <c r="C23" s="27" t="s">
        <v>30</v>
      </c>
      <c r="D23" s="28" t="str">
        <f ca="1">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</f>
        <v>3 * 12361 * 0,4*1,1</v>
      </c>
      <c r="E23" s="29">
        <f>IF( 3 = "","0",3)</f>
        <v>3</v>
      </c>
      <c r="F23" s="29" t="str">
        <f ca="1">IF(INDIRECT("J" &amp; ROW())="текущие цены", IF(INDIRECT("G" &amp; ROW())="", "0", "0"), IF(INDIRECT("G" &amp; ROW())="", "5438.84","12361"))</f>
        <v>12361</v>
      </c>
      <c r="G23" s="29" t="s">
        <v>18</v>
      </c>
      <c r="H23" s="29"/>
      <c r="I23" s="29"/>
      <c r="J23" s="29" t="s">
        <v>19</v>
      </c>
      <c r="K23" s="29" t="s">
        <v>20</v>
      </c>
      <c r="L23" s="29">
        <v>1</v>
      </c>
      <c r="M23" s="29" t="s">
        <v>31</v>
      </c>
      <c r="N23" s="30">
        <f ca="1">IF(INDIRECT("J" &amp; ROW())="текущие цены", 0/1000, 16316.52/1000)</f>
        <v>16.316520000000001</v>
      </c>
      <c r="O23" s="9"/>
      <c r="P23" s="9"/>
      <c r="Q23" s="9"/>
      <c r="R23" s="9"/>
      <c r="S23" s="9"/>
    </row>
    <row r="24" spans="1:25" ht="51" x14ac:dyDescent="0.2">
      <c r="A24" s="26">
        <v>7</v>
      </c>
      <c r="B24" s="27" t="s">
        <v>32</v>
      </c>
      <c r="C24" s="27" t="s">
        <v>33</v>
      </c>
      <c r="D24" s="28" t="str">
        <f ca="1">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</f>
        <v>1 * 60480 * 0,4*1,1</v>
      </c>
      <c r="E24" s="29">
        <f>IF( 1 = "","0",1)</f>
        <v>1</v>
      </c>
      <c r="F24" s="29" t="str">
        <f ca="1">IF(INDIRECT("J" &amp; ROW())="текущие цены", IF(INDIRECT("G" &amp; ROW())="", "0", "0"), IF(INDIRECT("G" &amp; ROW())="", "26611.2","60480"))</f>
        <v>60480</v>
      </c>
      <c r="G24" s="29" t="s">
        <v>18</v>
      </c>
      <c r="H24" s="29"/>
      <c r="I24" s="29"/>
      <c r="J24" s="29" t="s">
        <v>19</v>
      </c>
      <c r="K24" s="29" t="s">
        <v>20</v>
      </c>
      <c r="L24" s="29">
        <v>1</v>
      </c>
      <c r="M24" s="29" t="s">
        <v>34</v>
      </c>
      <c r="N24" s="30">
        <f ca="1">IF(INDIRECT("J" &amp; ROW())="текущие цены", 0/1000, 26611.2/1000)</f>
        <v>26.6112</v>
      </c>
      <c r="O24" s="9"/>
      <c r="P24" s="9"/>
      <c r="Q24" s="9"/>
      <c r="R24" s="9"/>
      <c r="S24" s="9"/>
    </row>
    <row r="25" spans="1:25" ht="17.850000000000001" customHeight="1" x14ac:dyDescent="0.2">
      <c r="A25" s="24" t="s">
        <v>35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9"/>
      <c r="P25" s="9"/>
      <c r="Q25" s="9"/>
      <c r="R25" s="9"/>
      <c r="S25" s="9"/>
    </row>
    <row r="26" spans="1:25" ht="76.5" x14ac:dyDescent="0.2">
      <c r="A26" s="26">
        <v>8</v>
      </c>
      <c r="B26" s="27" t="s">
        <v>36</v>
      </c>
      <c r="C26" s="27" t="s">
        <v>37</v>
      </c>
      <c r="D26" s="28" t="str">
        <f ca="1">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</f>
        <v>1 * 48927 * 1,2*0,4</v>
      </c>
      <c r="E26" s="29">
        <f>IF( 1 = "","0",1)</f>
        <v>1</v>
      </c>
      <c r="F26" s="29" t="str">
        <f ca="1">IF(INDIRECT("J" &amp; ROW())="текущие цены", IF(INDIRECT("G" &amp; ROW())="", "0", "0"), IF(INDIRECT("G" &amp; ROW())="", "23484.96","48927"))</f>
        <v>48927</v>
      </c>
      <c r="G26" s="29" t="s">
        <v>38</v>
      </c>
      <c r="H26" s="29"/>
      <c r="I26" s="29"/>
      <c r="J26" s="29" t="s">
        <v>19</v>
      </c>
      <c r="K26" s="29" t="s">
        <v>39</v>
      </c>
      <c r="L26" s="29">
        <v>1</v>
      </c>
      <c r="M26" s="29" t="s">
        <v>21</v>
      </c>
      <c r="N26" s="30">
        <f ca="1">IF(INDIRECT("J" &amp; ROW())="текущие цены", 0/1000, 23484.96/1000)</f>
        <v>23.484959999999997</v>
      </c>
      <c r="O26" s="9"/>
      <c r="P26" s="9"/>
      <c r="Q26" s="9"/>
      <c r="R26" s="9"/>
      <c r="S26" s="9"/>
    </row>
    <row r="27" spans="1:25" ht="76.5" x14ac:dyDescent="0.2">
      <c r="A27" s="26">
        <v>9</v>
      </c>
      <c r="B27" s="27" t="s">
        <v>36</v>
      </c>
      <c r="C27" s="27" t="s">
        <v>40</v>
      </c>
      <c r="D27" s="28" t="str">
        <f ca="1">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</f>
        <v>316 * 54 * 1,2*0,4</v>
      </c>
      <c r="E27" s="29">
        <f>IF( 316 = "","0",316)</f>
        <v>316</v>
      </c>
      <c r="F27" s="29" t="str">
        <f ca="1">IF(INDIRECT("J" &amp; ROW())="текущие цены", IF(INDIRECT("G" &amp; ROW())="", "0", "0"), IF(INDIRECT("G" &amp; ROW())="", "25.92","54"))</f>
        <v>54</v>
      </c>
      <c r="G27" s="29" t="s">
        <v>38</v>
      </c>
      <c r="H27" s="29"/>
      <c r="I27" s="29"/>
      <c r="J27" s="29" t="s">
        <v>19</v>
      </c>
      <c r="K27" s="29" t="s">
        <v>39</v>
      </c>
      <c r="L27" s="29">
        <v>1</v>
      </c>
      <c r="M27" s="29" t="s">
        <v>41</v>
      </c>
      <c r="N27" s="30">
        <f ca="1">IF(INDIRECT("J" &amp; ROW())="текущие цены", 0/1000, 8190.72/1000)</f>
        <v>8.1907200000000007</v>
      </c>
      <c r="O27" s="9"/>
      <c r="P27" s="9"/>
      <c r="Q27" s="9"/>
      <c r="R27" s="9"/>
      <c r="S27" s="9"/>
    </row>
    <row r="28" spans="1:25" ht="51" x14ac:dyDescent="0.2">
      <c r="A28" s="26">
        <v>10</v>
      </c>
      <c r="B28" s="27" t="s">
        <v>42</v>
      </c>
      <c r="C28" s="27" t="s">
        <v>43</v>
      </c>
      <c r="D28" s="28" t="str">
        <f ca="1">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</f>
        <v>1 * 24214 * 1,2*0,4</v>
      </c>
      <c r="E28" s="29">
        <f>IF( 1 = "","0",1)</f>
        <v>1</v>
      </c>
      <c r="F28" s="29" t="str">
        <f ca="1">IF(INDIRECT("J" &amp; ROW())="текущие цены", IF(INDIRECT("G" &amp; ROW())="", "0", "0"), IF(INDIRECT("G" &amp; ROW())="", "11622.72","24214"))</f>
        <v>24214</v>
      </c>
      <c r="G28" s="29" t="s">
        <v>38</v>
      </c>
      <c r="H28" s="29"/>
      <c r="I28" s="29"/>
      <c r="J28" s="29" t="s">
        <v>19</v>
      </c>
      <c r="K28" s="29" t="s">
        <v>39</v>
      </c>
      <c r="L28" s="29">
        <v>1</v>
      </c>
      <c r="M28" s="29" t="s">
        <v>44</v>
      </c>
      <c r="N28" s="30">
        <f ca="1">IF(INDIRECT("J" &amp; ROW())="текущие цены", 0/1000, 11622.72/1000)</f>
        <v>11.622719999999999</v>
      </c>
      <c r="O28" s="9"/>
      <c r="P28" s="9"/>
      <c r="Q28" s="9"/>
      <c r="R28" s="9"/>
      <c r="S28" s="9"/>
    </row>
    <row r="29" spans="1:25" ht="17.850000000000001" customHeight="1" x14ac:dyDescent="0.2">
      <c r="A29" s="24" t="s">
        <v>45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9"/>
      <c r="P29" s="9"/>
      <c r="Q29" s="9"/>
      <c r="R29" s="9"/>
      <c r="S29" s="9"/>
    </row>
    <row r="30" spans="1:25" ht="89.25" x14ac:dyDescent="0.2">
      <c r="A30" s="26">
        <v>11</v>
      </c>
      <c r="B30" s="27" t="s">
        <v>46</v>
      </c>
      <c r="C30" s="27" t="s">
        <v>47</v>
      </c>
      <c r="D30" s="28" t="str">
        <f ca="1">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</f>
        <v>1 * 128631 * 0,4*1,1</v>
      </c>
      <c r="E30" s="29">
        <f>IF( 1 = "","0",1)</f>
        <v>1</v>
      </c>
      <c r="F30" s="29" t="str">
        <f ca="1">IF(INDIRECT("J" &amp; ROW())="текущие цены", IF(INDIRECT("G" &amp; ROW())="", "0", "0"), IF(INDIRECT("G" &amp; ROW())="", "56597.64","128631"))</f>
        <v>128631</v>
      </c>
      <c r="G30" s="29" t="s">
        <v>18</v>
      </c>
      <c r="H30" s="29"/>
      <c r="I30" s="29"/>
      <c r="J30" s="29" t="s">
        <v>19</v>
      </c>
      <c r="K30" s="29" t="s">
        <v>48</v>
      </c>
      <c r="L30" s="29">
        <v>1</v>
      </c>
      <c r="M30" s="29" t="s">
        <v>34</v>
      </c>
      <c r="N30" s="30">
        <f ca="1">IF(INDIRECT("J" &amp; ROW())="текущие цены", 0/1000, 56597.64/1000)</f>
        <v>56.597639999999998</v>
      </c>
      <c r="O30" s="9"/>
      <c r="P30" s="9"/>
      <c r="Q30" s="9"/>
      <c r="R30" s="9"/>
      <c r="S30" s="9"/>
    </row>
    <row r="31" spans="1:25" ht="51" x14ac:dyDescent="0.2">
      <c r="A31" s="26">
        <v>12</v>
      </c>
      <c r="B31" s="27" t="s">
        <v>49</v>
      </c>
      <c r="C31" s="27" t="s">
        <v>50</v>
      </c>
      <c r="D31" s="28" t="str">
        <f ca="1">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</f>
        <v>1 * 20273 * 0,4*1,1</v>
      </c>
      <c r="E31" s="29">
        <f>IF( 1 = "","0",1)</f>
        <v>1</v>
      </c>
      <c r="F31" s="29" t="str">
        <f ca="1">IF(INDIRECT("J" &amp; ROW())="текущие цены", IF(INDIRECT("G" &amp; ROW())="", "0", "0"), IF(INDIRECT("G" &amp; ROW())="", "8920.12","20273"))</f>
        <v>20273</v>
      </c>
      <c r="G31" s="29" t="s">
        <v>18</v>
      </c>
      <c r="H31" s="29"/>
      <c r="I31" s="29"/>
      <c r="J31" s="29" t="s">
        <v>19</v>
      </c>
      <c r="K31" s="29" t="s">
        <v>48</v>
      </c>
      <c r="L31" s="29">
        <v>1</v>
      </c>
      <c r="M31" s="29" t="s">
        <v>21</v>
      </c>
      <c r="N31" s="30">
        <f ca="1">IF(INDIRECT("J" &amp; ROW())="текущие цены", 0/1000, 8920.12/1000)</f>
        <v>8.9201200000000007</v>
      </c>
      <c r="O31" s="9"/>
      <c r="P31" s="9"/>
      <c r="Q31" s="9"/>
      <c r="R31" s="9"/>
      <c r="S31" s="9"/>
    </row>
    <row r="32" spans="1:25" ht="51" x14ac:dyDescent="0.2">
      <c r="A32" s="26">
        <v>13</v>
      </c>
      <c r="B32" s="27" t="s">
        <v>49</v>
      </c>
      <c r="C32" s="27" t="s">
        <v>51</v>
      </c>
      <c r="D32" s="28" t="str">
        <f ca="1">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</f>
        <v>500 * 140 * 0,4*1,1</v>
      </c>
      <c r="E32" s="29">
        <f>IF( 500 = "","0",500)</f>
        <v>500</v>
      </c>
      <c r="F32" s="29" t="str">
        <f ca="1">IF(INDIRECT("J" &amp; ROW())="текущие цены", IF(INDIRECT("G" &amp; ROW())="", "0", "0"), IF(INDIRECT("G" &amp; ROW())="", "61.6","140"))</f>
        <v>140</v>
      </c>
      <c r="G32" s="29" t="s">
        <v>18</v>
      </c>
      <c r="H32" s="29"/>
      <c r="I32" s="29"/>
      <c r="J32" s="29" t="s">
        <v>19</v>
      </c>
      <c r="K32" s="29" t="s">
        <v>48</v>
      </c>
      <c r="L32" s="29">
        <v>1</v>
      </c>
      <c r="M32" s="29" t="s">
        <v>52</v>
      </c>
      <c r="N32" s="30">
        <f ca="1">IF(INDIRECT("J" &amp; ROW())="текущие цены", 0/1000, 30800/1000)</f>
        <v>30.8</v>
      </c>
      <c r="O32" s="9"/>
      <c r="P32" s="9"/>
      <c r="Q32" s="9"/>
      <c r="R32" s="9"/>
      <c r="S32" s="9"/>
    </row>
    <row r="33" spans="1:19" ht="17.850000000000001" customHeight="1" x14ac:dyDescent="0.2">
      <c r="A33" s="24" t="s">
        <v>53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9"/>
      <c r="P33" s="9"/>
      <c r="Q33" s="9"/>
      <c r="R33" s="9"/>
      <c r="S33" s="9"/>
    </row>
    <row r="34" spans="1:19" ht="51" x14ac:dyDescent="0.2">
      <c r="A34" s="26">
        <v>18</v>
      </c>
      <c r="B34" s="27" t="s">
        <v>54</v>
      </c>
      <c r="C34" s="27" t="s">
        <v>55</v>
      </c>
      <c r="D34" s="28" t="str">
        <f ca="1">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</f>
        <v>1 * 1781790 * 0,4</v>
      </c>
      <c r="E34" s="29">
        <f>IF( 1 = "","0",1)</f>
        <v>1</v>
      </c>
      <c r="F34" s="29" t="str">
        <f ca="1">IF(INDIRECT("J" &amp; ROW())="текущие цены", IF(INDIRECT("G" &amp; ROW())="", "0", "0"), IF(INDIRECT("G" &amp; ROW())="", "712716","1781790"))</f>
        <v>1781790</v>
      </c>
      <c r="G34" s="29">
        <v>0.4</v>
      </c>
      <c r="H34" s="29"/>
      <c r="I34" s="29"/>
      <c r="J34" s="29" t="s">
        <v>19</v>
      </c>
      <c r="K34" s="29" t="s">
        <v>56</v>
      </c>
      <c r="L34" s="29">
        <v>1</v>
      </c>
      <c r="M34" s="29" t="s">
        <v>21</v>
      </c>
      <c r="N34" s="30">
        <f ca="1">IF(INDIRECT("J" &amp; ROW())="текущие цены", 0/1000, 712716/1000)</f>
        <v>712.71600000000001</v>
      </c>
      <c r="O34" s="9"/>
      <c r="P34" s="9"/>
      <c r="Q34" s="9"/>
      <c r="R34" s="9"/>
      <c r="S34" s="9"/>
    </row>
    <row r="35" spans="1:19" ht="51" x14ac:dyDescent="0.2">
      <c r="A35" s="26">
        <v>19</v>
      </c>
      <c r="B35" s="27" t="s">
        <v>54</v>
      </c>
      <c r="C35" s="27" t="s">
        <v>57</v>
      </c>
      <c r="D35" s="28" t="str">
        <f ca="1">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</f>
        <v>1,5 * 611820 * 0,4</v>
      </c>
      <c r="E35" s="29">
        <f>IF( 1.5 = "","0",1.5)</f>
        <v>1.5</v>
      </c>
      <c r="F35" s="29" t="str">
        <f ca="1">IF(INDIRECT("J" &amp; ROW())="текущие цены", IF(INDIRECT("G" &amp; ROW())="", "0", "0"), IF(INDIRECT("G" &amp; ROW())="", "244728","611820"))</f>
        <v>611820</v>
      </c>
      <c r="G35" s="29">
        <v>0.4</v>
      </c>
      <c r="H35" s="29"/>
      <c r="I35" s="29"/>
      <c r="J35" s="29" t="s">
        <v>19</v>
      </c>
      <c r="K35" s="29" t="s">
        <v>56</v>
      </c>
      <c r="L35" s="29">
        <v>1</v>
      </c>
      <c r="M35" s="29" t="s">
        <v>58</v>
      </c>
      <c r="N35" s="30">
        <f ca="1">IF(INDIRECT("J" &amp; ROW())="текущие цены", 0/1000, 367092/1000)</f>
        <v>367.09199999999998</v>
      </c>
      <c r="O35" s="9"/>
      <c r="P35" s="9"/>
      <c r="Q35" s="9"/>
      <c r="R35" s="9"/>
      <c r="S35" s="9"/>
    </row>
    <row r="36" spans="1:19" ht="51" x14ac:dyDescent="0.2">
      <c r="A36" s="26">
        <v>20</v>
      </c>
      <c r="B36" s="27" t="s">
        <v>59</v>
      </c>
      <c r="C36" s="27" t="s">
        <v>60</v>
      </c>
      <c r="D36" s="28" t="str">
        <f ca="1">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</f>
        <v xml:space="preserve">2 * 21600 </v>
      </c>
      <c r="E36" s="29">
        <f>IF( 2 = "","0",2)</f>
        <v>2</v>
      </c>
      <c r="F36" s="29" t="str">
        <f ca="1">IF(INDIRECT("J" &amp; ROW())="текущие цены", IF(INDIRECT("G" &amp; ROW())="", "0", "0"), IF(INDIRECT("G" &amp; ROW())="", "21600","21600"))</f>
        <v>21600</v>
      </c>
      <c r="G36" s="29"/>
      <c r="H36" s="29"/>
      <c r="I36" s="29"/>
      <c r="J36" s="29" t="s">
        <v>19</v>
      </c>
      <c r="K36" s="29"/>
      <c r="L36" s="29">
        <v>1</v>
      </c>
      <c r="M36" s="29" t="s">
        <v>61</v>
      </c>
      <c r="N36" s="30">
        <f ca="1">IF(INDIRECT("J" &amp; ROW())="текущие цены", 0/1000, 43200/1000)</f>
        <v>43.2</v>
      </c>
      <c r="O36" s="9"/>
      <c r="P36" s="9"/>
      <c r="Q36" s="9"/>
      <c r="R36" s="9"/>
      <c r="S36" s="9"/>
    </row>
    <row r="37" spans="1:19" ht="51" x14ac:dyDescent="0.2">
      <c r="A37" s="26">
        <v>21</v>
      </c>
      <c r="B37" s="27" t="s">
        <v>62</v>
      </c>
      <c r="C37" s="27" t="s">
        <v>63</v>
      </c>
      <c r="D37" s="28" t="str">
        <f ca="1">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</f>
        <v xml:space="preserve">1 * 1432 </v>
      </c>
      <c r="E37" s="29">
        <f>IF( 1 = "","0",1)</f>
        <v>1</v>
      </c>
      <c r="F37" s="29" t="str">
        <f ca="1">IF(INDIRECT("J" &amp; ROW())="текущие цены", IF(INDIRECT("G" &amp; ROW())="", "0", "0"), IF(INDIRECT("G" &amp; ROW())="", "1432","1432"))</f>
        <v>1432</v>
      </c>
      <c r="G37" s="29"/>
      <c r="H37" s="29"/>
      <c r="I37" s="29"/>
      <c r="J37" s="29" t="s">
        <v>19</v>
      </c>
      <c r="K37" s="29"/>
      <c r="L37" s="29">
        <v>1</v>
      </c>
      <c r="M37" s="29" t="s">
        <v>21</v>
      </c>
      <c r="N37" s="30">
        <f ca="1">IF(INDIRECT("J" &amp; ROW())="текущие цены", 0/1000, 1432/1000)</f>
        <v>1.4319999999999999</v>
      </c>
      <c r="O37" s="9"/>
      <c r="P37" s="9"/>
      <c r="Q37" s="9"/>
      <c r="R37" s="9"/>
      <c r="S37" s="9"/>
    </row>
    <row r="38" spans="1:19" ht="102" x14ac:dyDescent="0.2">
      <c r="A38" s="26">
        <v>22</v>
      </c>
      <c r="B38" s="27" t="s">
        <v>64</v>
      </c>
      <c r="C38" s="27" t="s">
        <v>65</v>
      </c>
      <c r="D38" s="28" t="str">
        <f ca="1">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</f>
        <v xml:space="preserve">2 * 3646 </v>
      </c>
      <c r="E38" s="29">
        <f>IF( 2 = "","0",2)</f>
        <v>2</v>
      </c>
      <c r="F38" s="29" t="str">
        <f ca="1">IF(INDIRECT("J" &amp; ROW())="текущие цены", IF(INDIRECT("G" &amp; ROW())="", "0", "0"), IF(INDIRECT("G" &amp; ROW())="", "3646","3646"))</f>
        <v>3646</v>
      </c>
      <c r="G38" s="29"/>
      <c r="H38" s="29"/>
      <c r="I38" s="29"/>
      <c r="J38" s="29" t="s">
        <v>19</v>
      </c>
      <c r="K38" s="29"/>
      <c r="L38" s="29">
        <v>1</v>
      </c>
      <c r="M38" s="29" t="s">
        <v>66</v>
      </c>
      <c r="N38" s="30">
        <f ca="1">IF(INDIRECT("J" &amp; ROW())="текущие цены", 0/1000, 7292/1000)</f>
        <v>7.2919999999999998</v>
      </c>
      <c r="O38" s="9"/>
      <c r="P38" s="9"/>
      <c r="Q38" s="9"/>
      <c r="R38" s="9"/>
      <c r="S38" s="9"/>
    </row>
    <row r="39" spans="1:19" ht="17.850000000000001" customHeight="1" x14ac:dyDescent="0.2">
      <c r="A39" s="24" t="s">
        <v>67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9"/>
      <c r="P39" s="9"/>
      <c r="Q39" s="9"/>
      <c r="R39" s="9"/>
      <c r="S39" s="9"/>
    </row>
    <row r="40" spans="1:19" ht="51" x14ac:dyDescent="0.2">
      <c r="A40" s="26">
        <v>23</v>
      </c>
      <c r="B40" s="27" t="s">
        <v>68</v>
      </c>
      <c r="C40" s="27" t="s">
        <v>69</v>
      </c>
      <c r="D40" s="28" t="str">
        <f ca="1">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</f>
        <v>1,5 * 25262 * 0,4*1,1</v>
      </c>
      <c r="E40" s="29">
        <f>IF( 1.5 = "","0",1.5)</f>
        <v>1.5</v>
      </c>
      <c r="F40" s="29" t="str">
        <f ca="1">IF(INDIRECT("J" &amp; ROW())="текущие цены", IF(INDIRECT("G" &amp; ROW())="", "0", "0"), IF(INDIRECT("G" &amp; ROW())="", "11115.28","25262"))</f>
        <v>25262</v>
      </c>
      <c r="G40" s="29" t="s">
        <v>18</v>
      </c>
      <c r="H40" s="29"/>
      <c r="I40" s="29"/>
      <c r="J40" s="29" t="s">
        <v>19</v>
      </c>
      <c r="K40" s="29" t="s">
        <v>48</v>
      </c>
      <c r="L40" s="29">
        <v>1</v>
      </c>
      <c r="M40" s="29" t="s">
        <v>70</v>
      </c>
      <c r="N40" s="30">
        <f ca="1">IF(INDIRECT("J" &amp; ROW())="текущие цены", 0/1000, 16672.92/1000)</f>
        <v>16.672919999999998</v>
      </c>
      <c r="O40" s="9"/>
      <c r="P40" s="9"/>
      <c r="Q40" s="9"/>
      <c r="R40" s="9"/>
      <c r="S40" s="9"/>
    </row>
    <row r="41" spans="1:19" ht="51" x14ac:dyDescent="0.2">
      <c r="A41" s="26">
        <v>24</v>
      </c>
      <c r="B41" s="27" t="s">
        <v>71</v>
      </c>
      <c r="C41" s="27" t="s">
        <v>72</v>
      </c>
      <c r="D41" s="28" t="str">
        <f ca="1">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</f>
        <v>1,5 * 833865 * 0,4</v>
      </c>
      <c r="E41" s="29">
        <f>IF( 1.5 = "","0",1.5)</f>
        <v>1.5</v>
      </c>
      <c r="F41" s="29" t="str">
        <f ca="1">IF(INDIRECT("J" &amp; ROW())="текущие цены", IF(INDIRECT("G" &amp; ROW())="", "0", "0"), IF(INDIRECT("G" &amp; ROW())="", "333546","833865"))</f>
        <v>833865</v>
      </c>
      <c r="G41" s="29">
        <v>0.4</v>
      </c>
      <c r="H41" s="29"/>
      <c r="I41" s="29"/>
      <c r="J41" s="29" t="s">
        <v>19</v>
      </c>
      <c r="K41" s="29" t="s">
        <v>56</v>
      </c>
      <c r="L41" s="29">
        <v>1</v>
      </c>
      <c r="M41" s="29" t="s">
        <v>58</v>
      </c>
      <c r="N41" s="30">
        <f ca="1">IF(INDIRECT("J" &amp; ROW())="текущие цены", 0/1000, 500319/1000)</f>
        <v>500.31900000000002</v>
      </c>
      <c r="O41" s="9"/>
      <c r="P41" s="9"/>
      <c r="Q41" s="9"/>
      <c r="R41" s="9"/>
      <c r="S41" s="9"/>
    </row>
    <row r="42" spans="1:19" ht="17.850000000000001" customHeight="1" x14ac:dyDescent="0.2">
      <c r="A42" s="24" t="s">
        <v>73</v>
      </c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9"/>
      <c r="P42" s="9"/>
      <c r="Q42" s="9"/>
      <c r="R42" s="9"/>
      <c r="S42" s="9"/>
    </row>
    <row r="43" spans="1:19" ht="76.5" x14ac:dyDescent="0.2">
      <c r="A43" s="26">
        <v>25</v>
      </c>
      <c r="B43" s="27" t="s">
        <v>74</v>
      </c>
      <c r="C43" s="27" t="s">
        <v>75</v>
      </c>
      <c r="D43" s="28" t="str">
        <f ca="1">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</f>
        <v>1 * 1970 * 0,4</v>
      </c>
      <c r="E43" s="29">
        <f>IF( 1 = "","0",1)</f>
        <v>1</v>
      </c>
      <c r="F43" s="29" t="str">
        <f ca="1">IF(INDIRECT("J" &amp; ROW())="текущие цены", IF(INDIRECT("G" &amp; ROW())="", "0", "0"), IF(INDIRECT("G" &amp; ROW())="", "788","1970"))</f>
        <v>1970</v>
      </c>
      <c r="G43" s="29">
        <v>0.4</v>
      </c>
      <c r="H43" s="29"/>
      <c r="I43" s="29"/>
      <c r="J43" s="29" t="s">
        <v>19</v>
      </c>
      <c r="K43" s="29" t="s">
        <v>56</v>
      </c>
      <c r="L43" s="29">
        <v>1</v>
      </c>
      <c r="M43" s="29" t="s">
        <v>21</v>
      </c>
      <c r="N43" s="30">
        <f ca="1">IF(INDIRECT("J" &amp; ROW())="текущие цены", 0/1000, 788/1000)</f>
        <v>0.78800000000000003</v>
      </c>
      <c r="O43" s="9"/>
      <c r="P43" s="9"/>
      <c r="Q43" s="9"/>
      <c r="R43" s="9"/>
      <c r="S43" s="9"/>
    </row>
    <row r="44" spans="1:19" ht="76.5" x14ac:dyDescent="0.2">
      <c r="A44" s="31">
        <v>26</v>
      </c>
      <c r="B44" s="32" t="s">
        <v>74</v>
      </c>
      <c r="C44" s="32" t="s">
        <v>76</v>
      </c>
      <c r="D44" s="33" t="str">
        <f ca="1">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</f>
        <v>2 * 2780 * 0,4</v>
      </c>
      <c r="E44" s="34">
        <f>IF( 2 = "","0",2)</f>
        <v>2</v>
      </c>
      <c r="F44" s="34" t="str">
        <f ca="1">IF(INDIRECT("J" &amp; ROW())="текущие цены", IF(INDIRECT("G" &amp; ROW())="", "0", "0"), IF(INDIRECT("G" &amp; ROW())="", "1112","2780"))</f>
        <v>2780</v>
      </c>
      <c r="G44" s="34">
        <v>0.4</v>
      </c>
      <c r="H44" s="34"/>
      <c r="I44" s="34"/>
      <c r="J44" s="34" t="s">
        <v>19</v>
      </c>
      <c r="K44" s="34" t="s">
        <v>56</v>
      </c>
      <c r="L44" s="34">
        <v>1</v>
      </c>
      <c r="M44" s="34" t="s">
        <v>58</v>
      </c>
      <c r="N44" s="35">
        <f ca="1">IF(INDIRECT("J" &amp; ROW())="текущие цены", 0/1000, 2224/1000)</f>
        <v>2.2240000000000002</v>
      </c>
      <c r="O44" s="9"/>
      <c r="P44" s="9"/>
      <c r="Q44" s="9"/>
      <c r="R44" s="9"/>
      <c r="S44" s="9"/>
    </row>
    <row r="45" spans="1:19" x14ac:dyDescent="0.2">
      <c r="A45" s="36" t="s">
        <v>77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8">
        <f>2416947.57/1000</f>
        <v>2416.9475699999998</v>
      </c>
      <c r="O45" s="9"/>
      <c r="P45" s="9"/>
      <c r="Q45" s="9"/>
      <c r="R45" s="9"/>
      <c r="S45" s="9"/>
    </row>
    <row r="46" spans="1:19" x14ac:dyDescent="0.2">
      <c r="A46" s="39" t="s">
        <v>78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1"/>
      <c r="O46" s="9"/>
      <c r="P46" s="9"/>
      <c r="Q46" s="9"/>
      <c r="R46" s="9"/>
      <c r="S46" s="9"/>
    </row>
    <row r="47" spans="1:19" ht="27.95" customHeight="1" x14ac:dyDescent="0.2">
      <c r="A47" s="36" t="s">
        <v>79</v>
      </c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8">
        <f>668893.89/1000</f>
        <v>668.89389000000006</v>
      </c>
      <c r="O47" s="9"/>
      <c r="P47" s="9"/>
      <c r="Q47" s="9"/>
      <c r="R47" s="9"/>
      <c r="S47" s="9"/>
    </row>
    <row r="48" spans="1:19" x14ac:dyDescent="0.2">
      <c r="A48" s="36" t="s">
        <v>80</v>
      </c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8">
        <f>121714.68/1000</f>
        <v>121.71467999999999</v>
      </c>
      <c r="O48" s="9"/>
      <c r="P48" s="9"/>
      <c r="Q48" s="9"/>
      <c r="R48" s="9"/>
      <c r="S48" s="9"/>
    </row>
    <row r="49" spans="1:19" ht="27.95" customHeight="1" x14ac:dyDescent="0.2">
      <c r="A49" s="36" t="s">
        <v>81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8">
        <f>1623327/1000</f>
        <v>1623.327</v>
      </c>
      <c r="O49" s="9"/>
      <c r="P49" s="9"/>
      <c r="Q49" s="9"/>
      <c r="R49" s="9"/>
      <c r="S49" s="9"/>
    </row>
    <row r="50" spans="1:19" ht="27.95" customHeight="1" x14ac:dyDescent="0.2">
      <c r="A50" s="36" t="s">
        <v>82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8">
        <f>3012/1000</f>
        <v>3.012</v>
      </c>
      <c r="O50" s="9"/>
      <c r="P50" s="9"/>
      <c r="Q50" s="9"/>
      <c r="R50" s="9"/>
      <c r="S50" s="9"/>
    </row>
    <row r="51" spans="1:19" x14ac:dyDescent="0.2">
      <c r="A51" s="36" t="s">
        <v>83</v>
      </c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8">
        <f>2416947.57/1000</f>
        <v>2416.9475699999998</v>
      </c>
      <c r="O51" s="9"/>
      <c r="P51" s="9"/>
      <c r="Q51" s="9"/>
      <c r="R51" s="9"/>
      <c r="S51" s="9"/>
    </row>
    <row r="52" spans="1:19" ht="27.95" customHeight="1" x14ac:dyDescent="0.2">
      <c r="A52" s="36" t="s">
        <v>84</v>
      </c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8">
        <f>4954742.52/1000</f>
        <v>4954.7425199999998</v>
      </c>
      <c r="O52" s="9"/>
      <c r="P52" s="9"/>
      <c r="Q52" s="9"/>
      <c r="R52" s="9"/>
      <c r="S52" s="9"/>
    </row>
    <row r="53" spans="1:19" x14ac:dyDescent="0.2">
      <c r="A53" s="36" t="s">
        <v>85</v>
      </c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8">
        <f>4211531.14/1000</f>
        <v>4211.5311400000001</v>
      </c>
      <c r="O53" s="9"/>
      <c r="P53" s="9"/>
      <c r="Q53" s="9"/>
      <c r="R53" s="9"/>
      <c r="S53" s="9"/>
    </row>
    <row r="54" spans="1:19" x14ac:dyDescent="0.2">
      <c r="A54" s="36" t="s">
        <v>86</v>
      </c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8"/>
      <c r="O54" s="9"/>
      <c r="P54" s="9"/>
      <c r="Q54" s="9"/>
      <c r="R54" s="9"/>
      <c r="S54" s="9"/>
    </row>
    <row r="55" spans="1:19" x14ac:dyDescent="0.2">
      <c r="A55" s="36" t="s">
        <v>87</v>
      </c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8">
        <f>758075.61/1000</f>
        <v>758.07560999999998</v>
      </c>
      <c r="O55" s="9"/>
      <c r="P55" s="9"/>
      <c r="Q55" s="9"/>
      <c r="R55" s="9"/>
      <c r="S55" s="9"/>
    </row>
    <row r="56" spans="1:19" x14ac:dyDescent="0.2">
      <c r="A56" s="39" t="s">
        <v>88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1">
        <f>4969606.75/1000</f>
        <v>4969.6067499999999</v>
      </c>
      <c r="O56" s="9"/>
      <c r="P56" s="9"/>
      <c r="Q56" s="9"/>
      <c r="R56" s="9"/>
      <c r="S56" s="9"/>
    </row>
    <row r="57" spans="1:19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10"/>
      <c r="P57" s="10"/>
      <c r="Q57" s="10"/>
      <c r="R57" s="10"/>
      <c r="S57" s="10"/>
    </row>
    <row r="58" spans="1:19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9" x14ac:dyDescent="0.2">
      <c r="A59" s="1" t="s">
        <v>4</v>
      </c>
      <c r="B59" s="2"/>
      <c r="C59" s="11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1:19" x14ac:dyDescent="0.2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19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1:19" x14ac:dyDescent="0.2">
      <c r="A62" s="1" t="s">
        <v>5</v>
      </c>
      <c r="B62" s="2"/>
      <c r="C62" s="11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4" spans="1:19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</row>
  </sheetData>
  <mergeCells count="27">
    <mergeCell ref="A52:M52"/>
    <mergeCell ref="A53:M53"/>
    <mergeCell ref="A54:M54"/>
    <mergeCell ref="A55:M55"/>
    <mergeCell ref="A56:M56"/>
    <mergeCell ref="A46:M46"/>
    <mergeCell ref="A47:M47"/>
    <mergeCell ref="A48:M48"/>
    <mergeCell ref="A49:M49"/>
    <mergeCell ref="A50:M50"/>
    <mergeCell ref="A51:M51"/>
    <mergeCell ref="A25:N25"/>
    <mergeCell ref="A29:N29"/>
    <mergeCell ref="A33:N33"/>
    <mergeCell ref="A39:N39"/>
    <mergeCell ref="A42:N42"/>
    <mergeCell ref="A45:M45"/>
    <mergeCell ref="A64:N64"/>
    <mergeCell ref="A1:D1"/>
    <mergeCell ref="A3:N3"/>
    <mergeCell ref="A4:N4"/>
    <mergeCell ref="A7:N7"/>
    <mergeCell ref="C12:N12"/>
    <mergeCell ref="A2:D2"/>
    <mergeCell ref="A10:N10"/>
    <mergeCell ref="A16:N16"/>
    <mergeCell ref="A17:N17"/>
  </mergeCells>
  <phoneticPr fontId="4" type="noConversion"/>
  <pageMargins left="0.78740157480314965" right="0.39370078740157483" top="0.39370078740157483" bottom="0.39370078740157483" header="0.23622047244094491" footer="0.23622047244094491"/>
  <pageSetup paperSize="9" scale="97" fitToHeight="30000" orientation="portrait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3" r:id="rId4" name="Button 29">
              <controlPr defaultSize="0" print="0" autoFill="0" autoPict="0" macro="[0]!Лист1.CollapseRows">
                <anchor moveWithCells="1" sizeWithCells="1">
                  <from>
                    <xdr:col>1</xdr:col>
                    <xdr:colOff>28575</xdr:colOff>
                    <xdr:row>13</xdr:row>
                    <xdr:rowOff>1057275</xdr:rowOff>
                  </from>
                  <to>
                    <xdr:col>1</xdr:col>
                    <xdr:colOff>1000125</xdr:colOff>
                    <xdr:row>13</xdr:row>
                    <xdr:rowOff>1266825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2"/>
  <sheetViews>
    <sheetView workbookViewId="0">
      <selection activeCell="A12" sqref="A12"/>
    </sheetView>
  </sheetViews>
  <sheetFormatPr defaultRowHeight="12.75" x14ac:dyDescent="0.2"/>
  <sheetData>
    <row r="12" spans="1:1" x14ac:dyDescent="0.2">
      <c r="A12">
        <f>MAX('Мои данные'!L:L)</f>
        <v>1</v>
      </c>
    </row>
  </sheetData>
  <sheetCalcPr fullCalcOnLoa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Вспомогательный</vt:lpstr>
      <vt:lpstr>'Мои данные'!Заголовки_для_печати</vt:lpstr>
      <vt:lpstr>'Мои данные'!Область_печати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dc:description>17.05.2010</dc:description>
  <cp:lastModifiedBy>admin</cp:lastModifiedBy>
  <cp:lastPrinted>2009-09-21T09:31:36Z</cp:lastPrinted>
  <dcterms:created xsi:type="dcterms:W3CDTF">2007-02-21T08:42:24Z</dcterms:created>
  <dcterms:modified xsi:type="dcterms:W3CDTF">2015-01-13T06:59:03Z</dcterms:modified>
</cp:coreProperties>
</file>