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 activeTab="7"/>
  </bookViews>
  <sheets>
    <sheet name="ССР 12-1" sheetId="5" r:id="rId1"/>
    <sheet name="12-1-1" sheetId="2" r:id="rId2"/>
    <sheet name="12-1-2" sheetId="3" r:id="rId3"/>
    <sheet name="12-1-3" sheetId="4" r:id="rId4"/>
    <sheet name="12-1-4" sheetId="1" r:id="rId5"/>
    <sheet name="12-1-5" sheetId="6" r:id="rId6"/>
    <sheet name="12-1-6" sheetId="7" r:id="rId7"/>
    <sheet name="12-1-7" sheetId="8" r:id="rId8"/>
  </sheets>
  <calcPr calcId="144525"/>
</workbook>
</file>

<file path=xl/calcChain.xml><?xml version="1.0" encoding="utf-8"?>
<calcChain xmlns="http://schemas.openxmlformats.org/spreadsheetml/2006/main">
  <c r="H23" i="5" l="1"/>
  <c r="H22" i="5"/>
  <c r="H21" i="5"/>
  <c r="H18" i="5"/>
  <c r="G30" i="6"/>
  <c r="G29" i="6"/>
  <c r="G28" i="6"/>
  <c r="G25" i="6"/>
  <c r="G26" i="6" s="1"/>
  <c r="G27" i="6" s="1"/>
  <c r="E25" i="6"/>
  <c r="B25" i="6"/>
  <c r="F25" i="6"/>
  <c r="G21" i="6"/>
  <c r="G19" i="6"/>
  <c r="G18" i="6"/>
  <c r="G17" i="6"/>
  <c r="G20" i="6"/>
  <c r="E20" i="6"/>
  <c r="E19" i="6"/>
  <c r="E18" i="6"/>
  <c r="E17" i="6"/>
  <c r="F17" i="6"/>
  <c r="F27" i="7"/>
  <c r="F26" i="8"/>
  <c r="F25" i="8"/>
  <c r="F24" i="8"/>
  <c r="F22" i="8"/>
  <c r="F21" i="8"/>
  <c r="F20" i="8"/>
  <c r="F18" i="8"/>
  <c r="F23" i="8" s="1"/>
  <c r="F19" i="8"/>
  <c r="G22" i="6" l="1"/>
  <c r="G23" i="6" s="1"/>
  <c r="F25" i="7"/>
  <c r="F29" i="7"/>
  <c r="F21" i="7"/>
  <c r="F30" i="7" l="1"/>
  <c r="F28" i="7"/>
  <c r="F24" i="7"/>
  <c r="F26" i="7" l="1"/>
  <c r="F23" i="7" l="1"/>
  <c r="F22" i="7"/>
  <c r="F38" i="7"/>
  <c r="F31" i="8"/>
  <c r="E31" i="8"/>
  <c r="F27" i="8" l="1"/>
  <c r="F28" i="8" s="1"/>
  <c r="F29" i="8" s="1"/>
  <c r="F30" i="8" s="1"/>
  <c r="F31" i="7"/>
  <c r="F32" i="7"/>
  <c r="F33" i="7" s="1"/>
  <c r="E38" i="7" s="1"/>
  <c r="F39" i="7"/>
  <c r="F40" i="7" s="1"/>
  <c r="F32" i="8"/>
  <c r="F33" i="8" s="1"/>
  <c r="G24" i="4"/>
  <c r="G22" i="4"/>
  <c r="G23" i="4" s="1"/>
  <c r="G25" i="4" s="1"/>
  <c r="G21" i="4"/>
  <c r="G18" i="4"/>
  <c r="G15" i="4"/>
  <c r="I77" i="3"/>
  <c r="I68" i="3"/>
  <c r="I67" i="3"/>
  <c r="I66" i="3"/>
  <c r="I65" i="3"/>
  <c r="I64" i="3"/>
  <c r="I69" i="3" s="1"/>
  <c r="I71" i="3" s="1"/>
  <c r="I59" i="3"/>
  <c r="I58" i="3"/>
  <c r="I57" i="3"/>
  <c r="I56" i="3"/>
  <c r="I55" i="3"/>
  <c r="I54" i="3"/>
  <c r="I53" i="3"/>
  <c r="I51" i="3"/>
  <c r="I50" i="3"/>
  <c r="I49" i="3"/>
  <c r="I48" i="3"/>
  <c r="I47" i="3"/>
  <c r="I60" i="3" s="1"/>
  <c r="I62" i="3" s="1"/>
  <c r="I42" i="3"/>
  <c r="I41" i="3"/>
  <c r="I40" i="3"/>
  <c r="I39" i="3"/>
  <c r="I38" i="3"/>
  <c r="I43" i="3" s="1"/>
  <c r="I45" i="3" s="1"/>
  <c r="I37" i="3"/>
  <c r="I36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32" i="3" s="1"/>
  <c r="I34" i="3" s="1"/>
  <c r="I15" i="3"/>
  <c r="G25" i="2"/>
  <c r="G26" i="2" s="1"/>
  <c r="G22" i="2"/>
  <c r="G23" i="2" s="1"/>
  <c r="G19" i="2"/>
  <c r="G16" i="2"/>
  <c r="I22" i="5"/>
  <c r="G21" i="5"/>
  <c r="G22" i="5" s="1"/>
  <c r="G23" i="5" s="1"/>
  <c r="E21" i="5"/>
  <c r="E22" i="5" s="1"/>
  <c r="E23" i="5" s="1"/>
  <c r="H20" i="5"/>
  <c r="H19" i="5"/>
  <c r="H17" i="5"/>
  <c r="H16" i="5"/>
  <c r="H15" i="5"/>
  <c r="H14" i="5"/>
  <c r="F34" i="7" l="1"/>
  <c r="F35" i="7" s="1"/>
  <c r="F36" i="7" s="1"/>
  <c r="F37" i="7" s="1"/>
  <c r="I72" i="3"/>
  <c r="I78" i="3"/>
  <c r="I79" i="3" s="1"/>
  <c r="F33" i="1"/>
  <c r="F32" i="1"/>
  <c r="F31" i="1"/>
  <c r="F30" i="1"/>
  <c r="F27" i="1"/>
  <c r="F26" i="1"/>
  <c r="F25" i="1"/>
  <c r="F24" i="1"/>
  <c r="F23" i="1"/>
  <c r="F22" i="1"/>
  <c r="F19" i="1"/>
  <c r="F28" i="1" l="1"/>
  <c r="F20" i="1"/>
  <c r="F36" i="1" s="1"/>
  <c r="F37" i="1" s="1"/>
  <c r="F38" i="1" s="1"/>
</calcChain>
</file>

<file path=xl/sharedStrings.xml><?xml version="1.0" encoding="utf-8"?>
<sst xmlns="http://schemas.openxmlformats.org/spreadsheetml/2006/main" count="730" uniqueCount="484">
  <si>
    <t>Система ПИР v. 2.6.4. (c) ООО Компания Инфострой. (Ф2ПС)</t>
  </si>
  <si>
    <t>Форма 2ПС</t>
  </si>
  <si>
    <t>1-4-обсл. страница 1</t>
  </si>
  <si>
    <t>Приложение №  к  №  от 14.11.2013</t>
  </si>
  <si>
    <t>(договору, дополнительному соглашению)</t>
  </si>
  <si>
    <t>Смета № 12-01-04</t>
  </si>
  <si>
    <t>на проектные (изыскательские) работы</t>
  </si>
  <si>
    <t>Наименование предприятия, здания, сооружения</t>
  </si>
  <si>
    <t>Стадия проектирования</t>
  </si>
  <si>
    <t>Вид проектных или изыскательских работ</t>
  </si>
  <si>
    <t>Наименование проектной (изыскательской) организации</t>
  </si>
  <si>
    <t>Наименование организации заказчика</t>
  </si>
  <si>
    <t>Сметный расчет составлен по следующим документам</t>
  </si>
  <si>
    <t>1) (СпЦ-01-01) - Методика определения стоимости работ по очистке местности от взрывоопасных предметов в сфере градостроительной деятельности. 2010 г.</t>
  </si>
  <si>
    <t>Дата создания ЛС</t>
  </si>
  <si>
    <t>Дата изменения ЛС</t>
  </si>
  <si>
    <t>№ п/п</t>
  </si>
  <si>
    <t>Характеристика предприятия, здания, сооружения или виды работ</t>
  </si>
  <si>
    <t>Номер частей, глав, таблиц, процентов, параграфов и пунктов указаний к разделу Справочника базовых цен на проектные и изыскательские работы для строительства</t>
  </si>
  <si>
    <t>Единица измерения</t>
  </si>
  <si>
    <t>Расчет стоимости: (a+bx)*Kj или (объём строительно-монтажных работ)*проц./ 100 или количество * цена</t>
  </si>
  <si>
    <t>Стоимость работ, Тыс. руб.</t>
  </si>
  <si>
    <t>Раздел 1. Камеральные работы</t>
  </si>
  <si>
    <t>га</t>
  </si>
  <si>
    <t>Радел 2. Полевые работы</t>
  </si>
  <si>
    <t>Работы внутри зданий, сооружений с наличием неработающего оборудования, мебели и других предметов</t>
  </si>
  <si>
    <t>100 м2</t>
  </si>
  <si>
    <t>471 * 0,001 * (0,2) * (1,25) * 38,216 * (3,7)</t>
  </si>
  <si>
    <t>Работы вдоль трасс линейных сооружений. Прочие линейные сооружения подземные</t>
  </si>
  <si>
    <t>п.км</t>
  </si>
  <si>
    <t>3 139 * 0,001</t>
  </si>
  <si>
    <t>Расходы по внутреннему транспорту</t>
  </si>
  <si>
    <t>%</t>
  </si>
  <si>
    <t>(19 788,7558 * 8,75%) * 0,001</t>
  </si>
  <si>
    <t>Расходы по внешнему транспорту, связанные с проездом работников и перевозкой оборудования от постоянного местонахождения организации, выполняющей работы, до непосредственного места выполнения полевых работ и обратно</t>
  </si>
  <si>
    <t>(19 788,7558 * 14%) * 0,001</t>
  </si>
  <si>
    <t>Расходы по организации и ликвидации работ на объекте</t>
  </si>
  <si>
    <t>(21 520,2719 * 6%) * 0,001</t>
  </si>
  <si>
    <t>Дежурство санитарного автомобиля с медперсоналом. Расстояние от места проведения работ до ближайшего города до 10 км</t>
  </si>
  <si>
    <t>день</t>
  </si>
  <si>
    <t>Итого "Радел 2. Полевые работы"</t>
  </si>
  <si>
    <t>Раздел 3.Прочие работы</t>
  </si>
  <si>
    <t>Затраты на внешний контроль качества</t>
  </si>
  <si>
    <t>(190 015,9141 * 10%) * 0,001</t>
  </si>
  <si>
    <t>Экспертиза рабочего плана разведки  (обследования)</t>
  </si>
  <si>
    <t>Итого "Раздел 3.Прочие работы"</t>
  </si>
  <si>
    <t>Итого "Обследования участков застройки на предмет обнаружения взрывоопасных предметов (ВОП)"</t>
  </si>
  <si>
    <t>Наименование</t>
  </si>
  <si>
    <t>Коэффициент</t>
  </si>
  <si>
    <t>Значение</t>
  </si>
  <si>
    <t>Главный инженер проекта________________________</t>
  </si>
  <si>
    <t xml:space="preserve">                                  (подпись, инициалы, фамилия)</t>
  </si>
  <si>
    <t>Составитель сметы________________________</t>
  </si>
  <si>
    <t>Итого "Раздел 1. Камеральные работы".</t>
  </si>
  <si>
    <t>2.1</t>
  </si>
  <si>
    <t>2.2</t>
  </si>
  <si>
    <t>2.3</t>
  </si>
  <si>
    <t>2.4</t>
  </si>
  <si>
    <t>2.5</t>
  </si>
  <si>
    <t>2.6</t>
  </si>
  <si>
    <t>3.1</t>
  </si>
  <si>
    <t>3.2</t>
  </si>
  <si>
    <t>Итого без НДС</t>
  </si>
  <si>
    <t>Налог на добавленную стоимость % (НДС)</t>
  </si>
  <si>
    <t>Итого по смете</t>
  </si>
  <si>
    <t>2 388 * 0,001 * 1,35 * 0,7267 * 3,7*0,5</t>
  </si>
  <si>
    <t>Методика определения стоимости работ по очистке местности от взрывоопасных предметов в сфере градостроительной деятельности 2010 г. Таб. № 4 п. 1. Сметная стоимость полевых работ 19 788,7558 руб. (до 75 000); Расстояние от базы отряда до места производства работ 5 км (до 5) от п.п.: 2.1; 2.2;</t>
  </si>
  <si>
    <t>Методика определения стоимости работ по очистке местности от взрывоопасных предметов в сфере градостроительной деятельности. 2010 г. Таб. № 3 п. 2.7.2 (I уровень сложности)</t>
  </si>
  <si>
    <t>Методика определения стоимости работ по очистке местности от взрывоопасных предметов в сфере градостроительной деятельности. 2010 г. 
1) 6% от п.п.: 2.1; 2.2; 2.3; (ОУ п. 3.7)</t>
  </si>
  <si>
    <t>6 470 * 0,001 * 3,7 * 7</t>
  </si>
  <si>
    <t>Методика определения стоимости работ по очистке местности от взрывоопасных предметов в сфере градостроительной деятельности. 2010 г. ОУ п. 3.10.4 - 10% от п.п.: 1.1; 2.1; 2.2; 2.3; 2.4; 2.5;</t>
  </si>
  <si>
    <t>(216 490,5661 * 11,88%) * 0,001 * 0,2</t>
  </si>
  <si>
    <t>Итого по смете:  Двести шестьдесят одна тысяча пятьсот двадцать восемь рублей.</t>
  </si>
  <si>
    <t>Камеральные работы при площади участка местности, подлежащего очистке от взрывоопасных предметов до 1 га (Sтерритории = 0,7267 га)</t>
  </si>
  <si>
    <t>Методика определения стоимости работ по очистке местности от взрывоопасных предметов в сфере градостроительной деятельности 2010 г. Таб. № 5 п. 1
(Продолжительность работ до 1 мес.; Расстояние проезда и перевозки в одном направлении 25-100 км) - 14% от п.п.: 2.1; 2.2;</t>
  </si>
  <si>
    <t>Методика определения стоимости работ по очистке местности от взрывоопасных предметов в сфере градостроительной деятельности. 2010 г. 
1) К=0,2 - ОУ п.3.13.2 
2) 11,88% от п.п.: 1.1; 2.1; 2.3; 2.4; 2.6; 3.1; (Выполнение экспертизы сметной документации привлеченной экспертной организацией-Постановления Правительства Российской Федерации от 5 марта 2007 г. №145 "О порядке организации и проведения государственной экспертизы проектной документации и результатов инженерных изысканий"</t>
  </si>
  <si>
    <t>Форма № 1пс</t>
  </si>
  <si>
    <t xml:space="preserve">Приложение к  </t>
  </si>
  <si>
    <t>СМЕТА №12-01</t>
  </si>
  <si>
    <t>на проектные и изыскательские работы</t>
  </si>
  <si>
    <t xml:space="preserve">Наименование проектной организации - генерального проектировщика:   </t>
  </si>
  <si>
    <t xml:space="preserve">Наименование организации заказчика:    </t>
  </si>
  <si>
    <t>Составлена в ценах по состоянию на 3 квартал 2014г.</t>
  </si>
  <si>
    <t>№ п.п.</t>
  </si>
  <si>
    <t>Перечень выполняемых работ</t>
  </si>
  <si>
    <t>Ссылка на № сметы по формам 2п и 3п</t>
  </si>
  <si>
    <t>Стоимость работ (тыс. руб.)</t>
  </si>
  <si>
    <t>Изыскательских</t>
  </si>
  <si>
    <t>Проектных</t>
  </si>
  <si>
    <t>Всего</t>
  </si>
  <si>
    <t>Инженерно-геодезические работы</t>
  </si>
  <si>
    <t xml:space="preserve"> 12-01-01</t>
  </si>
  <si>
    <t>Инженерно-экологические изыскания</t>
  </si>
  <si>
    <t xml:space="preserve"> 12-01-02</t>
  </si>
  <si>
    <t>Радиационное обследование территории</t>
  </si>
  <si>
    <t xml:space="preserve"> 12-01-03</t>
  </si>
  <si>
    <t xml:space="preserve">Обследования участков застройки на предмет обнаружения взрывоопасных предметов </t>
  </si>
  <si>
    <t xml:space="preserve"> 12-01-04</t>
  </si>
  <si>
    <t>Обмеры и обследование строительных конструкций здания бассейна</t>
  </si>
  <si>
    <t xml:space="preserve"> 12-01-05</t>
  </si>
  <si>
    <t>Проектные работы. Стадия "Проектная документация"</t>
  </si>
  <si>
    <t xml:space="preserve"> 12-01-06</t>
  </si>
  <si>
    <t>Проектные работы. Стадия "Рабочая документация"</t>
  </si>
  <si>
    <t xml:space="preserve"> 12-01-07</t>
  </si>
  <si>
    <t>Итого в ценах 3-го квартала 2014г.</t>
  </si>
  <si>
    <t>НДС 18%</t>
  </si>
  <si>
    <t>Всего по смете с НДС</t>
  </si>
  <si>
    <t>(сумма прописью)</t>
  </si>
  <si>
    <t>подпись (инициалы, фамилия)</t>
  </si>
  <si>
    <t>Главный инженер проекта ____________________________________  (                            )</t>
  </si>
  <si>
    <t>подпись (фамилия, инициалы)</t>
  </si>
  <si>
    <t>Место печати              "___" _________________ 20___г.</t>
  </si>
  <si>
    <t>Согласована:</t>
  </si>
  <si>
    <t/>
  </si>
  <si>
    <t>Ответственный представитель заказчика _______________________  (                      )</t>
  </si>
  <si>
    <t xml:space="preserve">Приложение №  к  №  от </t>
  </si>
  <si>
    <t>Смета № 12-01-01</t>
  </si>
  <si>
    <t>Вид проектных или
изыскательских работ</t>
  </si>
  <si>
    <t>Наименование организации -
Заказчика</t>
  </si>
  <si>
    <t>Сметный расчет составлен по
следующим документам</t>
  </si>
  <si>
    <t xml:space="preserve">СиЦ-2004 - Справочник базовых цен на инженерные для строительства. 
Инженерно-геодезические изыскания. 2004 г. </t>
  </si>
  <si>
    <t>Расчет стоимости: (a+bx)*Kj или (стоимость строительно-монтажных работ)*проц./ 100 или количество * цена</t>
  </si>
  <si>
    <t>Полевые работы</t>
  </si>
  <si>
    <t>1.1</t>
  </si>
  <si>
    <t>Составление инженерно-топографических планов в масштабе 1:500 с сечением рельефа высотой 0,5 м на застроенной территории.
Застроенная площадь территории  = 0,3822 га</t>
  </si>
  <si>
    <t>СиЦ-2004
Часть 1 Глава 2 Таблица 9-п.5
(II категория сложности, вид территории - застроенная)
1) К=1.55 - прим. к табл.09 п.4б
2) К=0.85 - ОУС п.14.1
3) К=1.75 - ОУС п.15е</t>
  </si>
  <si>
    <t>3 284 * 0.001 * (1.55 * 1.75 * 0.85) * 0,3822</t>
  </si>
  <si>
    <t>1</t>
  </si>
  <si>
    <t>Итого Полевые работы</t>
  </si>
  <si>
    <t>Камеральные работы</t>
  </si>
  <si>
    <t>Составление инженерно-топографических планов в масштабе 1:500 с сечением рельефа высотой 0,5 м на застроенной территории.
Застроенная площадь территории площадь территории - 0,3822 га</t>
  </si>
  <si>
    <t xml:space="preserve">СиЦ-2004 
Часть 1 Глава 2 Таблица 9-п.5
(II категория сложности, вид территории - застроенная)
</t>
  </si>
  <si>
    <t>1 067 * 0.001 * 0,3822</t>
  </si>
  <si>
    <t>Итого Камеральные работы</t>
  </si>
  <si>
    <t>Прочие затраты</t>
  </si>
  <si>
    <t>СиЦ01-02 ОУС п. 13
6% от п.п.: 1;
1) К=2.5 ( сметная стоимость (до 30 тыс.руб.)) - Коэффициент для изысканий в зависимости от сметной стоимости</t>
  </si>
  <si>
    <t>(2894 * 6%) * 0.001 * (2.5)</t>
  </si>
  <si>
    <t>Итого Прочие затраты</t>
  </si>
  <si>
    <t>4</t>
  </si>
  <si>
    <t>Итого по п.п. 1-3 в ценах на 01.01.2001г.</t>
  </si>
  <si>
    <t>5</t>
  </si>
  <si>
    <t>Итого с индексом  3-го квартала 2014 г по письму Минстроя России от 04.08.2014 № 15285-ЕС/ 08 , К= 3,7.</t>
  </si>
  <si>
    <t>НДС, 18%</t>
  </si>
  <si>
    <t>0.18</t>
  </si>
  <si>
    <t>Итого с НДС</t>
  </si>
  <si>
    <t>Итого по смете:  шестнадцать тысяч триста одиннадцать рублей</t>
  </si>
  <si>
    <t>Главный инженер проекта________________________
                                  (подпись, инициалы, фамилия)</t>
  </si>
  <si>
    <t>Составитель сметы________________________
                                  (подпись, инициалы, фамилия)</t>
  </si>
  <si>
    <t>Система ПИР v. 2.6.5. (c) ООО Компания Инфострой. (Ф2ПС)</t>
  </si>
  <si>
    <t>Смета № 12-01-02</t>
  </si>
  <si>
    <t>Наименование организации
заказчика</t>
  </si>
  <si>
    <t>1) (СиЦ-91-02) - Инженерно-геологические и инженерно-экологические изыскания для
строительства. 1999 г.</t>
  </si>
  <si>
    <t>Стоимость работ, Руб.</t>
  </si>
  <si>
    <t>Раздел 1. Полевые работы.</t>
  </si>
  <si>
    <t>Инженерно-геологическая, гидрогеологическая рекогносцировка при хорошей проходимости</t>
  </si>
  <si>
    <t>Инженерно-геологические и инженерно-экологические изыскания для строительства. 1999 г. Часть 1 Глава 1 Таблица 9-1
(II категория сложности)
1) К=0,85 - (ОУС п.14.1) Проведение полевых работ без выплаты работникам командировочных или полевого довольствия
2) К=1,3 - (ОУС п.08г табл.2 п.3) Выполнение полевых изыскательских работ при продолжительности неблагоприятного периода 6-7,5 месяца</t>
  </si>
  <si>
    <t>км маршрута</t>
  </si>
  <si>
    <t>23,3 * (0,85 * 1,3) * 0,3</t>
  </si>
  <si>
    <t>1.2</t>
  </si>
  <si>
    <t>Инженерно-экологическая, гидрогеологическая рекогносцировка при хорошей проходимости</t>
  </si>
  <si>
    <t>Инженерно-геологические и инженерно-экологические изыскания для строительства. 1999 г. Часть 1 Глава 1 Таблица 9-1
(II категория сложности)
1) К=1,1 – Примечание 1 к таб. 9 
2) К=0,85 - (ОУС п.14.1) Проведение полевых работ без выплаты работникам командировочных или полевого довольствия
3) К=1,3 - (ОУС п.08г табл.2 п.3) Выполнение полевых изыскательских работ при продолжительности неблагоприятного периода 6-7,5 месяца</t>
  </si>
  <si>
    <t>23,3 * (1,1*0,85 * 1,3) * 0,3</t>
  </si>
  <si>
    <t>1.3</t>
  </si>
  <si>
    <t>Наблюдения при передвижении по маршруту при составлении карты: инженерно-геологической, гидрогеологической, почвенной, инженерно-экологической в масштабе 1:25000</t>
  </si>
  <si>
    <t>Инженерно-геологические и инженерно-экологические изыскания для строительства. 1999 г. Часть 1 Глава 2 Таблица 10-2
(Категория проходимости хорошая)
1) К=0,85 - (ОУС п.14.1) Проведение полевых работ без выплаты работникам командировочных или полевого довольствия
2) К=1,3 - (ОУС п.08г табл.2 п.3) Выполнение полевых изыскательских работ при продолжительности неблагоприятного периода 6-7,5 месяца
3) К=0,8 - (Гл.02 п.2) Наличие геологических карт изучаемой площади требуемого масштаба</t>
  </si>
  <si>
    <t>13,3 * (0,85 * 1,3 * 0,8) * 0,3</t>
  </si>
  <si>
    <t>1.4</t>
  </si>
  <si>
    <t>Описание точек наблюдений при составлении инженерно-экологических карт</t>
  </si>
  <si>
    <t>Инженерно-геологические и инженерно-экологические изыскания для строительства. 1999 г. Часть 1 Глава 2 Таблица 11-2
(II категория сложности)
1) К=0,85 - (ОУС п.14.1) Проведение полевых работ без выплаты работникам командировочных или полевого довольствия
2) К=1,3 - (ОУС п.08г табл.2 п.3) Выполнение полевых изыскательских работ при продолжительности неблагоприятного периода 6-7,5 месяца</t>
  </si>
  <si>
    <t>точка</t>
  </si>
  <si>
    <t>11,7 * (0,85 * 1,3) * 8</t>
  </si>
  <si>
    <t>1.5</t>
  </si>
  <si>
    <t>Бурение скважины переносными установками диаметром свыше 60 до 89 мм глубиной до 5 м (8х0,8м=6,4 м)</t>
  </si>
  <si>
    <t>Инженерно-геологические и инженерно-экологические изыскания для строительства. 1999 г. Часть 2 Глава 3 Таблица 14-3
(III категория породы)
1) К=0,85 - (ОУС п.14.1) Проведение полевых работ без выплаты работникам командировочных или полевого довольствия
2) К=1,3 - (ОУС п.08г табл.2 п.3) Выполнение полевых изыскательских работ при продолжительности неблагоприятного периода 6-7,5 месяца</t>
  </si>
  <si>
    <t>м</t>
  </si>
  <si>
    <t>10,4 * (0,85 * 1,3) * 6,4</t>
  </si>
  <si>
    <t>1.6</t>
  </si>
  <si>
    <t>Крепление скважин при бурении диаметром свыше 60 до 89 мм глубиной до 5 м</t>
  </si>
  <si>
    <t>Инженерно-геологические и инженерно-экологические изыскания для строительства. 1999 г. Часть 2 Глава 3 Таблица 15-5.2
1) К=0,85 - (ОУС п.14.1) Проведение полевых работ без выплаты работникам командировочных или полевого довольствия
2) К=1,3 - (ОУС п.08г табл.2 п.3) Выполнение полевых изыскательских работ при продолжительности неблагоприятного периода 6-7,5 месяца</t>
  </si>
  <si>
    <t>5,2 * (0,85 * 1,3) * 6,4</t>
  </si>
  <si>
    <t>1.7</t>
  </si>
  <si>
    <t>Плановая и высотная привязка</t>
  </si>
  <si>
    <t>Инженерно-геологические и инженерно-экологические изыскания для строительства. 1999 г. Часть 8 Глава 25 Таблица 93-1
(II категория сложности; Расстояние между геологическими выработками или точками до 50 м)
1) К=0,5 - (Прим. к табл.093 п.1) Предварительная разбивка местоположения выработок (точек)
2) К=0,85 - (ОУС п.14.1) Проведение полевых работ без выплаты работникам командировочных или полевого довольствия
3) К=1,3 - (ОУС п.08г табл.2 п.3) Выполнение полевых изыскательских работ при продолжительности неблагоприятного периода 6-7,5 месяца</t>
  </si>
  <si>
    <t>выработка (точка)</t>
  </si>
  <si>
    <t>8,5 * (0,5 * 0,85 * 1,3) * 8</t>
  </si>
  <si>
    <t>1.8</t>
  </si>
  <si>
    <t>Радиационное обследование участка площадью свыше 0,5 до 1,0 га</t>
  </si>
  <si>
    <t>Инженерно-геологические и инженерно-экологические изыскания для строительства. 1999 г. Часть 8 Глава 24 Таблица 92-2
 На территории S=7267 м2
1) К=0,85 - (ОУС п.14.1) Проведение полевых работ без выплаты работникам командировочных или полевого довольствия
2) К=1,3 - (ОУС п.08г табл.2 п.3) Выполнение полевых изыскательских работ при продолжительности неблагоприятного периода 6-7,5 месяца</t>
  </si>
  <si>
    <t>0,1 га</t>
  </si>
  <si>
    <t>60 * (0,85 * 1,3) * 0,7267</t>
  </si>
  <si>
    <t>1.9</t>
  </si>
  <si>
    <t>Измерение потока радона на участке, (10 точек/га)  0,7267*10=7 точек. Объем=(7/20=0,35)</t>
  </si>
  <si>
    <t>Инженерно-геологические и инженерно-экологические изыскания для строительства. 1999 г. Часть 8 Глава 24 Таблица 91-1
1) К=0,85 - (ОУС п.14.1) Проведение полевых работ без выплаты работникам командировочных или полевого довольствия
2) К=1,3 - (ОУС п.08г табл.2 п.3) Выполнение полевых изыскательских работ при продолжительности неблагоприятного периода 6-7,5 месяца</t>
  </si>
  <si>
    <t>20 точек</t>
  </si>
  <si>
    <t>535 * (0,85 * 1,3) * 0,35</t>
  </si>
  <si>
    <t>1.10</t>
  </si>
  <si>
    <t>Отбор точечных проб для анализа на загрязненность по химическим показателям: донных отложений по слоям</t>
  </si>
  <si>
    <t>Инженерно-геологические и инженерно-экологические изыскания для строительства. 1999 г. Часть 5 Глава 16 Таблица 60-6
1) К=1,3 - (ОУС п.08г табл.2 п.3) Выполнение полевых изыскательских работ при продолжительности неблагоприятного периода 6-7,5 месяца
2) К=0,85 - (ОУС п.14.1) Проведение полевых работ без выплаты работникам командировочных или полевого довольствия</t>
  </si>
  <si>
    <t>проба</t>
  </si>
  <si>
    <t>13,2 * (1,3 * 0,85) * 16</t>
  </si>
  <si>
    <t>1.11</t>
  </si>
  <si>
    <t>Отбор точечных проб для анализа на загрязненность по химическим показателям: почво-грунтов (методами конверта, по диагонали и т.п.)</t>
  </si>
  <si>
    <t>Инженерно-геологические и инженерно-экологические изыскания для строительства. 1999 г. Часть 5 Глава 16 Таблица 60-7
1) К=0,9 - (Прим. к табл.060 п.1) Отбор объединенной пробы
2) К=1,3 - (ОУС п.08г табл.2 п.3) Выполнение полевых изыскательских работ при продолжительности неблагоприятного периода 6-7,5 месяца
3) К=0,85 - (ОУС п.14.1) Проведение полевых работ без выплаты работникам командировочных или полевого довольствия</t>
  </si>
  <si>
    <t>6,9 * (0,9 * 1,3 * 0,85) * 16</t>
  </si>
  <si>
    <t>1.12</t>
  </si>
  <si>
    <t>Отбор точечных проб для анализа на загрязненность по химическим показателям: почво-грунтов на радиоактивное загрязнение или газохимические исследования</t>
  </si>
  <si>
    <t>Инженерно-геологические и инженерно-экологические изыскания для строительства. 1999 г. Часть 5 Глава 16 Таблица 60-7
1) К=1,2 - (Прим. к табл.060 п.2) Отбор пробы на радиоактивное загрязнение или газохимические исследования
2) К=1,3 - (ОУС п.08г табл.2 п.3) Выполнение полевых изыскательских работ при продолжительности неблагоприятного периода 6-7,5 месяца
3) К=0,85 - (ОУС п.14.1) Проведение полевых работ без выплаты работникам командировочных или полевого довольствия</t>
  </si>
  <si>
    <t>6,9 * (1,2 * 1,3 * 0,85) * 16</t>
  </si>
  <si>
    <t>1.13</t>
  </si>
  <si>
    <t>Отбор проб для бактериологического анализа почво-грунтов с одной пробной площадки</t>
  </si>
  <si>
    <t>Инженерно-геологические и инженерно-экологические изыскания для строительства. 1999 г. Часть 5 Глава 16 Таблица 60-10
1) К=1,3 - (ОУС п.08г табл.2 п.3) Выполнение полевых изыскательских работ при продолжительности неблагоприятного периода 6-7,5 месяца
2) К=0,85 - (ОУС п.14.1) Проведение полевых работ без выплаты работникам командировочных или полевого довольствия</t>
  </si>
  <si>
    <t>37,7 * (1,3 * 0,85) * 16</t>
  </si>
  <si>
    <t>1.14</t>
  </si>
  <si>
    <t>Отбор проб для гельминтологического  анализа почво-грунтов с одной пробной площадки</t>
  </si>
  <si>
    <t>Инженерно-геологические и инженерно-экологические изыскания для строительства. 1999 г. Часть 5 Глава 16 Таблица 60-10
1) К=0,9 - (Прим. к табл.060 п.4) Отбор пробы почво-грунтов на гельминтологический анализ
2) К=1,3 - (ОУС п.08г табл.2 п.3) Выполнение полевых изыскательских работ при продолжительности неблагоприятного периода 6-7,5 месяца
3) К=0,85 - (ОУС п.14.1) Проведение полевых работ без выплаты работникам командировочных или полевого довольствия</t>
  </si>
  <si>
    <t>37,7 * (0,9 * 1,3 * 0,85) * 16</t>
  </si>
  <si>
    <t>1.15</t>
  </si>
  <si>
    <t>Отбор проб для бактериологического анализа воды</t>
  </si>
  <si>
    <t>Инженерно-геологические и инженерно-экологические изыскания для строительства. 1999 г. Часть 5 Глава 16 Таблица 60-9
1) К=1,3 - (ОУС п.08г табл.2 п.3) Выполнение полевых изыскательских работ при продолжительности неблагоприятного периода 6-7,5 месяца
2) К=0,85 - (ОУС п.14.1) Проведение полевых работ без выплаты работникам командировочных или полевого довольствия</t>
  </si>
  <si>
    <t>18,8* (1,3 * 0,85) * 16</t>
  </si>
  <si>
    <t>1.16</t>
  </si>
  <si>
    <t>Инженерно-геологические и инженерно-экологические изыскания для строительства. 1999 г. ОУ п.9 таб.4 п.1
Сметная стоимость полевых изыскательских работ 2,615 тыс.руб. (до 5); Расстояние от базы изыскательской организации, экспедиции, партии или отряда до участка изысканий 1,5 км (до 5) от п.п.: 1.1; 1.2; 1.3; 1.4; 1.5; 1.6; 1.7; 1.8; 1.9; 1.10; 1.11; 1.12; 1.13;1,14; 1,15;</t>
  </si>
  <si>
    <t>(2,615 * 8,75%) * 1 000</t>
  </si>
  <si>
    <t>1.17</t>
  </si>
  <si>
    <t>(2843,33 * 6%) * 2</t>
  </si>
  <si>
    <t>Итого "Раздел 1. Полевые работы."</t>
  </si>
  <si>
    <t>№</t>
  </si>
  <si>
    <t>Наименование. Раздел 1. Полевые работы.</t>
  </si>
  <si>
    <t>Раздел 2. Лабораторные работы.</t>
  </si>
  <si>
    <t>Анализ водной вытяжки с определением по разности суммы натрия и калия</t>
  </si>
  <si>
    <t>Инженерно-геологические и инженерно-экологические изыскания для строительства. 1999 г. Часть 6 Глава 18 Таблица 71-1</t>
  </si>
  <si>
    <t>образец</t>
  </si>
  <si>
    <t>48,8 * 16</t>
  </si>
  <si>
    <t>Сокращенный анализ солянокислой вытяжки</t>
  </si>
  <si>
    <t>Инженерно-геологические и инженерно-экологические изыскания для строительства. 1999 г. Часть 6 Глава 18 Таблица 71-6</t>
  </si>
  <si>
    <t>50,8 * 16</t>
  </si>
  <si>
    <t>Сокращенный валовой анализ грунтов и почв с дополнительным определением валовой серы</t>
  </si>
  <si>
    <t>Инженерно-геологические и инженерно-экологические изыскания для строительства. 1999 г. Часть 6 Глава 18 Таблица 71-9</t>
  </si>
  <si>
    <t>90 * 16</t>
  </si>
  <si>
    <t>Определение кислотного комплекса сульфидных пород</t>
  </si>
  <si>
    <t>Инженерно-геологические и инженерно-экологические изыскания для строительства. 1999 г. Часть 6 Глава 18 Таблица 71-16</t>
  </si>
  <si>
    <t>27,1 * 16</t>
  </si>
  <si>
    <t>Сокращенный анализ водной вытяжки с дополнительным определением сульфатов</t>
  </si>
  <si>
    <t>Инженерно-геологические и инженерно-экологические изыскания для строительства. 1999 г. Часть 6 Глава 18 Таблица 71-4</t>
  </si>
  <si>
    <t>26,3 * 16</t>
  </si>
  <si>
    <t>Стандартный (типовой) анализ воды</t>
  </si>
  <si>
    <t>Инженерно-геологические и инженерно-экологические изыскания для строительства. 1999 г. Часть 6 Глава 18 Таблица 73-2</t>
  </si>
  <si>
    <t>67,3 * 16</t>
  </si>
  <si>
    <t>2.7</t>
  </si>
  <si>
    <t>Комплексный анализ: санитарно-химический, санитарно-бактериологический анализ (микробиологический и паразитологический), токсикологический (биотестирование)</t>
  </si>
  <si>
    <t>(8500/1,18/42,58) * 16</t>
  </si>
  <si>
    <t>Итого "Раздел 2. Лабораторные работы."</t>
  </si>
  <si>
    <t>Наименование. Раздел 2. Лабораторные работы.</t>
  </si>
  <si>
    <t>Раздел 3. Камеральные работы.</t>
  </si>
  <si>
    <t>Инженерно-геологические и инженерно-экологические изыскания для строительства. 1999 г. Часть 1 Глава 1 Таблица 9-1
(II категория сложности)</t>
  </si>
  <si>
    <t>18,5 * 0,3</t>
  </si>
  <si>
    <t xml:space="preserve">Инженерно-геологические и инженерно-экологические изыскания для строительства. 1999 г. Часть 1 Глава 1 Таблица 9-1
(II категория сложности)
1) К=1,1 – Примечание 1 к таб. 9 </t>
  </si>
  <si>
    <t>18,5 * 1,1 * 0,3</t>
  </si>
  <si>
    <t>3.3</t>
  </si>
  <si>
    <t>Инженерно-геологические и инженерно-экологические изыскания для строительства. 1999 г. Часть 1 Глава 2 Таблица 10-2
(Категория проходимости хорошая)
1) К=0,8 - (Гл.02 п.2) Наличие геологических карт изучаемой площади требуемого масштаба</t>
  </si>
  <si>
    <t>1,3 * (0,8) * 0,3</t>
  </si>
  <si>
    <t>3.4</t>
  </si>
  <si>
    <t>Инженерно-геологические и инженерно-экологические изыскания для строительства. 1999 г. Часть 1 Глава 2 Таблица 11-2
(II категория сложности)
1) К=1,15 - (Прим. к табл.011 п.3) Составление инженерно-экологических карт на застроенную территорию (города, промышленные объекты и др.), участки свалок, насыпных грунтов и т.п.</t>
  </si>
  <si>
    <t>7,5 * (1,15) * 8</t>
  </si>
  <si>
    <t>3.5</t>
  </si>
  <si>
    <t>Камеральная обработка материалов буровых и горнопроходческих работ</t>
  </si>
  <si>
    <t>Инженерно-геологические и инженерно-экологические изыскания для строительства. 1999 г. Часть 7 Глава 21 Таблица 82-1
(II категория сложности инженерно-геологических условий)</t>
  </si>
  <si>
    <t>м выработки</t>
  </si>
  <si>
    <t>8,2 * 6,4</t>
  </si>
  <si>
    <t>3.6</t>
  </si>
  <si>
    <t>Инженерно-геологические и инженерно-экологические изыскания для строительства. 1999 г. Часть 8 Глава 24 Таблица 92-2
Объем: 1.7 = 7,267;</t>
  </si>
  <si>
    <t>17,8 * 7,267</t>
  </si>
  <si>
    <t>3.7</t>
  </si>
  <si>
    <t>Инженерно-геологические и инженерно-экологические изыскания для строительства. 1999 г. Часть 8 Глава 24 Таблица 91-1</t>
  </si>
  <si>
    <t>161 * 0,35</t>
  </si>
  <si>
    <t>3.8</t>
  </si>
  <si>
    <t>Камеральная обработка комплексных исследований и отдельных определений химического состава грунтов и почв</t>
  </si>
  <si>
    <t>Инженерно-геологические и инженерно-экологические изыскания для строительства. 1999 г. Часть 7 Глава 21 Таблица 86-4
12% от п.п.: 2.1; 2.2; 2.3; 2.4;</t>
  </si>
  <si>
    <t>(3467,20 * 12%)</t>
  </si>
  <si>
    <t>3.9</t>
  </si>
  <si>
    <t>Инженерно-геологические и инженерно-экологические изыскания для строительства. 1999 г. Часть 7 Глава 21 Таблица 86-4
12% от п.п.: 2.5;</t>
  </si>
  <si>
    <t>420,80 * 12%</t>
  </si>
  <si>
    <t>3.10</t>
  </si>
  <si>
    <t>Камеральная обработка комплексных исследований и отдельных определений химического и бактериологического состава воды</t>
  </si>
  <si>
    <t>Инженерно-геологические и инженерно-экологические изыскания для строительства. 1999 г. Часть 7 Глава 21 Таблица 86-5
15% от п.п.: 2.6;</t>
  </si>
  <si>
    <t>1076,80 * 15%</t>
  </si>
  <si>
    <t>3.11</t>
  </si>
  <si>
    <t>Камеральная обработка химических и бактериологических анализов на загрязненность почво-грунтов, воды, льда, снега и донных отложений при инженерно-экологических изысканиях</t>
  </si>
  <si>
    <t>Инженерно-геологические и инженерно-экологические изыскания для строительства. 1999 г. Часть 7 Глава 21 Таблица 86-6
20% от п.п.: 2.6;</t>
  </si>
  <si>
    <t>1076,80 * 20%</t>
  </si>
  <si>
    <t>3.12</t>
  </si>
  <si>
    <t>Составление программы производства работ</t>
  </si>
  <si>
    <t>программа</t>
  </si>
  <si>
    <t>200 * (1,25 * 0,5)</t>
  </si>
  <si>
    <t>3.13</t>
  </si>
  <si>
    <t>Составление технического отчета (заключения) о результатах выполнения работ</t>
  </si>
  <si>
    <t>Инженерно-геологические и инженерно-экологические изыскания для строительства. 1999 г. Часть 7 Глава 22 Таблица 87-1
(Категории сложности инженерно-геологических условий: II категория сложности инженерно-геологических условий; Стоимость камеральных работ: 1,287587 тыс.руб. (до 5)) - 21% от п.п.: 3.1; 3.2; 3.3; 3.4; 3.5; 3.6; 3.7; 3.8; 3.9; 3.10; 3.11; 3.12;
1) К=1,3 - (Прим. к табл.087 п.4.1) Сдача отчета в федеральные геологические фонды</t>
  </si>
  <si>
    <t>(1,287587 * 21%) * 1 000 * (1,3)</t>
  </si>
  <si>
    <t>Итого "Раздел 3. Камеральные работы."</t>
  </si>
  <si>
    <t>Наименование. Раздел 3. Камеральные работы.</t>
  </si>
  <si>
    <t>Раздел 4. Прочие  работы.</t>
  </si>
  <si>
    <t>4.1</t>
  </si>
  <si>
    <t>Замер уровня ЭМИ</t>
  </si>
  <si>
    <t>замер</t>
  </si>
  <si>
    <t>800/1,18/42,58*5</t>
  </si>
  <si>
    <t>4.2</t>
  </si>
  <si>
    <t>Замер уровня инфразвука</t>
  </si>
  <si>
    <t>600/1,18/42,58*5</t>
  </si>
  <si>
    <t>4.3</t>
  </si>
  <si>
    <t xml:space="preserve">Замер уровня вибрации </t>
  </si>
  <si>
    <t>900/1,18/42,58*5</t>
  </si>
  <si>
    <t>4.4</t>
  </si>
  <si>
    <t>Замер уровня шума</t>
  </si>
  <si>
    <t>4.5</t>
  </si>
  <si>
    <t>Справка  по фоновому замеру</t>
  </si>
  <si>
    <t>справка</t>
  </si>
  <si>
    <t>15 000/1,18/42,58</t>
  </si>
  <si>
    <t>Итого "Раздел 4. Прочие  работы."</t>
  </si>
  <si>
    <t>Наименование. Раздел 4. Прочие  работы.</t>
  </si>
  <si>
    <t>Итого "Инженерно-экологические  изыскания  (шифр 55/БАС-Р)"</t>
  </si>
  <si>
    <t>Наименование. Инженерно-экологические  изыскания  (шифр 55/БАС-Р)</t>
  </si>
  <si>
    <t>Суммировать</t>
  </si>
  <si>
    <t xml:space="preserve">Итого без НДС </t>
  </si>
  <si>
    <t>2</t>
  </si>
  <si>
    <t>Налог на добавленную стоимость, % (НДС)</t>
  </si>
  <si>
    <t>18</t>
  </si>
  <si>
    <t>3</t>
  </si>
  <si>
    <t xml:space="preserve">Итого по смете </t>
  </si>
  <si>
    <r>
      <t xml:space="preserve">Главный инженер проекта_______________________
                                 </t>
    </r>
    <r>
      <rPr>
        <sz val="8"/>
        <color rgb="FF000000"/>
        <rFont val="Arial"/>
        <family val="2"/>
        <charset val="204"/>
      </rPr>
      <t xml:space="preserve"> (подпись, инициалы, фамилия)</t>
    </r>
  </si>
  <si>
    <r>
      <t xml:space="preserve">Инженер-сметчик_____________________
                                 </t>
    </r>
    <r>
      <rPr>
        <sz val="8"/>
        <color rgb="FF000000"/>
        <rFont val="Arial"/>
        <family val="2"/>
        <charset val="204"/>
      </rPr>
      <t xml:space="preserve"> (подпись, инициалы, фамилия)</t>
    </r>
  </si>
  <si>
    <t>Приложение №   к Договору    от ____________</t>
  </si>
  <si>
    <t>Смета № 12-01-03</t>
  </si>
  <si>
    <t>СиЦ-91-02 - Справочник базовых цен на инженерно-геологические и инженерно-экологические изыскания для строительства, М, 1999</t>
  </si>
  <si>
    <t>Стоимость работ, 
Тыс. руб.</t>
  </si>
  <si>
    <t>Радиационное обследование участка площадью до 0,5 га  (0,3822 Га)</t>
  </si>
  <si>
    <t>СиЦ-91-02 
Часть 8 Глава 24 Таблица 92-3
1) К=0.85 - ОУС п.14.1
(без выплаты полевого довольствия)</t>
  </si>
  <si>
    <t>70.4 * 0.001 * (0.85) * 0,3822/0.1</t>
  </si>
  <si>
    <t>Радиационное обследование участка площадью до 0,5 га  (0,3822Га)</t>
  </si>
  <si>
    <t xml:space="preserve">СиЦ-91-02
 Часть 8 Глава 24 Таблица 92-1
</t>
  </si>
  <si>
    <t>20.7 * 0.001 * 0.3822/0.1</t>
  </si>
  <si>
    <t>СиЦ-91-02 
ОУС п. 13
6% от п.п.: 1;
1) К=2.5 -  ОУС прим.п.1 к п.13 
(сметная стоимость полевых работ до 2 тыс.руб.)</t>
  </si>
  <si>
    <t>(0.229 * 6%) * (2.5)</t>
  </si>
  <si>
    <t>Итого по п.п. 1-3 в ценах на 01.01.1991г.</t>
  </si>
  <si>
    <t>Итого с индексом на 3 квартал 2014 (к уровню цен 1.01.1991г.) -  письмо Минстроя России от 04.08.2014    № 15285-ЕС/ 08.</t>
  </si>
  <si>
    <t>6</t>
  </si>
  <si>
    <t>0,18</t>
  </si>
  <si>
    <t>7</t>
  </si>
  <si>
    <r>
      <t xml:space="preserve">Итого по смете: </t>
    </r>
    <r>
      <rPr>
        <b/>
        <sz val="8"/>
        <color rgb="FF000000"/>
        <rFont val="Arial"/>
        <family val="2"/>
        <charset val="204"/>
      </rPr>
      <t>Семнадцать тысяч сто восемьдесят четыре рубля</t>
    </r>
  </si>
  <si>
    <t>Итого по смете : шестьсот пятьдесят восемь тысяч триста тринадцать рублей</t>
  </si>
  <si>
    <t>Итого с индексом на 3 квартал 2014г. (к уровню цен 01.01.1991г.) ,Минстроя России от 04.08.2014 № 15285-ЕС/ 08 , К= 42,58</t>
  </si>
  <si>
    <t>Инженерно-геологические и инженерно-экологические изыскания для строительства. 1999 г. ОУ п.13 (6%) от п.п.: 1.1; 1.2; 1.3; 1.4; 1.5; 1.6; 1.7; 1.8; 1.9; 1.10; 1.11; 1.12; 1.13; 1,14; 1.15; 1,16;
1) К=2 (Изыскания со сметной стоимостью от 2 до 5 тыс.руб. или выполняемые (независимо от их стоимости) в районах Крайнего Севера и приравненных к ним местностях, а также в малонаселенных (необжитых) районах (высокогорных, пустынных, таежных и тундровых)) - (ОУС п.13 прим.1) Коэффициент для изысканий в зависимости от сметной стоимости</t>
  </si>
  <si>
    <t xml:space="preserve">Прайс компании ЭП АННАЛИТИЧЕСКАЯ ЛАБОРАТОРИЯ ЭКОТЕХНИКА ПЛЮС
1) К=42,58 - индексом на 3 квартал 2014г. (к уровню цен 01.01.1991г.) ,Минстроя России от 04.08.2014 № 15285-ЕС/ 08 </t>
  </si>
  <si>
    <t>Инженерно-геологические и инженерно-экологические изыскания для строительства. 1999 г. Часть 7 Глава 20 Таблица 81-1
Исследуемая площадь до 1 км2; Средняя глубина исследования до 5 м
1) К=1,25 - (Прим. к табл.081 п.1.1) Составление программы производства работ для районов II категории сложности инженерно-геологических условий
2) К=0,5 - (Прим. к табл.081 п.2) Изыскания под отдельно стоящее здание (по ценам для исследуемой площади "до 1 км2")</t>
  </si>
  <si>
    <t>Итого с индюком на 3 квартал 2014г. (к уровню цен 01.01.1991г.) ,Минстроя России от 04.08.2014 № 15285-ЕС/ 08 , К= 42,58</t>
  </si>
  <si>
    <t>Смета № 12-01-07</t>
  </si>
  <si>
    <t xml:space="preserve">Сметный расчет составлен по
</t>
  </si>
  <si>
    <t>1)(СБЦП-2001-03) - Объекты жилищно-гражданского строительства. 2010 г.</t>
  </si>
  <si>
    <t>следующим документам</t>
  </si>
  <si>
    <t>2)(СБЦП-2001-07) - Коммунальные инженерные сети и сооружения. 2012 г.</t>
  </si>
  <si>
    <t>Характеристика предприятия, здания, соружения или виды работ</t>
  </si>
  <si>
    <t>№ части, главы, таблицы, параграфа и пункта указаний к разделу или главе Сборника цен на проектные и изыскательские работы для строительства</t>
  </si>
  <si>
    <t>Стоимость работ, 
тыс.руб.</t>
  </si>
  <si>
    <t>Раздел 1. Проектные работы, стадия "Проектная документация".</t>
  </si>
  <si>
    <t xml:space="preserve">Крытый плавательный бассейн с ванной размерами 50х21=1050 м2
</t>
  </si>
  <si>
    <t>бассейн</t>
  </si>
  <si>
    <t>Крытый плавательный бассейн для оздоровительного плавания, обучения детей плаванию и закаливанию с ванной размером 14,2х4,8м</t>
  </si>
  <si>
    <t>Плавательный бассейн для оздоровительного плавания малая чаша размерами  37,15 м2</t>
  </si>
  <si>
    <t xml:space="preserve">Зал подготовки </t>
  </si>
  <si>
    <t>спорткорпус</t>
  </si>
  <si>
    <t>Трибуна металлическая без подтрибунных помещений</t>
  </si>
  <si>
    <t>трибуна</t>
  </si>
  <si>
    <t>Наружные инженерные сети</t>
  </si>
  <si>
    <t xml:space="preserve">Пользовательский
25% от п.п.: 1;
</t>
  </si>
  <si>
    <t xml:space="preserve"> Центральный тепловой пункт в составе: коллекторных теплофикационной воды, насосных установок, теплообменного оборудования и регулирующих устройств</t>
  </si>
  <si>
    <t>пункт</t>
  </si>
  <si>
    <t>Водомерный узел на вводе в сооружение</t>
  </si>
  <si>
    <t xml:space="preserve">    объект</t>
  </si>
  <si>
    <t>Итого "Стадия РД"</t>
  </si>
  <si>
    <t>Итого "Рабочая документация реконструкции объекта"Бассейн Военного института физической культуры, г. Санкт-Петербург, ул. Литовская,.д.3" (шифр объекта 55/БАС-Р)"</t>
  </si>
  <si>
    <t>ИТОГО:</t>
  </si>
  <si>
    <t>ВСЕГО по смете:</t>
  </si>
  <si>
    <r>
      <t xml:space="preserve">Итого с понижающим коэффициентом под сумму контракта </t>
    </r>
    <r>
      <rPr>
        <sz val="9"/>
        <color indexed="9"/>
        <rFont val="Arial Cyr"/>
        <charset val="204"/>
      </rPr>
      <t xml:space="preserve">   К=</t>
    </r>
  </si>
  <si>
    <t>НДС</t>
  </si>
  <si>
    <t>ВСЕГО</t>
  </si>
  <si>
    <t>Смета № 12-01-06</t>
  </si>
  <si>
    <t>1)(СБЦП-2001-01) - Территориальное планирование и планировка территорий. 2010 г.</t>
  </si>
  <si>
    <t>2)(СБЦП-2001-03) - Объекты жилищно-гражданского строительства. 2010 г.</t>
  </si>
  <si>
    <t>3)(СБЦ-01-24) - Инженерно-технические мероприятия гражданской обороны. Мероприятия по предупреждению чрезвычайных ситуаций. Защитные сооружения гражданской обороны и другие специальные сооружения. 2006 г.</t>
  </si>
  <si>
    <t>4)(СБЦП-2001-07) - Коммунальные инженерные сети и сооружения. 2012 г.</t>
  </si>
  <si>
    <t>5)(СБЦ-01-30) - Объекты производства азотных удобрений и продуктов органического синтеза. Кислородная подотрасль. Метанольная подотрасль. 2008 г.</t>
  </si>
  <si>
    <t>Градостроительная документация</t>
  </si>
  <si>
    <t>проект</t>
  </si>
  <si>
    <t xml:space="preserve">Пользовательский
25% от п.п.: 2;
</t>
  </si>
  <si>
    <t>8</t>
  </si>
  <si>
    <t>Раздел "ИТМ ГО ЧС"</t>
  </si>
  <si>
    <t>разработка</t>
  </si>
  <si>
    <t>11</t>
  </si>
  <si>
    <t>Сбор исходных данных (разработка тех.регламента , получение ТУ, справок и т.п.)</t>
  </si>
  <si>
    <t xml:space="preserve">Пользовательский
10% от п.п.: 2;
</t>
  </si>
  <si>
    <t>Разработка раздела "Оценка воздействия на окружающую среду" (ОВОС) (до 4%)</t>
  </si>
  <si>
    <t>Итого "Стадия ПД"</t>
  </si>
  <si>
    <t>Итого "Проектная документация реконструкции объекта"Бассейн Военного института физической культуры, г. Санкт-Петербург, ул. Литовская,.д.3" (шифр объекта 55/БАС-Р)"</t>
  </si>
  <si>
    <t>Приложение №    к Договору № ____</t>
  </si>
  <si>
    <t>Смета № 12-01-05</t>
  </si>
  <si>
    <t>1. Сборник цен на инженерно-геологические и инженерно-экологические изыскания. М., ГП "ЦЕНТРИНВЕСТПРОЕКТ" 1999г</t>
  </si>
  <si>
    <t xml:space="preserve">2. Справочник базовых цен на обмерные работы и обследование зданий и сооружений, М., ГП </t>
  </si>
  <si>
    <t>Наименование работ</t>
  </si>
  <si>
    <t>Обоснование расценки</t>
  </si>
  <si>
    <t>Высверливание кернов в бетонном покрытии</t>
  </si>
  <si>
    <t>ИТОГО по 1 разделу</t>
  </si>
  <si>
    <t>ИТОГО по 2 разделу</t>
  </si>
  <si>
    <t xml:space="preserve">Прайс компании ЭНВИРО
1) К=42,58 - индекс на 3 квартал 2014г. (к уровню цен 01.01.1991г.) ,Минстроя России от 04.08.2014 № 15285-ЕС/ 08 </t>
  </si>
  <si>
    <t>Методика определения стоимости работ по очистке местности от взрывоопасных предметов в сфере градостроительной деятельности 2010 г. Таб. №1 п. 1 (I уровень сложности)
1) К=1,35 – Регистрация результатов работы по очистке местности от взрывоопасных предметов в геоинформационных системах уполномоченных органов с привязкой к GPS-системам (примечания к таб. №1 п. 4)
2) К=0,5 - камеральные работы (ОУ п. 3.1.2)
3) К=3,7 – индекс  3-го квартала 2014 г по письму Минстроя России от 04.08.2014 № 15285-ЕС/ 08</t>
  </si>
  <si>
    <t>Методика определения стоимости работ по очистке местности от взрывоопасных предметов в сфере градостроительной деятельности. 2010 г. Таб. № 3 п. 3.2 (I уровень сложности)
1) К=0,2 - Полевые работы (низкий уровень минной опасности, низкий уровень засоренности ферромагнитными предметами) (ОУ п. 3.1.3)
2) К=1,25 - Производство работ на территориях со специальным режимом (ОУ п. 3.4)
3) К=3,7 – индекс  3-го квартала 2014 г по письму Минстроя России от 04.08.2014 № 15285-ЕС/ 08</t>
  </si>
  <si>
    <t>Методика определения стоимости работ по очистке местности от взрывоопасных предметов в сфере градостроительной деятельности. 2010 г. Таб. № 8 п. 1
К=3,7 – индекс  3-го квартала 2014 г по письму Минстроя России от 04.08.2014 № 15285-ЕС/ 08</t>
  </si>
  <si>
    <t>956,34 * 40% * 1,3 * 1,2 * 1,15 * 1,02 * 3,7</t>
  </si>
  <si>
    <t xml:space="preserve">Крытый плавательный бассейн с ванной размерами 50х21 м
</t>
  </si>
  <si>
    <t>182,77 * 40% * 1,3 * 1,15 * 3,7</t>
  </si>
  <si>
    <t xml:space="preserve">Объекты производства азотных удобрений и продуктов органического синтеза. Кислородная подотрасль. Метанольная подотрасль. 2008 г. ОУС-1.6 - 4% от п.п.: 2;
</t>
  </si>
  <si>
    <t>86,26 *  40% * 1,3 * 3,7</t>
  </si>
  <si>
    <t>Объекты жилищно-гражданского строительства. 2010 г. Раздел 2 Глава 2.3 Таб. 9 п.6
(Количество мест 1222 ед. (свыше 1000 до 3 000))
1) Стадия - "Проект" = 40%;                                          2) К=1,3-на реконструкцию,по согласованию с Заказчиком (не более 1,5) ОУ п.6  по применению СБЦ на проектные работы-Гострой РФ постановление №102 от 07.08.02г.;                                                                     
3) К=3,7 – индекс  3-го квартала 2014 г по письму Минстроя России от 04.08.2014 № 15285-ЕС/ 08</t>
  </si>
  <si>
    <t>Крытый плавательный бассейн для оздоровительного плавания, обучения детей плаванию и закаливанию 14,2х4,8 м (малая чаша)</t>
  </si>
  <si>
    <t>Плавательный бассейн для оздоровительного плавания малая чаша размерами  37,15 м2 (чаша при сауне)</t>
  </si>
  <si>
    <t xml:space="preserve">124,19 * 40% * 1,3 * 1,15 * 3,7 </t>
  </si>
  <si>
    <t xml:space="preserve">Объекты жилищно-гражданского строительства. 2010 г. Раздел 2 Глава 2.3 Таб. 5 п.1
м2: 193,04 базовая стоимость разработки проектной документации, тыс.руб.: 242,97 
Стадия - "Проект" = 40%;
1) К=0,5 - Встраиваемые помещения в основном здании (не более 0,5) ОУ п. 2.3.5
2) К=1,3-на реконструкцию,по согласованию с Заказчиком (не более 1,5); ОУ п.6  по применению СБЦ на проектные работы-Гострой РФ постановление №102 от 07.08.02г.                                                                    
3) К=3,7 – индекс  3-го квартала 2014 г по письму Минстроя России от 04.08.2014 № 15285-ЕС/ 08                                                                                                                                                                                            </t>
  </si>
  <si>
    <t xml:space="preserve">Инженерно-технические мероприятия гражданской обороны. Мероприятия по предупреждению чрезвычайных ситуаций. Защитные сооружения гражданской обороны и другие специальные сооружения. 2006г Глава 1 Таб. № 1 (Количество источников возможных ЧС - 6 источников ЧС = 1,18; 
Категория объекта по ГО - Объекты, отнесенные к категориям "Особой важности", I и II Кис= 1,04; (ОУ п. 2)
Категория сложности проектируемого объекта - V категория сложности: 0 (1,4 - 1,5) = 1,4 Таб. 2; 
Функциональное назначение объекта - Объекты жилищно-гражданского назначения Ко6=1 (ОУ п. 2); 
Разработка мероприятий по приспособлению проектируемого объекта (его помещений, зданий или сооружений) для санитарной обработки людей, специальной обработки одежды и подвижного состава автотранспорта - Учитывать Кпр= 1,5 (ОУ п. 2); 
Однотипность решений по предупреждению ЧС для различных источников ЧС с одинаковыми поражающими факторами - 4 источника ЧС с одинаковыми поражающими факторами = 0,82 Таб. №4                                                              
К=3,7 – индекс  3-го квартала 2014 г по письму Минстроя России от 04.08.2014 № 15285-ЕС/ 08                                                                                                                                                                                            </t>
  </si>
  <si>
    <t>30,500 * 1,18 * 1,04 * 1,4 * 1 * 1,5 * 0,82 * 3,7</t>
  </si>
  <si>
    <t xml:space="preserve">Коммунальные инженерные сети и сооружения. 2012 г. Глава 2.3 Таб. № 4 п.13                                                             
Стадия -"Проект"=50%                                                         
К=3,7 – индекс  3-го квартала 2014 г по письму Минстроя России от 04.08.2014 № 15285-ЕС/ 08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</si>
  <si>
    <t>77,5 * 50% * 3,7</t>
  </si>
  <si>
    <t>Территориальное планирование и планировка территорий. 2010 г. Таб. № 3 п. 1 площадь проектируемой территории 0,3822 га (свыше 0,5 до 5 га)
1) К=30% - Разработка в полном объеме градостроительного плана земельных участков (Письмо Министерства регионального развития РФ от 20 июля 2011 г. № 19268-АП/08)
2) К=1,05 (диапазон: 1,05 - 1,2) - Наличие крупного города или агломерации с численностью населения свыше 0,5 млн.чел. Таб. 8 п. 2)
3) К=1,1 (диапазон: 1,1 - 1,8) - Сложная экологическая ситуация, ограничения исторической застройки, охраняемый ландшафт (Таб. № 8 п. 8)                                                                     
4) К=3,7 – индекс  3-го квартала 2014 г по письму Минстроя России от 04.08.2014 № 15285-ЕС/ 08</t>
  </si>
  <si>
    <t>(55,88 + 189,64 * (0,4 * 0,5 + 0,6 * 0,3822)) * 30% * 1,05 * 1,1 * 3,7</t>
  </si>
  <si>
    <t>(1 068,07 + 4,25 * (0,4 * 10 + 0,6 * 2)) * 40% * 3,7</t>
  </si>
  <si>
    <r>
      <t>Коммунальные инженерные сети и сооружения. 2012 г. Глава 2.6 Таблица 14-1
Суммарная нагрузка 2 Гкал/ч (свыше 10 до 40 Гкал/ч)
Стадия -"Проект"=40%                                                                              К=3,7 – индекс  3-го квартала 2014 г по письму Минстроя России от 04.08.2014 № 15285-ЕС/ 08</t>
    </r>
    <r>
      <rPr>
        <sz val="9"/>
        <rFont val="Times New Roman"/>
        <family val="1"/>
        <charset val="204"/>
      </rPr>
      <t xml:space="preserve">
</t>
    </r>
  </si>
  <si>
    <t>(242,97-((257,1-242,97)/(450-288))*(288-193)*0,6) * 40% * 0,5 * 1,3 * 3,7</t>
  </si>
  <si>
    <t>Итого по смете: Восемь миллионов семьдесят семь тысяч шестьсот восемьдесят восемь рублей</t>
  </si>
  <si>
    <t>Объекты жилищно-гражданского строительства. 2010 г. Раздел 2 Глава 2.3 Таб. № 6 п. 4  крытый плавательный бассейн размером м: 50х21, базовая стоимость разработки проектной документации, тыс.руб.: 956,34                                                                  Стадия -"Проект"=40%                                               1) К=1,3-на реконструкцию,по согласованию с Заказчиком (не более 1,5); ОУ п.6  по применению СБЦ на проектные работы-Гострой РФ постановление №102 от 07.08.02г.                                                                    2) К=1,2-на встроенный спортивно-оздоровительный комплекс; ОУ п.2.3.4 (цокольный этаж)                                                                     
3) К=1,15- кондиционирование воздуха ОУ п.2.3.10                                                                     
4) К=1,02 - Дополнительные помещения: Таб. № 6а                                                                     
5) К=3,7 – индекс  3-го квартала 2014 г по письму Минстроя России от 04.08.2014 № 15285-ЕС/ 08</t>
  </si>
  <si>
    <t>Объекты жилищно-гражданского строительства. 2010 г. Раздел 2 Глава 2.3 Таб. № 6 п. 8  крытый плавательный бассейн для оздоровительного плаванья, обучения детей плаванью и закаливанию размером м: 14,2х4,8 (12х6 м), базовая стоимость разработки проектной документации, тыс.руб.: 182,77..                                                                                                                                  1) Стадия -"Проект"=40%                                               2) К=1,3-на реконструкцию,по согласованию с Заказчиком (не более 1,5); ОУ п.6  по применению СБЦ на проектные работы-Гострой РФ постановление №102 от 07.08.02г.                                                                    3) К=1,15- кондиционирование воздуха ОУ п.2.3.10                                                                                                                                          
4) К=3,7 – индекс  3-го квартала 2014 г по письму Минстроя России от 04.08.2014 № 15285-ЕС/ 08</t>
  </si>
  <si>
    <t xml:space="preserve">Объекты жилищно-гражданского строительства. 2010 г. Раздел 2 Глава 2.3 Таб. № 6 п. 9  крытый плавательный бассейн оздоровительного плаванья размерами мм2: 37,15, базовая стоимость разработки проектной документации, тыс.руб.: 124,19                                                                                    Стадия -"Проект"=40%                                               1) К=1,3-на реконструкцию,по согласованию с Заказчиком (не более 1,5); ОУ п.6  по применению СБЦ на проектные работы-Гострой РФ постановление №102 от 07.08.02г.                                                                    
2) К=1,15- кондиционирование воздуха ОУ п.2.3.10                                                                     
3) К=3,7 – индекс  3-го квартала 2014 г по письму Минстроя России от 04.08.2014 № 15285-ЕС/ 08                                                                                                                                                                                            </t>
  </si>
  <si>
    <t>956,34 * 60% * 1,3 * 1,2 * 1,15 * 1,02 * 3,7</t>
  </si>
  <si>
    <t xml:space="preserve">Объекты жилищно-гражданского строительства. 2010 г. Раздел 2 Глава 2.3 Таб. № 6 п. 4  крытый плавательный бассейн размером м: 50х21, базовая стоимость разработки проектной документации, тыс.руб.: 956,34                                                                  Стадия -"Рабочая документация"=60%                                               1) К=1,3-на реконструкцию,по согласованию с Заказчиком (не более 1,5); ОУ п.6  по применению СБЦ на проектные работы-Гострой РФ постановление №102 от 07.08.02г.                                                                    2) К=1,2-на встроенный спортивно-оздоровительный комплекс; ОУ п.2.3.4 (цокольный этаж)                                                                     
3) К=1,15- кондиционирование воздуха ОУ п.2.3.10                                                                     
4) К=1,02 - Дополнительные помещения: Таб. № 6а                                                                     
5) К=3,7 – индекс  3-го квартала 2014 г по письму Минстроя России от 04.08.2014 № 15285-ЕС/ 08 </t>
  </si>
  <si>
    <t>Объекты жилищно-гражданского строительства. 2010 г. Раздел 2 Глава 2.3 Таб. № 6 п. 8  крытый плавательный бассейн для оздоровительного плаванья, обучения детей плаванью и закаливанию размером м: 14,2х4,8 (12х6 м), базовая стоимость разработки проектной документации, тыс.руб.: 182,77..                                                                                                                                  1) Стадия -"Рабочая документация"=60%                                                  2) К=1,3-на реконструкцию,по согласованию с Заказчиком (не более 1,5); ОУ п.6  по применению СБЦ на проектные работы-Гострой РФ постановление №102 от 07.08.02г.                                                                    3) К=1,15- кондиционирование воздуха ОУ п.2.3.10                                                                                                                                          
4) К=3,7 – индекс  3-го квартала 2014 г по письму Минстроя России от 04.08.2014 № 15285-ЕС/ 08</t>
  </si>
  <si>
    <t xml:space="preserve">Объекты жилищно-гражданского строительства. 2010 г. Раздел 2 Глава 2.3 Таб. № 6 п. 9  крытый плавательный бассейн оздоровительного плаванья размерами мм2: 37,15, базовая стоимость разработки проектной документации, тыс.руб.: 124,19                                                                                    Стадия -"Рабочая документация"=60%                                               1) К=1,3-на реконструкцию,по согласованию с Заказчиком (не более 1,5); ОУ п.6  по применению СБЦ на проектные работы-Гострой РФ постановление №102 от 07.08.02г.                                                                    
2) К=1,15- кондиционирование воздуха ОУ п.2.3.10                                                                     
3) К=3,7 – индекс  3-го квартала 2014 г по письму Минстроя России от 04.08.2014 № 15285-ЕС/ 08                                                                                                                                                                                            </t>
  </si>
  <si>
    <t>182,77 * 60% * 1,3 * 1,15 * 3,7</t>
  </si>
  <si>
    <t>124,19 * 60% * 1,3 * 1,15 * 3,7</t>
  </si>
  <si>
    <r>
      <t xml:space="preserve">Объекты жилищно-гражданского строительства. 2010 г. Раздел 2 Глава 2.3 Таб. 5 п.1
м2: 193,04 базовая стоимость разработки проектной документации, тыс.руб.: 242,97 
Стадия -"Рабочая документация"=60%;     
1) К=0,5 - Встраиваемые помещения в основном здании (не более 0,5) ОУ п. 2.3.5
2) К=1,3-на реконструкцию,по согласованию с Заказчиком (не более 1,5); ОУ п.6  по применению СБЦ на проектные работы-Гострой РФ постановление №102 от 07.08.02г.                                                                    
3) К=3,7 – индекс  3-го квартала 2014 г по письму Минстроя России от 04.08.2014 № 15285-ЕС/ 08          </t>
    </r>
    <r>
      <rPr>
        <b/>
        <sz val="9"/>
        <rFont val="Times New Roman"/>
        <family val="1"/>
        <charset val="204"/>
      </rPr>
      <t xml:space="preserve">
</t>
    </r>
    <r>
      <rPr>
        <sz val="9"/>
        <rFont val="Times New Roman"/>
        <family val="1"/>
        <charset val="204"/>
      </rPr>
      <t xml:space="preserve">
</t>
    </r>
  </si>
  <si>
    <t>(242,97-((257,1-242,97)/(450-288))*(288-193)*0,6) * 60% * 0,5 * 1,3 * 3,7</t>
  </si>
  <si>
    <t>Объекты жилищно-гражданского строительства. 2010 г. Раздел 2 Глава 2.3 Таб. 9 п.6
(Количество мест 1222 ед. (свыше 1000 до 3 000))
1) Стадия -"Рабочая документация"=60%;                                            2) К=1,3-на реконструкцию,по согласованию с Заказчиком (не более 1,5) ОУ п.6  по применению СБЦ на проектные работы-Гострой РФ постановление №102 от 07.08.02г.;                                                                     
3) К=3,7 – индекс  3-го квартала 2014 г по письму Минстроя России от 04.08.2014 № 15285-ЕС/ 08</t>
  </si>
  <si>
    <t>86,26 * 60% * 1,3 * 3,7</t>
  </si>
  <si>
    <t>3)(Пользовательский)</t>
  </si>
  <si>
    <t xml:space="preserve">Коммунальные инженерные сети и сооружения. 2012 г. Глава 2.6 Таблица 14-1
Суммарная нагрузка 2 Гкал/ч (свыше 10 до 40 Гкал/ч)
Стадия -"Рабочая документация"=60%;                                                                            К=3,7 – индекс  3-го квартала 2014 г по письму Минстроя России от 04.08.2014 № 15285-ЕС/ 08
</t>
  </si>
  <si>
    <t>(1 068,07 + 4,25 * (0,4 * 10 + 0,6 * 2)) * 60% * 3,7</t>
  </si>
  <si>
    <t>Итого по смете: десять миллионов шестьсот пятьдесят шесь тысяч сетыреста семьдесят девять рублей</t>
  </si>
  <si>
    <t>6)(Пользовательский)</t>
  </si>
  <si>
    <t>2 589,981* 4%</t>
  </si>
  <si>
    <t>2 589,981 * 10%</t>
  </si>
  <si>
    <t>2 589,981 * 25%</t>
  </si>
  <si>
    <t>3 884,972 * 25%</t>
  </si>
  <si>
    <t>Ед. измер.</t>
  </si>
  <si>
    <t>Объем работ</t>
  </si>
  <si>
    <t>Сумма руб.</t>
  </si>
  <si>
    <t>Стоимость ед. измер.</t>
  </si>
  <si>
    <t>100 м.куб.</t>
  </si>
  <si>
    <t>Инженерное обследование (здание 2 этажное 3-я категория сложности здания и 3-я категория сложности работ)
Объем: 81х37,6х18,5=56343,6 м3</t>
  </si>
  <si>
    <t>Определение прочности бетона в конструкции механическими приборами (количество мест определения до 100, высота испытаний до 6 м)</t>
  </si>
  <si>
    <t>СБЦ на обмерные работы и обследование зданий и сооружений, Таб. № 4, (категория сложности работ - 3, категория сложности здания - 3, высоте здания - 18)
К=1,15 - Насыщенность оборудованием более 50 % площади помещений, затрудняющая производство обмерно-обследовательских работ или выполнение обмеров и обследований в затрудненных условиях (захламленность, стесненность, частично разобраны полы и др.) Таб. № 10 п. 2
(32,29 * 1,15 = 37,13)</t>
  </si>
  <si>
    <t>1 место</t>
  </si>
  <si>
    <t>Определение прочности бетона в конструкциях ультразвуковыми приборами (количество мест определения до 100, высота испытаний до 6м)</t>
  </si>
  <si>
    <t>СБЦ на обмерные работы и обследование зданий и сооружений, Таб. № 13 п. 1 (при количестве мест определения от 51 до 150 при высоте 6 м)
К=1,15 - Насыщенность оборудованием более 50 % площади помещений, затрудняющая производство обмерно-обследовательских работ или выполнение обмеров и обследований в затрудненных условиях (захламленность, стесненность, частично разобраны полы и др.) Таб. № 10 п. 2
(3,36 * 1,15 = 3,86)</t>
  </si>
  <si>
    <t>СБЦ на обмерные работы и обследование зданий и сооружений, Таб. № 13 п.2 (при количестве мест определения от 51 до 150 при высоте 6 м)
К=1,15 - Насыщенность оборудованием более 50 % площади помещений, затрудняющая производство обмерно-обследовательских работ или выполнение обмеров и обследований в затрудненных условиях (захламленность, стесненность, частично разобраны полы и др.) Таб. № 10 п. 2
К=1,15 - Затраты на подготовку аппаратуры для испытаний, доставку ее к месту работы и обратно, перенос во время испытаний Примечание к Таб. № 13 п. 3,5
(3,04 * 1,15 * 1,15 = 4,02)</t>
  </si>
  <si>
    <t>СБЦ на обмерные работы и обследование зданий и сооружений, Таб. № 15 п.1 (осмотр конструкций и высверливание керна с торцовкой проскостей)
К=1,15 - Насыщенность оборудованием более 50 % площади помещений, затрудняющая производство обмерно-обследовательских работ или выполнение обмеров и обследований в затрудненных условиях (захламленность, стесненность, частично разобраны полы и др.) Таб. № 10 п. 2
(6,48 * 1,15 = 7,45)</t>
  </si>
  <si>
    <t>Изучение проектной и исполнительной документации (предпроектные работы)</t>
  </si>
  <si>
    <t>СБЦ на обмерные работы и обследование зданий и сооружений  ОУ п. 2.13
8 % от стоимость обследования (от п. 1) (20920,38 * 8% = 1 673,63)
6% от стоимости испытаний (от п. 2, 3, 4) (386 + 402 + 74,50) * 6% = 51,75)</t>
  </si>
  <si>
    <t>Петереход в текущий уровень цен на 3 кварытал 2014 года</t>
  </si>
  <si>
    <t>Минстрой России Письмо № 15285-ЕС/08 от 04.08.2014 
Индекс изменения сметной стоимости проектных работ для строительства к справочникам базовых цен на проектные работы:
к уровню цен по состоянию на 01.01.1995года, с учетов понижений, приведенных с письмом Госстроя России от 13.01.1996 года № 9-1-1/6 – 28,50</t>
  </si>
  <si>
    <t>РАЗДЕЛ № 2. ОБМЕРНЫЕ РАБОТЫ.</t>
  </si>
  <si>
    <t>РАЗДЕЛ № 1. ИНСТРУМЕНТАЛЬНОЕ ОБСЛЕДОВАНИЕ.</t>
  </si>
  <si>
    <t>СБЦ на обмерные работы и обследование зданий и сооружений, Таб. № 2, (категория сложности работ - 3, категория сложности здания - 3, высоте здания - 18)
К=1,15 - Насыщенность оборудованием более 50 % площади помещений, затрудняющая производство обмерно-обследовательских работ или выполнение обмеров и обследований в затрудненных условиях (захламленность, стесненность, частично разобраны полы и др.) Таб. № 10 п. 2
(27,78 * 1,15 = 31,95)</t>
  </si>
  <si>
    <t>ИТОГО без НДС</t>
  </si>
  <si>
    <t>ИТОГО ПО СМЕТЕ</t>
  </si>
  <si>
    <t>Налог на добавленную стоимост (НДС 18 %)</t>
  </si>
  <si>
    <t>Итого по смете: один миллион триста девяносто пять  тысяч девятьсот восемьдесят два рубль</t>
  </si>
  <si>
    <r>
      <t xml:space="preserve">Итого по смете:   </t>
    </r>
    <r>
      <rPr>
        <b/>
        <sz val="8"/>
        <color indexed="8"/>
        <rFont val="Arial"/>
        <family val="2"/>
        <charset val="204"/>
      </rPr>
      <t xml:space="preserve"> девятнадцать один миллионов сто тридцать тысяч пятьсот шестьдесят один рубль</t>
    </r>
  </si>
  <si>
    <t xml:space="preserve">Реконструкция объекта "Бассейн Военного института физической культуры, г. Санкт-Петербург, ул. </t>
  </si>
  <si>
    <t>Руководитель проектной организации 
Директор                            _________________________  (      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</si>
</sst>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0.0000"/>
    <numFmt numFmtId="166" formatCode="0.000"/>
    <numFmt numFmtId="167" formatCode="#,##0.000"/>
  </numFmts>
  <fonts count="42" x14ac:knownFonts="1">
    <font>
      <sz val="11"/>
      <color theme="1"/>
      <name val="Calibri"/>
      <family val="2"/>
      <charset val="204"/>
      <scheme val="minor"/>
    </font>
    <font>
      <sz val="7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2"/>
      <color theme="1"/>
      <name val="Tahoma"/>
      <family val="2"/>
      <charset val="204"/>
    </font>
    <font>
      <i/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u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9"/>
      <color rgb="FF000000"/>
      <name val="Arial"/>
      <family val="2"/>
      <charset val="204"/>
    </font>
    <font>
      <sz val="9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name val="Arial Cyr"/>
      <charset val="204"/>
    </font>
    <font>
      <sz val="7"/>
      <color rgb="FF000000"/>
      <name val="Times New Roman"/>
      <family val="1"/>
      <charset val="204"/>
    </font>
    <font>
      <b/>
      <i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name val="Arial Cyr"/>
      <charset val="204"/>
    </font>
    <font>
      <sz val="9"/>
      <name val="Arial Cyr"/>
      <charset val="204"/>
    </font>
    <font>
      <sz val="9"/>
      <color indexed="9"/>
      <name val="Arial Cyr"/>
      <charset val="204"/>
    </font>
    <font>
      <b/>
      <sz val="9"/>
      <name val="Arial Cyr"/>
      <charset val="204"/>
    </font>
    <font>
      <u/>
      <sz val="9"/>
      <name val="Times New Roman"/>
      <family val="1"/>
      <charset val="204"/>
    </font>
    <font>
      <u/>
      <sz val="10"/>
      <name val="Arial Cyr"/>
      <charset val="204"/>
    </font>
    <font>
      <b/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9">
    <xf numFmtId="0" fontId="0" fillId="0" borderId="0"/>
    <xf numFmtId="0" fontId="3" fillId="2" borderId="0">
      <alignment horizontal="left" vertical="top"/>
    </xf>
    <xf numFmtId="0" fontId="3" fillId="2" borderId="0">
      <alignment horizontal="center" vertical="center"/>
    </xf>
    <xf numFmtId="0" fontId="5" fillId="2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center" vertical="center"/>
    </xf>
    <xf numFmtId="0" fontId="3" fillId="2" borderId="0">
      <alignment horizontal="center" vertical="top"/>
    </xf>
    <xf numFmtId="0" fontId="3" fillId="2" borderId="0">
      <alignment horizontal="center" vertical="top"/>
    </xf>
    <xf numFmtId="0" fontId="3" fillId="2" borderId="0">
      <alignment horizontal="center" vertical="center"/>
    </xf>
    <xf numFmtId="0" fontId="3" fillId="2" borderId="0">
      <alignment horizontal="left" vertical="center"/>
    </xf>
    <xf numFmtId="0" fontId="3" fillId="2" borderId="0">
      <alignment horizontal="center" vertical="center"/>
    </xf>
    <xf numFmtId="0" fontId="3" fillId="2" borderId="0">
      <alignment horizontal="left" vertical="top"/>
    </xf>
    <xf numFmtId="0" fontId="3" fillId="2" borderId="0">
      <alignment horizontal="center" vertical="center"/>
    </xf>
    <xf numFmtId="0" fontId="3" fillId="2" borderId="0">
      <alignment horizontal="left" vertical="top"/>
    </xf>
    <xf numFmtId="0" fontId="8" fillId="2" borderId="0">
      <alignment horizontal="left" vertical="top"/>
    </xf>
    <xf numFmtId="0" fontId="5" fillId="2" borderId="0">
      <alignment horizontal="center" vertical="top"/>
    </xf>
    <xf numFmtId="0" fontId="5" fillId="2" borderId="0">
      <alignment horizontal="left" vertical="top"/>
    </xf>
    <xf numFmtId="0" fontId="1" fillId="0" borderId="0">
      <alignment horizontal="left" vertical="center"/>
    </xf>
    <xf numFmtId="0" fontId="2" fillId="0" borderId="0">
      <alignment horizontal="right" vertical="center"/>
    </xf>
    <xf numFmtId="0" fontId="7" fillId="0" borderId="0">
      <alignment horizontal="center" vertical="center"/>
    </xf>
    <xf numFmtId="0" fontId="3" fillId="0" borderId="0">
      <alignment horizontal="center" vertical="top"/>
    </xf>
    <xf numFmtId="0" fontId="8" fillId="0" borderId="0">
      <alignment horizontal="left" vertical="top"/>
    </xf>
    <xf numFmtId="0" fontId="3" fillId="0" borderId="0">
      <alignment horizontal="left" vertical="top"/>
    </xf>
    <xf numFmtId="0" fontId="8" fillId="0" borderId="0">
      <alignment horizontal="left" vertical="center"/>
    </xf>
    <xf numFmtId="0" fontId="3" fillId="0" borderId="0">
      <alignment horizontal="left" vertical="center"/>
    </xf>
    <xf numFmtId="0" fontId="8" fillId="0" borderId="0">
      <alignment horizontal="left" vertical="top"/>
    </xf>
    <xf numFmtId="0" fontId="3" fillId="0" borderId="0">
      <alignment horizontal="left" vertical="top"/>
    </xf>
    <xf numFmtId="0" fontId="3" fillId="0" borderId="1">
      <alignment horizontal="center" vertical="center"/>
    </xf>
    <xf numFmtId="0" fontId="3" fillId="0" borderId="1">
      <alignment horizontal="center" vertical="center"/>
    </xf>
    <xf numFmtId="0" fontId="3" fillId="0" borderId="1">
      <alignment horizontal="center" vertical="center"/>
    </xf>
    <xf numFmtId="0" fontId="8" fillId="0" borderId="3">
      <alignment horizontal="center" vertical="center"/>
    </xf>
    <xf numFmtId="0" fontId="3" fillId="0" borderId="3">
      <alignment horizontal="left" vertical="center"/>
    </xf>
    <xf numFmtId="0" fontId="3" fillId="0" borderId="3">
      <alignment horizontal="right" vertical="center"/>
    </xf>
    <xf numFmtId="0" fontId="3" fillId="0" borderId="3">
      <alignment horizontal="left" vertical="top"/>
    </xf>
    <xf numFmtId="0" fontId="3" fillId="0" borderId="3">
      <alignment horizontal="right" vertical="center"/>
    </xf>
    <xf numFmtId="0" fontId="3" fillId="0" borderId="3">
      <alignment horizontal="right" vertical="top"/>
    </xf>
    <xf numFmtId="0" fontId="3" fillId="0" borderId="0">
      <alignment horizontal="left" vertical="top"/>
    </xf>
    <xf numFmtId="0" fontId="13" fillId="0" borderId="0">
      <alignment horizontal="left" vertical="top"/>
    </xf>
    <xf numFmtId="0" fontId="20" fillId="0" borderId="0"/>
  </cellStyleXfs>
  <cellXfs count="483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/>
    <xf numFmtId="0" fontId="0" fillId="0" borderId="0" xfId="0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0" fontId="3" fillId="0" borderId="1" xfId="0" applyFont="1" applyBorder="1" applyAlignment="1">
      <alignment horizontal="left" vertical="center" wrapText="1"/>
    </xf>
    <xf numFmtId="16" fontId="3" fillId="0" borderId="1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9" fontId="3" fillId="0" borderId="12" xfId="0" applyNumberFormat="1" applyFont="1" applyBorder="1" applyAlignment="1">
      <alignment horizontal="center" vertical="center" wrapText="1"/>
    </xf>
    <xf numFmtId="0" fontId="0" fillId="0" borderId="0" xfId="0" applyFont="1" applyBorder="1"/>
    <xf numFmtId="165" fontId="3" fillId="0" borderId="1" xfId="0" applyNumberFormat="1" applyFont="1" applyBorder="1" applyAlignment="1">
      <alignment horizontal="right" vertical="center" wrapText="1"/>
    </xf>
    <xf numFmtId="165" fontId="0" fillId="0" borderId="0" xfId="0" applyNumberFormat="1" applyFont="1"/>
    <xf numFmtId="165" fontId="3" fillId="0" borderId="12" xfId="0" applyNumberFormat="1" applyFont="1" applyBorder="1" applyAlignment="1">
      <alignment horizontal="right"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0" fontId="0" fillId="0" borderId="0" xfId="0" applyFill="1" applyAlignment="1">
      <alignment wrapText="1"/>
    </xf>
    <xf numFmtId="0" fontId="3" fillId="0" borderId="0" xfId="1" applyFill="1" applyAlignment="1">
      <alignment vertical="top" wrapText="1"/>
    </xf>
    <xf numFmtId="0" fontId="3" fillId="0" borderId="1" xfId="8" applyNumberFormat="1" applyFill="1" applyBorder="1" applyAlignment="1">
      <alignment horizontal="center" vertical="center" wrapText="1"/>
    </xf>
    <xf numFmtId="14" fontId="3" fillId="0" borderId="1" xfId="10" applyNumberFormat="1" applyFill="1" applyBorder="1" applyAlignment="1">
      <alignment horizontal="center" vertical="center" wrapText="1"/>
    </xf>
    <xf numFmtId="0" fontId="3" fillId="0" borderId="0" xfId="1" quotePrefix="1" applyFill="1" applyAlignment="1">
      <alignment horizontal="left" vertical="top" wrapText="1"/>
    </xf>
    <xf numFmtId="0" fontId="0" fillId="0" borderId="0" xfId="0" applyAlignment="1">
      <alignment wrapText="1"/>
    </xf>
    <xf numFmtId="0" fontId="3" fillId="0" borderId="1" xfId="27" quotePrefix="1" applyBorder="1" applyAlignment="1">
      <alignment horizontal="center" vertical="top" wrapText="1"/>
    </xf>
    <xf numFmtId="0" fontId="3" fillId="0" borderId="1" xfId="28" quotePrefix="1" applyBorder="1" applyAlignment="1">
      <alignment horizontal="center" vertical="top" wrapText="1"/>
    </xf>
    <xf numFmtId="0" fontId="3" fillId="0" borderId="1" xfId="29" applyNumberFormat="1" applyBorder="1" applyAlignment="1">
      <alignment horizontal="center" vertical="top" wrapText="1"/>
    </xf>
    <xf numFmtId="0" fontId="3" fillId="0" borderId="9" xfId="31" quotePrefix="1" applyBorder="1" applyAlignment="1">
      <alignment horizontal="left" vertical="top" wrapText="1"/>
    </xf>
    <xf numFmtId="0" fontId="3" fillId="0" borderId="10" xfId="31" quotePrefix="1" applyBorder="1" applyAlignment="1">
      <alignment horizontal="left" vertical="top" wrapText="1"/>
    </xf>
    <xf numFmtId="0" fontId="3" fillId="0" borderId="10" xfId="31" applyBorder="1" applyAlignment="1">
      <alignment horizontal="left" vertical="top" wrapText="1"/>
    </xf>
    <xf numFmtId="0" fontId="3" fillId="0" borderId="10" xfId="31" quotePrefix="1" applyBorder="1" applyAlignment="1">
      <alignment horizontal="center" vertical="top" wrapText="1"/>
    </xf>
    <xf numFmtId="0" fontId="3" fillId="0" borderId="4" xfId="32" applyNumberFormat="1" applyBorder="1" applyAlignment="1">
      <alignment horizontal="right" vertical="top" wrapText="1"/>
    </xf>
    <xf numFmtId="0" fontId="3" fillId="0" borderId="2" xfId="33" quotePrefix="1" applyBorder="1" applyAlignment="1">
      <alignment horizontal="left" vertical="top" wrapText="1"/>
    </xf>
    <xf numFmtId="0" fontId="3" fillId="0" borderId="3" xfId="34" quotePrefix="1" applyBorder="1" applyAlignment="1">
      <alignment horizontal="right" vertical="top" wrapText="1"/>
    </xf>
    <xf numFmtId="0" fontId="3" fillId="0" borderId="11" xfId="32" applyNumberFormat="1" applyBorder="1" applyAlignment="1">
      <alignment horizontal="right" vertical="top" wrapText="1"/>
    </xf>
    <xf numFmtId="0" fontId="3" fillId="0" borderId="2" xfId="31" quotePrefix="1" applyBorder="1" applyAlignment="1">
      <alignment horizontal="left" vertical="top" wrapText="1"/>
    </xf>
    <xf numFmtId="0" fontId="3" fillId="0" borderId="3" xfId="31" quotePrefix="1" applyBorder="1" applyAlignment="1">
      <alignment horizontal="left" vertical="top" wrapText="1"/>
    </xf>
    <xf numFmtId="0" fontId="3" fillId="0" borderId="3" xfId="31" applyBorder="1" applyAlignment="1">
      <alignment horizontal="left" vertical="top" wrapText="1"/>
    </xf>
    <xf numFmtId="0" fontId="3" fillId="0" borderId="3" xfId="31" quotePrefix="1" applyBorder="1" applyAlignment="1">
      <alignment horizontal="center" vertical="top" wrapText="1"/>
    </xf>
    <xf numFmtId="0" fontId="3" fillId="0" borderId="4" xfId="32" applyNumberFormat="1" applyBorder="1" applyAlignment="1">
      <alignment horizontal="right" vertical="center" wrapText="1"/>
    </xf>
    <xf numFmtId="0" fontId="3" fillId="0" borderId="3" xfId="31" quotePrefix="1" applyBorder="1" applyAlignment="1">
      <alignment horizontal="left" vertical="center" wrapText="1"/>
    </xf>
    <xf numFmtId="0" fontId="3" fillId="0" borderId="4" xfId="35" applyNumberFormat="1" applyBorder="1" applyAlignment="1">
      <alignment horizontal="right" vertical="top" wrapText="1"/>
    </xf>
    <xf numFmtId="0" fontId="3" fillId="0" borderId="3" xfId="34" quotePrefix="1" applyBorder="1" applyAlignment="1">
      <alignment horizontal="right" vertical="center" wrapText="1"/>
    </xf>
    <xf numFmtId="0" fontId="3" fillId="0" borderId="10" xfId="33" quotePrefix="1" applyBorder="1" applyAlignment="1">
      <alignment horizontal="left" vertical="top" wrapText="1"/>
    </xf>
    <xf numFmtId="0" fontId="3" fillId="0" borderId="10" xfId="33" applyBorder="1" applyAlignment="1">
      <alignment horizontal="left" vertical="top" wrapText="1"/>
    </xf>
    <xf numFmtId="0" fontId="3" fillId="0" borderId="10" xfId="34" quotePrefix="1" applyBorder="1" applyAlignment="1">
      <alignment horizontal="right" vertical="center" wrapText="1"/>
    </xf>
    <xf numFmtId="0" fontId="3" fillId="0" borderId="10" xfId="35" applyNumberFormat="1" applyBorder="1" applyAlignment="1">
      <alignment horizontal="right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top" wrapText="1"/>
    </xf>
    <xf numFmtId="0" fontId="16" fillId="0" borderId="0" xfId="0" applyFont="1" applyFill="1" applyBorder="1" applyAlignment="1">
      <alignment wrapText="1"/>
    </xf>
    <xf numFmtId="0" fontId="17" fillId="0" borderId="1" xfId="11" quotePrefix="1" applyFont="1" applyFill="1" applyBorder="1" applyAlignment="1">
      <alignment horizontal="center" vertical="center" wrapText="1"/>
    </xf>
    <xf numFmtId="0" fontId="14" fillId="0" borderId="1" xfId="10" quotePrefix="1" applyFont="1" applyFill="1" applyBorder="1" applyAlignment="1">
      <alignment horizontal="left" vertical="center" wrapText="1"/>
    </xf>
    <xf numFmtId="2" fontId="14" fillId="0" borderId="1" xfId="12" applyNumberFormat="1" applyFont="1" applyFill="1" applyBorder="1" applyAlignment="1">
      <alignment horizontal="right" vertical="center" wrapText="1"/>
    </xf>
    <xf numFmtId="2" fontId="16" fillId="0" borderId="0" xfId="0" applyNumberFormat="1" applyFont="1" applyFill="1" applyBorder="1" applyAlignment="1">
      <alignment wrapText="1"/>
    </xf>
    <xf numFmtId="2" fontId="14" fillId="0" borderId="4" xfId="16" applyNumberFormat="1" applyFont="1" applyFill="1" applyBorder="1" applyAlignment="1">
      <alignment horizontal="right" vertical="center" wrapText="1"/>
    </xf>
    <xf numFmtId="0" fontId="14" fillId="0" borderId="1" xfId="11" quotePrefix="1" applyFont="1" applyFill="1" applyBorder="1" applyAlignment="1">
      <alignment horizontal="center" vertical="center" wrapText="1"/>
    </xf>
    <xf numFmtId="0" fontId="14" fillId="0" borderId="1" xfId="12" quotePrefix="1" applyFont="1" applyFill="1" applyBorder="1" applyAlignment="1">
      <alignment horizontal="right" vertical="center" wrapText="1"/>
    </xf>
    <xf numFmtId="2" fontId="14" fillId="0" borderId="1" xfId="14" applyNumberFormat="1" applyFont="1" applyFill="1" applyBorder="1" applyAlignment="1">
      <alignment horizontal="right" vertical="center" wrapText="1"/>
    </xf>
    <xf numFmtId="2" fontId="14" fillId="0" borderId="1" xfId="14" applyNumberFormat="1" applyFont="1" applyFill="1" applyBorder="1" applyAlignment="1">
      <alignment horizontal="right" vertical="top" wrapText="1"/>
    </xf>
    <xf numFmtId="0" fontId="14" fillId="0" borderId="1" xfId="10" applyFont="1" applyFill="1" applyBorder="1" applyAlignment="1">
      <alignment horizontal="left" vertical="center" wrapText="1"/>
    </xf>
    <xf numFmtId="2" fontId="14" fillId="0" borderId="1" xfId="16" applyNumberFormat="1" applyFont="1" applyFill="1" applyBorder="1" applyAlignment="1">
      <alignment horizontal="right" vertical="center" wrapText="1"/>
    </xf>
    <xf numFmtId="0" fontId="14" fillId="0" borderId="0" xfId="16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wrapText="1"/>
    </xf>
    <xf numFmtId="0" fontId="1" fillId="0" borderId="0" xfId="17" applyFont="1" applyFill="1" applyBorder="1" applyAlignment="1">
      <alignment horizontal="left" vertical="top"/>
    </xf>
    <xf numFmtId="0" fontId="1" fillId="0" borderId="0" xfId="17" applyFont="1" applyFill="1" applyBorder="1" applyAlignment="1">
      <alignment horizontal="left" vertical="top" wrapText="1"/>
    </xf>
    <xf numFmtId="0" fontId="2" fillId="0" borderId="0" xfId="18" quotePrefix="1" applyFont="1" applyFill="1" applyBorder="1" applyAlignment="1">
      <alignment horizontal="right" vertical="top" wrapText="1"/>
    </xf>
    <xf numFmtId="0" fontId="2" fillId="0" borderId="0" xfId="18" applyFont="1" applyFill="1" applyBorder="1" applyAlignment="1">
      <alignment horizontal="right" vertical="top" wrapText="1"/>
    </xf>
    <xf numFmtId="0" fontId="3" fillId="0" borderId="1" xfId="27" quotePrefix="1" applyFont="1" applyFill="1" applyBorder="1" applyAlignment="1">
      <alignment horizontal="center" vertical="top" wrapText="1"/>
    </xf>
    <xf numFmtId="0" fontId="3" fillId="0" borderId="1" xfId="28" quotePrefix="1" applyFont="1" applyFill="1" applyBorder="1" applyAlignment="1">
      <alignment horizontal="center" vertical="top" wrapText="1"/>
    </xf>
    <xf numFmtId="0" fontId="3" fillId="0" borderId="1" xfId="29" applyNumberFormat="1" applyFont="1" applyFill="1" applyBorder="1" applyAlignment="1">
      <alignment horizontal="center" vertical="top" wrapText="1"/>
    </xf>
    <xf numFmtId="0" fontId="3" fillId="0" borderId="1" xfId="31" quotePrefix="1" applyFont="1" applyFill="1" applyBorder="1" applyAlignment="1">
      <alignment horizontal="left" vertical="top" wrapText="1"/>
    </xf>
    <xf numFmtId="0" fontId="3" fillId="0" borderId="1" xfId="31" quotePrefix="1" applyFont="1" applyFill="1" applyBorder="1" applyAlignment="1">
      <alignment horizontal="center" vertical="top" wrapText="1"/>
    </xf>
    <xf numFmtId="0" fontId="3" fillId="0" borderId="1" xfId="32" applyNumberFormat="1" applyFont="1" applyFill="1" applyBorder="1" applyAlignment="1">
      <alignment horizontal="right" vertical="top" wrapText="1"/>
    </xf>
    <xf numFmtId="0" fontId="3" fillId="0" borderId="1" xfId="33" quotePrefix="1" applyFont="1" applyFill="1" applyBorder="1" applyAlignment="1">
      <alignment horizontal="left" vertical="top" wrapText="1"/>
    </xf>
    <xf numFmtId="0" fontId="3" fillId="0" borderId="3" xfId="34" quotePrefix="1" applyFont="1" applyFill="1" applyBorder="1" applyAlignment="1">
      <alignment horizontal="right" vertical="top" wrapText="1"/>
    </xf>
    <xf numFmtId="0" fontId="3" fillId="0" borderId="4" xfId="35" applyNumberFormat="1" applyFont="1" applyFill="1" applyBorder="1" applyAlignment="1">
      <alignment horizontal="right" vertical="top" wrapText="1"/>
    </xf>
    <xf numFmtId="0" fontId="3" fillId="0" borderId="4" xfId="35" applyFont="1" applyFill="1" applyBorder="1" applyAlignment="1">
      <alignment horizontal="right" vertical="top" wrapText="1"/>
    </xf>
    <xf numFmtId="0" fontId="3" fillId="0" borderId="1" xfId="34" quotePrefix="1" applyFont="1" applyFill="1" applyBorder="1" applyAlignment="1">
      <alignment horizontal="right" vertical="top" wrapText="1"/>
    </xf>
    <xf numFmtId="166" fontId="3" fillId="0" borderId="4" xfId="35" applyNumberFormat="1" applyFont="1" applyFill="1" applyBorder="1" applyAlignment="1">
      <alignment horizontal="right" vertical="top" wrapText="1"/>
    </xf>
    <xf numFmtId="0" fontId="16" fillId="0" borderId="0" xfId="0" applyFont="1" applyFill="1" applyBorder="1" applyAlignment="1">
      <alignment vertical="top" wrapText="1"/>
    </xf>
    <xf numFmtId="0" fontId="16" fillId="0" borderId="0" xfId="0" applyFont="1" applyFill="1" applyBorder="1" applyAlignment="1">
      <alignment horizontal="center" vertical="top" wrapText="1"/>
    </xf>
    <xf numFmtId="0" fontId="20" fillId="0" borderId="0" xfId="38"/>
    <xf numFmtId="166" fontId="22" fillId="0" borderId="0" xfId="18" quotePrefix="1" applyNumberFormat="1" applyFont="1" applyAlignment="1">
      <alignment vertical="top" wrapText="1"/>
    </xf>
    <xf numFmtId="0" fontId="22" fillId="0" borderId="0" xfId="18" applyFont="1" applyAlignment="1">
      <alignment vertical="top" wrapText="1"/>
    </xf>
    <xf numFmtId="0" fontId="20" fillId="0" borderId="0" xfId="38" applyAlignment="1">
      <alignment wrapText="1"/>
    </xf>
    <xf numFmtId="0" fontId="24" fillId="0" borderId="0" xfId="22" applyFont="1" applyAlignment="1">
      <alignment vertical="top" wrapText="1"/>
    </xf>
    <xf numFmtId="0" fontId="24" fillId="0" borderId="0" xfId="22" quotePrefix="1" applyFont="1" applyAlignment="1">
      <alignment vertical="top" wrapText="1"/>
    </xf>
    <xf numFmtId="0" fontId="24" fillId="0" borderId="0" xfId="24" applyFont="1" applyAlignment="1">
      <alignment vertical="top" wrapText="1"/>
    </xf>
    <xf numFmtId="0" fontId="24" fillId="0" borderId="0" xfId="26" applyFont="1" applyAlignment="1">
      <alignment horizontal="left" vertical="top" wrapText="1"/>
    </xf>
    <xf numFmtId="0" fontId="24" fillId="0" borderId="0" xfId="26" applyFont="1" applyAlignment="1">
      <alignment horizontal="center" vertical="top" wrapText="1"/>
    </xf>
    <xf numFmtId="166" fontId="24" fillId="0" borderId="0" xfId="26" applyNumberFormat="1" applyFont="1" applyAlignment="1">
      <alignment horizontal="left" vertical="top" wrapText="1"/>
    </xf>
    <xf numFmtId="0" fontId="24" fillId="0" borderId="0" xfId="26" applyFont="1" applyAlignment="1">
      <alignment vertical="top" wrapText="1"/>
    </xf>
    <xf numFmtId="0" fontId="25" fillId="0" borderId="0" xfId="21" quotePrefix="1" applyFont="1" applyAlignment="1">
      <alignment horizontal="left" vertical="top"/>
    </xf>
    <xf numFmtId="0" fontId="25" fillId="0" borderId="0" xfId="21" applyFont="1" applyAlignment="1">
      <alignment horizontal="left" vertical="top" wrapText="1"/>
    </xf>
    <xf numFmtId="0" fontId="25" fillId="0" borderId="0" xfId="21" quotePrefix="1" applyFont="1" applyAlignment="1">
      <alignment horizontal="left" vertical="top" wrapText="1"/>
    </xf>
    <xf numFmtId="0" fontId="24" fillId="0" borderId="0" xfId="22" applyFont="1" applyAlignment="1">
      <alignment horizontal="left" vertical="top" wrapText="1"/>
    </xf>
    <xf numFmtId="0" fontId="26" fillId="0" borderId="1" xfId="38" applyFont="1" applyBorder="1" applyAlignment="1">
      <alignment horizontal="center" vertical="top"/>
    </xf>
    <xf numFmtId="0" fontId="26" fillId="0" borderId="1" xfId="38" applyFont="1" applyBorder="1" applyAlignment="1">
      <alignment horizontal="center" vertical="top" wrapText="1"/>
    </xf>
    <xf numFmtId="166" fontId="26" fillId="0" borderId="1" xfId="38" applyNumberFormat="1" applyFont="1" applyBorder="1" applyAlignment="1">
      <alignment horizontal="center" vertical="top" wrapText="1"/>
    </xf>
    <xf numFmtId="0" fontId="27" fillId="0" borderId="0" xfId="38" applyFont="1" applyAlignment="1">
      <alignment horizontal="center" vertical="center"/>
    </xf>
    <xf numFmtId="0" fontId="28" fillId="0" borderId="0" xfId="38" applyFont="1" applyAlignment="1">
      <alignment horizontal="center" vertical="center"/>
    </xf>
    <xf numFmtId="0" fontId="26" fillId="0" borderId="2" xfId="38" applyFont="1" applyBorder="1" applyAlignment="1">
      <alignment horizontal="center" vertical="top" wrapText="1"/>
    </xf>
    <xf numFmtId="0" fontId="26" fillId="0" borderId="4" xfId="38" applyFont="1" applyBorder="1" applyAlignment="1">
      <alignment horizontal="center" vertical="top" wrapText="1"/>
    </xf>
    <xf numFmtId="49" fontId="26" fillId="0" borderId="1" xfId="38" applyNumberFormat="1" applyFont="1" applyBorder="1" applyAlignment="1">
      <alignment horizontal="center" vertical="top" wrapText="1"/>
    </xf>
    <xf numFmtId="0" fontId="29" fillId="0" borderId="2" xfId="38" applyFont="1" applyBorder="1" applyAlignment="1">
      <alignment vertical="top"/>
    </xf>
    <xf numFmtId="0" fontId="26" fillId="0" borderId="4" xfId="38" applyFont="1" applyBorder="1" applyAlignment="1">
      <alignment vertical="top"/>
    </xf>
    <xf numFmtId="0" fontId="26" fillId="0" borderId="1" xfId="38" applyFont="1" applyBorder="1" applyAlignment="1">
      <alignment vertical="top"/>
    </xf>
    <xf numFmtId="166" fontId="26" fillId="0" borderId="1" xfId="38" applyNumberFormat="1" applyFont="1" applyBorder="1" applyAlignment="1">
      <alignment vertical="top"/>
    </xf>
    <xf numFmtId="0" fontId="26" fillId="0" borderId="0" xfId="38" applyFont="1"/>
    <xf numFmtId="0" fontId="26" fillId="0" borderId="1" xfId="38" applyFont="1" applyBorder="1" applyAlignment="1">
      <alignment vertical="top" wrapText="1"/>
    </xf>
    <xf numFmtId="0" fontId="26" fillId="0" borderId="1" xfId="38" applyFont="1" applyBorder="1" applyAlignment="1">
      <alignment horizontal="center" vertical="center" wrapText="1"/>
    </xf>
    <xf numFmtId="49" fontId="26" fillId="0" borderId="1" xfId="38" applyNumberFormat="1" applyFont="1" applyBorder="1" applyAlignment="1">
      <alignment horizontal="center" vertical="top"/>
    </xf>
    <xf numFmtId="0" fontId="26" fillId="0" borderId="1" xfId="0" applyNumberFormat="1" applyFont="1" applyBorder="1" applyAlignment="1">
      <alignment vertical="top" wrapText="1"/>
    </xf>
    <xf numFmtId="3" fontId="26" fillId="0" borderId="0" xfId="38" applyNumberFormat="1" applyFont="1"/>
    <xf numFmtId="0" fontId="30" fillId="0" borderId="0" xfId="0" applyFont="1" applyAlignment="1">
      <alignment vertical="top" wrapText="1"/>
    </xf>
    <xf numFmtId="0" fontId="29" fillId="0" borderId="1" xfId="38" applyFont="1" applyBorder="1" applyAlignment="1">
      <alignment horizontal="center" vertical="top"/>
    </xf>
    <xf numFmtId="0" fontId="29" fillId="0" borderId="0" xfId="38" applyFont="1"/>
    <xf numFmtId="0" fontId="31" fillId="0" borderId="0" xfId="38" applyFont="1"/>
    <xf numFmtId="0" fontId="29" fillId="4" borderId="1" xfId="38" applyFont="1" applyFill="1" applyBorder="1" applyAlignment="1">
      <alignment horizontal="left" vertical="top" wrapText="1"/>
    </xf>
    <xf numFmtId="9" fontId="26" fillId="0" borderId="1" xfId="38" applyNumberFormat="1" applyFont="1" applyBorder="1" applyAlignment="1">
      <alignment vertical="top"/>
    </xf>
    <xf numFmtId="0" fontId="29" fillId="0" borderId="1" xfId="38" applyFont="1" applyBorder="1" applyAlignment="1">
      <alignment vertical="top"/>
    </xf>
    <xf numFmtId="0" fontId="32" fillId="0" borderId="1" xfId="38" applyFont="1" applyBorder="1" applyAlignment="1">
      <alignment horizontal="center" vertical="top"/>
    </xf>
    <xf numFmtId="0" fontId="32" fillId="0" borderId="1" xfId="38" applyFont="1" applyFill="1" applyBorder="1" applyAlignment="1">
      <alignment vertical="top"/>
    </xf>
    <xf numFmtId="0" fontId="32" fillId="0" borderId="1" xfId="38" applyFont="1" applyBorder="1" applyAlignment="1">
      <alignment vertical="top"/>
    </xf>
    <xf numFmtId="0" fontId="33" fillId="4" borderId="1" xfId="38" applyFont="1" applyFill="1" applyBorder="1" applyAlignment="1">
      <alignment horizontal="left" vertical="top"/>
    </xf>
    <xf numFmtId="166" fontId="32" fillId="0" borderId="1" xfId="38" applyNumberFormat="1" applyFont="1" applyBorder="1" applyAlignment="1">
      <alignment vertical="top"/>
    </xf>
    <xf numFmtId="0" fontId="32" fillId="0" borderId="0" xfId="38" applyFont="1"/>
    <xf numFmtId="9" fontId="32" fillId="0" borderId="1" xfId="38" applyNumberFormat="1" applyFont="1" applyBorder="1" applyAlignment="1">
      <alignment vertical="top"/>
    </xf>
    <xf numFmtId="0" fontId="34" fillId="0" borderId="1" xfId="38" applyFont="1" applyBorder="1" applyAlignment="1">
      <alignment horizontal="center" vertical="top"/>
    </xf>
    <xf numFmtId="0" fontId="34" fillId="0" borderId="1" xfId="38" applyFont="1" applyBorder="1" applyAlignment="1">
      <alignment vertical="top"/>
    </xf>
    <xf numFmtId="166" fontId="34" fillId="0" borderId="1" xfId="38" applyNumberFormat="1" applyFont="1" applyBorder="1" applyAlignment="1">
      <alignment vertical="top"/>
    </xf>
    <xf numFmtId="0" fontId="34" fillId="0" borderId="0" xfId="38" applyFont="1"/>
    <xf numFmtId="0" fontId="32" fillId="0" borderId="0" xfId="38" applyFont="1" applyAlignment="1">
      <alignment horizontal="center" vertical="top"/>
    </xf>
    <xf numFmtId="0" fontId="32" fillId="0" borderId="0" xfId="38" applyFont="1" applyAlignment="1">
      <alignment vertical="top"/>
    </xf>
    <xf numFmtId="166" fontId="32" fillId="0" borderId="0" xfId="38" applyNumberFormat="1" applyFont="1" applyAlignment="1">
      <alignment vertical="top"/>
    </xf>
    <xf numFmtId="0" fontId="20" fillId="0" borderId="0" xfId="38" applyAlignment="1">
      <alignment vertical="top" wrapText="1"/>
    </xf>
    <xf numFmtId="0" fontId="20" fillId="0" borderId="0" xfId="38" applyAlignment="1">
      <alignment horizontal="center" vertical="top" wrapText="1"/>
    </xf>
    <xf numFmtId="0" fontId="3" fillId="0" borderId="0" xfId="36" applyAlignment="1">
      <alignment vertical="top" wrapText="1"/>
    </xf>
    <xf numFmtId="0" fontId="30" fillId="0" borderId="0" xfId="17" applyFont="1" applyAlignment="1">
      <alignment horizontal="left" vertical="top"/>
    </xf>
    <xf numFmtId="0" fontId="30" fillId="0" borderId="0" xfId="17" applyFont="1" applyAlignment="1">
      <alignment horizontal="left" vertical="top" wrapText="1"/>
    </xf>
    <xf numFmtId="0" fontId="37" fillId="0" borderId="0" xfId="18" quotePrefix="1" applyFont="1" applyAlignment="1">
      <alignment horizontal="right" vertical="top" wrapText="1"/>
    </xf>
    <xf numFmtId="0" fontId="37" fillId="0" borderId="0" xfId="18" applyFont="1" applyAlignment="1">
      <alignment horizontal="right" vertical="top" wrapText="1"/>
    </xf>
    <xf numFmtId="0" fontId="30" fillId="0" borderId="0" xfId="17" quotePrefix="1" applyFont="1" applyAlignment="1">
      <alignment horizontal="left" vertical="top" wrapText="1"/>
    </xf>
    <xf numFmtId="0" fontId="29" fillId="0" borderId="0" xfId="0" applyFont="1" applyAlignment="1">
      <alignment horizontal="center"/>
    </xf>
    <xf numFmtId="0" fontId="29" fillId="0" borderId="0" xfId="0" applyFont="1" applyAlignment="1"/>
    <xf numFmtId="0" fontId="26" fillId="0" borderId="0" xfId="0" applyFont="1"/>
    <xf numFmtId="0" fontId="26" fillId="0" borderId="0" xfId="0" applyFont="1" applyAlignment="1">
      <alignment vertical="top" wrapText="1"/>
    </xf>
    <xf numFmtId="0" fontId="26" fillId="0" borderId="0" xfId="0" applyFont="1" applyAlignment="1">
      <alignment horizontal="center" vertical="top" wrapText="1"/>
    </xf>
    <xf numFmtId="0" fontId="39" fillId="3" borderId="0" xfId="18" applyFont="1" applyFill="1" applyAlignment="1">
      <alignment vertical="top" wrapText="1"/>
    </xf>
    <xf numFmtId="0" fontId="39" fillId="0" borderId="0" xfId="18" applyFont="1" applyAlignment="1">
      <alignment vertical="top" wrapText="1"/>
    </xf>
    <xf numFmtId="0" fontId="27" fillId="3" borderId="0" xfId="22" applyFont="1" applyFill="1" applyAlignment="1">
      <alignment vertical="top" wrapText="1"/>
    </xf>
    <xf numFmtId="0" fontId="27" fillId="0" borderId="0" xfId="22" applyFont="1" applyAlignment="1">
      <alignment vertical="top" wrapText="1"/>
    </xf>
    <xf numFmtId="0" fontId="27" fillId="3" borderId="0" xfId="24" applyFont="1" applyFill="1" applyAlignment="1">
      <alignment vertical="top" wrapText="1"/>
    </xf>
    <xf numFmtId="0" fontId="27" fillId="0" borderId="0" xfId="24" applyFont="1" applyAlignment="1">
      <alignment vertical="top" wrapText="1"/>
    </xf>
    <xf numFmtId="0" fontId="27" fillId="3" borderId="0" xfId="26" applyFont="1" applyFill="1" applyAlignment="1">
      <alignment horizontal="left" vertical="top" wrapText="1"/>
    </xf>
    <xf numFmtId="0" fontId="27" fillId="0" borderId="0" xfId="26" applyFont="1" applyAlignment="1">
      <alignment horizontal="left" vertical="top" wrapText="1"/>
    </xf>
    <xf numFmtId="0" fontId="27" fillId="3" borderId="0" xfId="26" applyFont="1" applyFill="1" applyAlignment="1">
      <alignment vertical="top" wrapText="1"/>
    </xf>
    <xf numFmtId="0" fontId="27" fillId="0" borderId="0" xfId="26" applyFont="1" applyAlignment="1">
      <alignment vertical="top" wrapText="1"/>
    </xf>
    <xf numFmtId="0" fontId="27" fillId="3" borderId="0" xfId="38" applyFont="1" applyFill="1" applyAlignment="1">
      <alignment horizontal="center" vertical="center"/>
    </xf>
    <xf numFmtId="0" fontId="26" fillId="3" borderId="0" xfId="38" applyFont="1" applyFill="1"/>
    <xf numFmtId="0" fontId="41" fillId="0" borderId="0" xfId="0" applyFont="1"/>
    <xf numFmtId="0" fontId="26" fillId="0" borderId="0" xfId="38" applyFont="1" applyFill="1"/>
    <xf numFmtId="0" fontId="20" fillId="0" borderId="0" xfId="38" applyFill="1"/>
    <xf numFmtId="0" fontId="26" fillId="0" borderId="1" xfId="38" applyFont="1" applyFill="1" applyBorder="1" applyAlignment="1">
      <alignment horizontal="center" vertical="top"/>
    </xf>
    <xf numFmtId="0" fontId="26" fillId="0" borderId="1" xfId="38" applyFont="1" applyFill="1" applyBorder="1" applyAlignment="1">
      <alignment vertical="top" wrapText="1"/>
    </xf>
    <xf numFmtId="0" fontId="26" fillId="0" borderId="4" xfId="38" applyFont="1" applyFill="1" applyBorder="1" applyAlignment="1">
      <alignment vertical="top" wrapText="1"/>
    </xf>
    <xf numFmtId="3" fontId="26" fillId="0" borderId="0" xfId="38" applyNumberFormat="1" applyFont="1" applyFill="1"/>
    <xf numFmtId="167" fontId="26" fillId="0" borderId="1" xfId="38" applyNumberFormat="1" applyFont="1" applyFill="1" applyBorder="1" applyAlignment="1">
      <alignment vertical="top" wrapText="1"/>
    </xf>
    <xf numFmtId="0" fontId="26" fillId="0" borderId="1" xfId="38" applyFont="1" applyFill="1" applyBorder="1" applyAlignment="1">
      <alignment horizontal="left" vertical="center" wrapText="1"/>
    </xf>
    <xf numFmtId="167" fontId="26" fillId="0" borderId="1" xfId="38" applyNumberFormat="1" applyFont="1" applyFill="1" applyBorder="1" applyAlignment="1">
      <alignment vertical="center" wrapText="1"/>
    </xf>
    <xf numFmtId="3" fontId="26" fillId="0" borderId="1" xfId="38" applyNumberFormat="1" applyFont="1" applyFill="1" applyBorder="1" applyAlignment="1">
      <alignment vertical="center" wrapText="1"/>
    </xf>
    <xf numFmtId="49" fontId="26" fillId="0" borderId="1" xfId="38" applyNumberFormat="1" applyFont="1" applyFill="1" applyBorder="1" applyAlignment="1">
      <alignment horizontal="center" vertical="top"/>
    </xf>
    <xf numFmtId="0" fontId="26" fillId="0" borderId="1" xfId="0" applyNumberFormat="1" applyFont="1" applyFill="1" applyBorder="1" applyAlignment="1">
      <alignment vertical="top" wrapText="1"/>
    </xf>
    <xf numFmtId="0" fontId="26" fillId="0" borderId="1" xfId="38" applyFont="1" applyFill="1" applyBorder="1" applyAlignment="1">
      <alignment horizontal="left" vertical="top" wrapText="1"/>
    </xf>
    <xf numFmtId="0" fontId="26" fillId="0" borderId="1" xfId="38" applyNumberFormat="1" applyFont="1" applyFill="1" applyBorder="1" applyAlignment="1">
      <alignment vertical="top" wrapText="1"/>
    </xf>
    <xf numFmtId="0" fontId="30" fillId="0" borderId="1" xfId="0" applyFont="1" applyFill="1" applyBorder="1" applyAlignment="1">
      <alignment vertical="top"/>
    </xf>
    <xf numFmtId="0" fontId="26" fillId="0" borderId="1" xfId="38" applyFont="1" applyFill="1" applyBorder="1" applyAlignment="1">
      <alignment vertical="center" wrapText="1"/>
    </xf>
    <xf numFmtId="0" fontId="30" fillId="0" borderId="0" xfId="0" applyFont="1" applyFill="1" applyAlignment="1">
      <alignment vertical="top" wrapText="1"/>
    </xf>
    <xf numFmtId="0" fontId="26" fillId="0" borderId="1" xfId="38" applyFont="1" applyFill="1" applyBorder="1" applyAlignment="1">
      <alignment horizontal="center" vertical="top" wrapText="1"/>
    </xf>
    <xf numFmtId="49" fontId="26" fillId="0" borderId="12" xfId="38" applyNumberFormat="1" applyFont="1" applyFill="1" applyBorder="1" applyAlignment="1">
      <alignment horizontal="center" vertical="top"/>
    </xf>
    <xf numFmtId="0" fontId="26" fillId="0" borderId="12" xfId="38" applyFont="1" applyFill="1" applyBorder="1" applyAlignment="1">
      <alignment vertical="top" wrapText="1"/>
    </xf>
    <xf numFmtId="167" fontId="26" fillId="0" borderId="12" xfId="38" applyNumberFormat="1" applyFont="1" applyFill="1" applyBorder="1" applyAlignment="1">
      <alignment vertical="top" wrapText="1"/>
    </xf>
    <xf numFmtId="0" fontId="28" fillId="0" borderId="0" xfId="38" applyFont="1" applyFill="1"/>
    <xf numFmtId="0" fontId="35" fillId="0" borderId="13" xfId="38" applyFont="1" applyFill="1" applyBorder="1" applyAlignment="1"/>
    <xf numFmtId="0" fontId="35" fillId="0" borderId="0" xfId="38" applyFont="1" applyFill="1" applyBorder="1" applyAlignment="1"/>
    <xf numFmtId="0" fontId="36" fillId="0" borderId="0" xfId="38" applyFont="1" applyFill="1" applyBorder="1" applyAlignment="1"/>
    <xf numFmtId="0" fontId="29" fillId="0" borderId="1" xfId="38" applyFont="1" applyFill="1" applyBorder="1" applyAlignment="1">
      <alignment horizontal="center" vertical="top"/>
    </xf>
    <xf numFmtId="0" fontId="29" fillId="0" borderId="0" xfId="38" applyFont="1" applyFill="1"/>
    <xf numFmtId="0" fontId="31" fillId="0" borderId="0" xfId="38" applyFont="1" applyFill="1"/>
    <xf numFmtId="0" fontId="29" fillId="0" borderId="1" xfId="38" applyFont="1" applyFill="1" applyBorder="1" applyAlignment="1">
      <alignment horizontal="left" vertical="top" wrapText="1"/>
    </xf>
    <xf numFmtId="9" fontId="26" fillId="0" borderId="1" xfId="38" applyNumberFormat="1" applyFont="1" applyFill="1" applyBorder="1" applyAlignment="1">
      <alignment vertical="top"/>
    </xf>
    <xf numFmtId="0" fontId="29" fillId="0" borderId="1" xfId="38" applyFont="1" applyFill="1" applyBorder="1" applyAlignment="1">
      <alignment vertical="top"/>
    </xf>
    <xf numFmtId="0" fontId="32" fillId="0" borderId="1" xfId="38" applyFont="1" applyFill="1" applyBorder="1" applyAlignment="1">
      <alignment horizontal="center" vertical="top"/>
    </xf>
    <xf numFmtId="0" fontId="33" fillId="0" borderId="1" xfId="38" applyFont="1" applyFill="1" applyBorder="1" applyAlignment="1">
      <alignment horizontal="left" vertical="top"/>
    </xf>
    <xf numFmtId="166" fontId="32" fillId="0" borderId="1" xfId="38" applyNumberFormat="1" applyFont="1" applyFill="1" applyBorder="1" applyAlignment="1">
      <alignment vertical="top"/>
    </xf>
    <xf numFmtId="0" fontId="32" fillId="0" borderId="0" xfId="38" applyFont="1" applyFill="1"/>
    <xf numFmtId="9" fontId="32" fillId="0" borderId="1" xfId="38" applyNumberFormat="1" applyFont="1" applyFill="1" applyBorder="1" applyAlignment="1">
      <alignment vertical="top"/>
    </xf>
    <xf numFmtId="0" fontId="34" fillId="0" borderId="1" xfId="38" applyFont="1" applyFill="1" applyBorder="1" applyAlignment="1">
      <alignment horizontal="center" vertical="top"/>
    </xf>
    <xf numFmtId="0" fontId="34" fillId="0" borderId="1" xfId="38" applyFont="1" applyFill="1" applyBorder="1" applyAlignment="1">
      <alignment vertical="top"/>
    </xf>
    <xf numFmtId="166" fontId="34" fillId="0" borderId="1" xfId="38" applyNumberFormat="1" applyFont="1" applyFill="1" applyBorder="1" applyAlignment="1">
      <alignment vertical="top"/>
    </xf>
    <xf numFmtId="0" fontId="34" fillId="0" borderId="0" xfId="38" applyFont="1" applyFill="1"/>
    <xf numFmtId="0" fontId="32" fillId="0" borderId="0" xfId="38" applyFont="1" applyFill="1" applyAlignment="1">
      <alignment horizontal="center" vertical="top"/>
    </xf>
    <xf numFmtId="0" fontId="32" fillId="0" borderId="0" xfId="38" applyFont="1" applyFill="1" applyAlignment="1">
      <alignment vertical="top"/>
    </xf>
    <xf numFmtId="166" fontId="32" fillId="0" borderId="0" xfId="38" applyNumberFormat="1" applyFont="1" applyFill="1" applyAlignment="1">
      <alignment vertical="top"/>
    </xf>
    <xf numFmtId="0" fontId="20" fillId="0" borderId="0" xfId="38" applyFill="1" applyAlignment="1">
      <alignment wrapText="1"/>
    </xf>
    <xf numFmtId="0" fontId="20" fillId="0" borderId="0" xfId="38" applyFill="1" applyAlignment="1">
      <alignment vertical="top" wrapText="1"/>
    </xf>
    <xf numFmtId="0" fontId="20" fillId="0" borderId="0" xfId="38" applyFill="1" applyAlignment="1">
      <alignment horizontal="center" vertical="top" wrapText="1"/>
    </xf>
    <xf numFmtId="0" fontId="20" fillId="0" borderId="0" xfId="38" applyFont="1" applyFill="1" applyAlignment="1">
      <alignment vertical="top" wrapText="1"/>
    </xf>
    <xf numFmtId="0" fontId="3" fillId="0" borderId="0" xfId="36" applyFill="1" applyAlignment="1">
      <alignment vertical="top" wrapText="1"/>
    </xf>
    <xf numFmtId="0" fontId="40" fillId="0" borderId="0" xfId="36" applyFont="1" applyFill="1" applyAlignment="1">
      <alignment vertical="top" wrapText="1"/>
    </xf>
    <xf numFmtId="167" fontId="29" fillId="0" borderId="1" xfId="38" applyNumberFormat="1" applyFont="1" applyFill="1" applyBorder="1" applyAlignment="1">
      <alignment vertical="top"/>
    </xf>
    <xf numFmtId="167" fontId="26" fillId="0" borderId="1" xfId="38" applyNumberFormat="1" applyFont="1" applyFill="1" applyBorder="1" applyAlignment="1">
      <alignment vertical="top"/>
    </xf>
    <xf numFmtId="167" fontId="29" fillId="0" borderId="0" xfId="38" applyNumberFormat="1" applyFont="1" applyFill="1"/>
    <xf numFmtId="0" fontId="26" fillId="0" borderId="1" xfId="38" applyFont="1" applyBorder="1" applyAlignment="1">
      <alignment horizontal="left" vertical="center" wrapText="1"/>
    </xf>
    <xf numFmtId="3" fontId="26" fillId="0" borderId="1" xfId="38" applyNumberFormat="1" applyFont="1" applyBorder="1" applyAlignment="1">
      <alignment horizontal="left" vertical="center" wrapText="1"/>
    </xf>
    <xf numFmtId="0" fontId="26" fillId="0" borderId="1" xfId="38" applyFont="1" applyBorder="1" applyAlignment="1">
      <alignment horizontal="left" vertical="top" wrapText="1"/>
    </xf>
    <xf numFmtId="0" fontId="26" fillId="0" borderId="1" xfId="38" applyNumberFormat="1" applyFont="1" applyBorder="1" applyAlignment="1">
      <alignment horizontal="left" vertical="top" wrapText="1"/>
    </xf>
    <xf numFmtId="0" fontId="26" fillId="3" borderId="1" xfId="38" applyFont="1" applyFill="1" applyBorder="1" applyAlignment="1">
      <alignment horizontal="left" vertical="top" wrapText="1"/>
    </xf>
    <xf numFmtId="167" fontId="26" fillId="0" borderId="1" xfId="38" applyNumberFormat="1" applyFont="1" applyBorder="1" applyAlignment="1">
      <alignment vertical="center" wrapText="1"/>
    </xf>
    <xf numFmtId="167" fontId="26" fillId="3" borderId="1" xfId="38" applyNumberFormat="1" applyFont="1" applyFill="1" applyBorder="1" applyAlignment="1">
      <alignment vertical="center" wrapText="1"/>
    </xf>
    <xf numFmtId="167" fontId="26" fillId="3" borderId="1" xfId="38" applyNumberFormat="1" applyFont="1" applyFill="1" applyBorder="1" applyAlignment="1">
      <alignment vertical="top" wrapText="1"/>
    </xf>
    <xf numFmtId="167" fontId="29" fillId="0" borderId="1" xfId="38" applyNumberFormat="1" applyFont="1" applyBorder="1" applyAlignment="1">
      <alignment vertical="top"/>
    </xf>
    <xf numFmtId="167" fontId="26" fillId="0" borderId="1" xfId="38" applyNumberFormat="1" applyFont="1" applyBorder="1" applyAlignment="1">
      <alignment vertical="top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center"/>
    </xf>
    <xf numFmtId="0" fontId="26" fillId="0" borderId="12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center" vertical="top"/>
    </xf>
    <xf numFmtId="4" fontId="26" fillId="0" borderId="11" xfId="0" applyNumberFormat="1" applyFont="1" applyBorder="1" applyAlignment="1">
      <alignment horizontal="right" vertical="top"/>
    </xf>
    <xf numFmtId="2" fontId="0" fillId="0" borderId="0" xfId="0" applyNumberFormat="1" applyFont="1" applyAlignment="1">
      <alignment vertical="center"/>
    </xf>
    <xf numFmtId="4" fontId="0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top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center" wrapText="1"/>
    </xf>
    <xf numFmtId="2" fontId="26" fillId="0" borderId="1" xfId="0" applyNumberFormat="1" applyFont="1" applyBorder="1" applyAlignment="1">
      <alignment horizontal="center" vertical="top"/>
    </xf>
    <xf numFmtId="4" fontId="26" fillId="0" borderId="1" xfId="0" applyNumberFormat="1" applyFont="1" applyBorder="1" applyAlignment="1">
      <alignment horizontal="right" vertical="top"/>
    </xf>
    <xf numFmtId="0" fontId="26" fillId="0" borderId="1" xfId="0" applyFont="1" applyBorder="1"/>
    <xf numFmtId="2" fontId="0" fillId="0" borderId="0" xfId="0" applyNumberFormat="1"/>
    <xf numFmtId="4" fontId="29" fillId="0" borderId="1" xfId="0" applyNumberFormat="1" applyFont="1" applyBorder="1" applyAlignment="1">
      <alignment horizontal="right" vertical="top"/>
    </xf>
    <xf numFmtId="167" fontId="3" fillId="0" borderId="1" xfId="10" quotePrefix="1" applyNumberFormat="1" applyFill="1" applyBorder="1" applyAlignment="1">
      <alignment horizontal="center" vertical="center" wrapText="1"/>
    </xf>
    <xf numFmtId="167" fontId="3" fillId="0" borderId="1" xfId="8" applyNumberFormat="1" applyFill="1" applyBorder="1" applyAlignment="1">
      <alignment horizontal="center" vertical="center" wrapText="1"/>
    </xf>
    <xf numFmtId="167" fontId="3" fillId="0" borderId="1" xfId="12" applyNumberFormat="1" applyFill="1" applyBorder="1" applyAlignment="1">
      <alignment horizontal="center" vertical="center" wrapText="1"/>
    </xf>
    <xf numFmtId="4" fontId="0" fillId="0" borderId="0" xfId="0" applyNumberFormat="1" applyFill="1" applyAlignment="1">
      <alignment wrapText="1"/>
    </xf>
    <xf numFmtId="0" fontId="3" fillId="0" borderId="1" xfId="6" quotePrefix="1" applyFill="1" applyBorder="1" applyAlignment="1">
      <alignment horizontal="center" vertical="top" wrapText="1"/>
    </xf>
    <xf numFmtId="167" fontId="0" fillId="0" borderId="0" xfId="0" applyNumberFormat="1" applyFill="1" applyAlignment="1">
      <alignment wrapText="1"/>
    </xf>
    <xf numFmtId="0" fontId="9" fillId="0" borderId="0" xfId="5" applyFont="1" applyFill="1" applyAlignment="1">
      <alignment horizontal="center" vertical="center" wrapText="1"/>
    </xf>
    <xf numFmtId="0" fontId="3" fillId="0" borderId="0" xfId="1" quotePrefix="1" applyFill="1" applyAlignment="1">
      <alignment horizontal="center" vertical="top" wrapText="1"/>
    </xf>
    <xf numFmtId="0" fontId="3" fillId="0" borderId="0" xfId="2" quotePrefix="1" applyFill="1" applyAlignment="1">
      <alignment horizontal="center" vertical="center" wrapText="1"/>
    </xf>
    <xf numFmtId="0" fontId="3" fillId="0" borderId="0" xfId="2" applyFill="1" applyAlignment="1">
      <alignment horizontal="center" vertical="center" wrapText="1"/>
    </xf>
    <xf numFmtId="0" fontId="5" fillId="0" borderId="0" xfId="3" quotePrefix="1" applyFill="1" applyAlignment="1">
      <alignment horizontal="center" vertical="center" wrapText="1"/>
    </xf>
    <xf numFmtId="0" fontId="5" fillId="0" borderId="0" xfId="3" applyFill="1" applyAlignment="1">
      <alignment horizontal="center" vertical="center" wrapText="1"/>
    </xf>
    <xf numFmtId="0" fontId="7" fillId="0" borderId="0" xfId="4" applyFill="1" applyAlignment="1">
      <alignment horizontal="center" vertical="center" wrapText="1"/>
    </xf>
    <xf numFmtId="0" fontId="8" fillId="0" borderId="0" xfId="5" quotePrefix="1" applyFill="1" applyAlignment="1">
      <alignment horizontal="center" vertical="center" wrapText="1"/>
    </xf>
    <xf numFmtId="0" fontId="8" fillId="0" borderId="0" xfId="5" applyFill="1" applyAlignment="1">
      <alignment horizontal="center" vertical="center" wrapText="1"/>
    </xf>
    <xf numFmtId="0" fontId="3" fillId="0" borderId="1" xfId="6" quotePrefix="1" applyFill="1" applyBorder="1" applyAlignment="1">
      <alignment horizontal="center" vertical="top" wrapText="1"/>
    </xf>
    <xf numFmtId="0" fontId="0" fillId="0" borderId="1" xfId="0" applyFill="1" applyBorder="1" applyAlignment="1">
      <alignment wrapText="1"/>
    </xf>
    <xf numFmtId="0" fontId="3" fillId="0" borderId="1" xfId="7" quotePrefix="1" applyFill="1" applyBorder="1" applyAlignment="1">
      <alignment horizontal="center" vertical="top" wrapText="1"/>
    </xf>
    <xf numFmtId="0" fontId="3" fillId="0" borderId="1" xfId="7" applyFill="1" applyBorder="1" applyAlignment="1">
      <alignment horizontal="center" vertical="top" wrapText="1"/>
    </xf>
    <xf numFmtId="0" fontId="3" fillId="0" borderId="0" xfId="1" quotePrefix="1" applyFill="1" applyAlignment="1">
      <alignment horizontal="left" vertical="top" wrapText="1"/>
    </xf>
    <xf numFmtId="0" fontId="10" fillId="0" borderId="0" xfId="5" applyFont="1" applyFill="1" applyAlignment="1">
      <alignment horizontal="left" vertical="center" wrapText="1"/>
    </xf>
    <xf numFmtId="0" fontId="11" fillId="0" borderId="6" xfId="0" applyFont="1" applyFill="1" applyBorder="1" applyAlignment="1">
      <alignment horizontal="left" wrapText="1"/>
    </xf>
    <xf numFmtId="0" fontId="3" fillId="0" borderId="1" xfId="9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wrapText="1"/>
    </xf>
    <xf numFmtId="167" fontId="3" fillId="0" borderId="1" xfId="10" quotePrefix="1" applyNumberFormat="1" applyFill="1" applyBorder="1" applyAlignment="1">
      <alignment horizontal="center" vertical="center" wrapText="1"/>
    </xf>
    <xf numFmtId="167" fontId="3" fillId="0" borderId="1" xfId="8" applyNumberFormat="1" applyFill="1" applyBorder="1" applyAlignment="1">
      <alignment horizontal="center" vertical="center" wrapText="1"/>
    </xf>
    <xf numFmtId="167" fontId="0" fillId="0" borderId="1" xfId="0" applyNumberFormat="1" applyFill="1" applyBorder="1" applyAlignment="1">
      <alignment wrapText="1"/>
    </xf>
    <xf numFmtId="0" fontId="3" fillId="0" borderId="1" xfId="11" quotePrefix="1" applyFill="1" applyBorder="1" applyAlignment="1">
      <alignment horizontal="left" vertical="top" wrapText="1"/>
    </xf>
    <xf numFmtId="167" fontId="3" fillId="0" borderId="1" xfId="12" applyNumberFormat="1" applyFill="1" applyBorder="1" applyAlignment="1">
      <alignment horizontal="center" vertical="center" wrapText="1"/>
    </xf>
    <xf numFmtId="0" fontId="3" fillId="0" borderId="1" xfId="11" applyFill="1" applyBorder="1" applyAlignment="1">
      <alignment horizontal="left" vertical="top" wrapText="1"/>
    </xf>
    <xf numFmtId="0" fontId="5" fillId="0" borderId="0" xfId="16" quotePrefix="1" applyFill="1" applyAlignment="1">
      <alignment horizontal="left" vertical="top" wrapText="1"/>
    </xf>
    <xf numFmtId="0" fontId="5" fillId="0" borderId="0" xfId="16" applyFill="1" applyAlignment="1">
      <alignment horizontal="left" vertical="top" wrapText="1"/>
    </xf>
    <xf numFmtId="0" fontId="3" fillId="0" borderId="0" xfId="13" quotePrefix="1" applyFill="1" applyAlignment="1">
      <alignment horizontal="left" vertical="top" wrapText="1"/>
    </xf>
    <xf numFmtId="0" fontId="3" fillId="0" borderId="0" xfId="13" applyFill="1" applyAlignment="1">
      <alignment horizontal="left" vertical="top" wrapText="1"/>
    </xf>
    <xf numFmtId="0" fontId="8" fillId="0" borderId="0" xfId="14" quotePrefix="1" applyFill="1" applyAlignment="1">
      <alignment horizontal="left" vertical="top" wrapText="1"/>
    </xf>
    <xf numFmtId="0" fontId="8" fillId="0" borderId="0" xfId="14" applyFill="1" applyAlignment="1">
      <alignment horizontal="left" vertical="top" wrapText="1"/>
    </xf>
    <xf numFmtId="0" fontId="5" fillId="0" borderId="0" xfId="15" quotePrefix="1" applyFill="1" applyAlignment="1">
      <alignment horizontal="center" vertical="top" wrapText="1"/>
    </xf>
    <xf numFmtId="0" fontId="5" fillId="0" borderId="0" xfId="15" applyFill="1" applyAlignment="1">
      <alignment horizontal="center" vertical="top" wrapText="1"/>
    </xf>
    <xf numFmtId="0" fontId="3" fillId="0" borderId="0" xfId="1" applyFill="1" applyAlignment="1">
      <alignment horizontal="left" vertical="top" wrapText="1"/>
    </xf>
    <xf numFmtId="0" fontId="10" fillId="0" borderId="0" xfId="14" quotePrefix="1" applyFont="1" applyFill="1" applyAlignment="1">
      <alignment horizontal="left" vertical="top" wrapText="1"/>
    </xf>
    <xf numFmtId="0" fontId="3" fillId="0" borderId="0" xfId="20" quotePrefix="1" applyAlignment="1">
      <alignment horizontal="center" vertical="top" wrapText="1"/>
    </xf>
    <xf numFmtId="0" fontId="3" fillId="0" borderId="0" xfId="20" applyAlignment="1">
      <alignment horizontal="center" vertical="top" wrapText="1"/>
    </xf>
    <xf numFmtId="0" fontId="1" fillId="0" borderId="0" xfId="17" quotePrefix="1" applyAlignment="1">
      <alignment horizontal="left" vertical="top" wrapText="1"/>
    </xf>
    <xf numFmtId="0" fontId="1" fillId="0" borderId="0" xfId="17" applyAlignment="1">
      <alignment horizontal="left" vertical="top" wrapText="1"/>
    </xf>
    <xf numFmtId="0" fontId="2" fillId="0" borderId="0" xfId="18" quotePrefix="1" applyAlignment="1">
      <alignment horizontal="right" vertical="top" wrapText="1"/>
    </xf>
    <xf numFmtId="0" fontId="2" fillId="0" borderId="0" xfId="18" applyAlignment="1">
      <alignment horizontal="right" vertical="top" wrapText="1"/>
    </xf>
    <xf numFmtId="0" fontId="12" fillId="2" borderId="0" xfId="3" quotePrefix="1" applyFont="1" applyAlignment="1">
      <alignment horizontal="left" vertical="center" wrapText="1"/>
    </xf>
    <xf numFmtId="0" fontId="12" fillId="0" borderId="0" xfId="0" applyFont="1" applyAlignment="1">
      <alignment wrapText="1"/>
    </xf>
    <xf numFmtId="0" fontId="12" fillId="2" borderId="0" xfId="4" quotePrefix="1" applyFont="1" applyAlignment="1">
      <alignment horizontal="left" vertical="top" wrapText="1"/>
    </xf>
    <xf numFmtId="0" fontId="7" fillId="0" borderId="0" xfId="19" quotePrefix="1" applyAlignment="1">
      <alignment horizontal="center" vertical="top" wrapText="1"/>
    </xf>
    <xf numFmtId="0" fontId="7" fillId="0" borderId="0" xfId="19" applyAlignment="1">
      <alignment horizontal="center" vertical="top" wrapText="1"/>
    </xf>
    <xf numFmtId="0" fontId="8" fillId="0" borderId="0" xfId="21" quotePrefix="1" applyAlignment="1">
      <alignment horizontal="left" vertical="top" wrapText="1"/>
    </xf>
    <xf numFmtId="0" fontId="8" fillId="0" borderId="0" xfId="21" applyAlignment="1">
      <alignment horizontal="left" vertical="top" wrapText="1"/>
    </xf>
    <xf numFmtId="0" fontId="3" fillId="0" borderId="0" xfId="22" applyAlignment="1">
      <alignment horizontal="left" vertical="top" wrapText="1"/>
    </xf>
    <xf numFmtId="0" fontId="3" fillId="0" borderId="0" xfId="22" quotePrefix="1" applyAlignment="1">
      <alignment horizontal="left" vertical="top" wrapText="1"/>
    </xf>
    <xf numFmtId="0" fontId="8" fillId="0" borderId="0" xfId="23" quotePrefix="1" applyAlignment="1">
      <alignment horizontal="left" vertical="top" wrapText="1"/>
    </xf>
    <xf numFmtId="0" fontId="8" fillId="0" borderId="0" xfId="23" applyAlignment="1">
      <alignment horizontal="left" vertical="top" wrapText="1"/>
    </xf>
    <xf numFmtId="0" fontId="3" fillId="0" borderId="0" xfId="24" quotePrefix="1" applyAlignment="1">
      <alignment horizontal="left" vertical="top" wrapText="1"/>
    </xf>
    <xf numFmtId="0" fontId="3" fillId="0" borderId="0" xfId="24" applyAlignment="1">
      <alignment horizontal="left" vertical="top" wrapText="1"/>
    </xf>
    <xf numFmtId="0" fontId="8" fillId="0" borderId="0" xfId="25" quotePrefix="1" applyAlignment="1">
      <alignment horizontal="left" vertical="top" wrapText="1"/>
    </xf>
    <xf numFmtId="0" fontId="8" fillId="0" borderId="0" xfId="25" applyAlignment="1">
      <alignment horizontal="left" vertical="top" wrapText="1"/>
    </xf>
    <xf numFmtId="0" fontId="3" fillId="0" borderId="0" xfId="26" applyAlignment="1">
      <alignment horizontal="left" vertical="top" wrapText="1"/>
    </xf>
    <xf numFmtId="0" fontId="3" fillId="0" borderId="3" xfId="33" quotePrefix="1" applyBorder="1" applyAlignment="1">
      <alignment horizontal="left" vertical="top" wrapText="1"/>
    </xf>
    <xf numFmtId="0" fontId="3" fillId="0" borderId="3" xfId="33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0" borderId="2" xfId="27" quotePrefix="1" applyBorder="1" applyAlignment="1">
      <alignment horizontal="center" vertical="top" wrapText="1"/>
    </xf>
    <xf numFmtId="0" fontId="3" fillId="0" borderId="4" xfId="27" applyBorder="1" applyAlignment="1">
      <alignment horizontal="center" vertical="top" wrapText="1"/>
    </xf>
    <xf numFmtId="0" fontId="3" fillId="0" borderId="2" xfId="29" applyNumberFormat="1" applyBorder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8" fillId="0" borderId="2" xfId="30" quotePrefix="1" applyBorder="1" applyAlignment="1">
      <alignment horizontal="center" vertical="top" wrapText="1"/>
    </xf>
    <xf numFmtId="0" fontId="8" fillId="0" borderId="3" xfId="30" applyBorder="1" applyAlignment="1">
      <alignment horizontal="center" vertical="top" wrapText="1"/>
    </xf>
    <xf numFmtId="0" fontId="8" fillId="0" borderId="4" xfId="30" applyBorder="1" applyAlignment="1">
      <alignment horizontal="center" vertical="top" wrapText="1"/>
    </xf>
    <xf numFmtId="0" fontId="3" fillId="0" borderId="3" xfId="31" quotePrefix="1" applyBorder="1" applyAlignment="1">
      <alignment horizontal="left" vertical="top" wrapText="1"/>
    </xf>
    <xf numFmtId="0" fontId="3" fillId="0" borderId="3" xfId="31" applyBorder="1" applyAlignment="1">
      <alignment horizontal="left" vertical="top" wrapText="1"/>
    </xf>
    <xf numFmtId="0" fontId="3" fillId="0" borderId="0" xfId="36" quotePrefix="1" applyAlignment="1">
      <alignment horizontal="left" vertical="top" wrapText="1"/>
    </xf>
    <xf numFmtId="0" fontId="3" fillId="0" borderId="0" xfId="36" applyAlignment="1">
      <alignment horizontal="left" vertical="top" wrapText="1"/>
    </xf>
    <xf numFmtId="0" fontId="8" fillId="0" borderId="0" xfId="24" quotePrefix="1" applyFont="1" applyAlignment="1">
      <alignment horizontal="left" vertical="center" wrapText="1"/>
    </xf>
    <xf numFmtId="0" fontId="8" fillId="0" borderId="0" xfId="24" applyFont="1" applyAlignment="1">
      <alignment horizontal="left" vertical="center" wrapText="1"/>
    </xf>
    <xf numFmtId="0" fontId="14" fillId="0" borderId="0" xfId="20" quotePrefix="1" applyFont="1" applyFill="1" applyBorder="1" applyAlignment="1">
      <alignment horizontal="center" vertical="top" wrapText="1"/>
    </xf>
    <xf numFmtId="0" fontId="15" fillId="0" borderId="0" xfId="0" applyFont="1" applyFill="1" applyBorder="1" applyAlignment="1">
      <alignment wrapText="1"/>
    </xf>
    <xf numFmtId="0" fontId="7" fillId="0" borderId="0" xfId="21" quotePrefix="1" applyFont="1" applyFill="1" applyBorder="1" applyAlignment="1">
      <alignment horizontal="left" vertical="top" wrapText="1"/>
    </xf>
    <xf numFmtId="0" fontId="14" fillId="0" borderId="0" xfId="4" quotePrefix="1" applyFont="1" applyFill="1" applyBorder="1" applyAlignment="1">
      <alignment horizontal="left" vertical="top" wrapText="1"/>
    </xf>
    <xf numFmtId="0" fontId="7" fillId="0" borderId="0" xfId="8" quotePrefix="1" applyFont="1" applyFill="1" applyBorder="1" applyAlignment="1">
      <alignment horizontal="left" vertical="center" wrapText="1"/>
    </xf>
    <xf numFmtId="0" fontId="14" fillId="0" borderId="0" xfId="24" quotePrefix="1" applyFont="1" applyFill="1" applyBorder="1" applyAlignment="1">
      <alignment horizontal="left" vertical="center" wrapText="1"/>
    </xf>
    <xf numFmtId="0" fontId="14" fillId="0" borderId="0" xfId="17" quotePrefix="1" applyFont="1" applyFill="1" applyBorder="1" applyAlignment="1">
      <alignment horizontal="left" vertical="center" wrapText="1"/>
    </xf>
    <xf numFmtId="0" fontId="7" fillId="0" borderId="0" xfId="2" quotePrefix="1" applyFont="1" applyFill="1" applyBorder="1" applyAlignment="1">
      <alignment horizontal="right" vertical="center" wrapText="1"/>
    </xf>
    <xf numFmtId="0" fontId="7" fillId="0" borderId="0" xfId="19" quotePrefix="1" applyFont="1" applyFill="1" applyBorder="1" applyAlignment="1">
      <alignment horizontal="center" vertical="center" wrapText="1"/>
    </xf>
    <xf numFmtId="0" fontId="17" fillId="0" borderId="2" xfId="11" quotePrefix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wrapText="1"/>
    </xf>
    <xf numFmtId="0" fontId="7" fillId="0" borderId="2" xfId="9" quotePrefix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0" fontId="14" fillId="0" borderId="2" xfId="10" quotePrefix="1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4" fillId="0" borderId="2" xfId="13" quotePrefix="1" applyFont="1" applyFill="1" applyBorder="1" applyAlignment="1">
      <alignment horizontal="left" vertical="center" wrapText="1"/>
    </xf>
    <xf numFmtId="0" fontId="14" fillId="0" borderId="2" xfId="11" quotePrefix="1" applyFont="1" applyFill="1" applyBorder="1" applyAlignment="1">
      <alignment horizontal="center" vertical="center" wrapText="1"/>
    </xf>
    <xf numFmtId="0" fontId="14" fillId="0" borderId="2" xfId="15" quotePrefix="1" applyFont="1" applyFill="1" applyBorder="1" applyAlignment="1">
      <alignment horizontal="left" vertical="top" wrapText="1"/>
    </xf>
    <xf numFmtId="0" fontId="14" fillId="0" borderId="4" xfId="10" quotePrefix="1" applyFont="1" applyFill="1" applyBorder="1" applyAlignment="1">
      <alignment horizontal="left" vertical="center" wrapText="1"/>
    </xf>
    <xf numFmtId="0" fontId="7" fillId="0" borderId="0" xfId="24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wrapText="1"/>
    </xf>
    <xf numFmtId="0" fontId="1" fillId="0" borderId="0" xfId="17" quotePrefix="1" applyFont="1" applyFill="1" applyBorder="1" applyAlignment="1">
      <alignment horizontal="left" vertical="top" wrapText="1"/>
    </xf>
    <xf numFmtId="0" fontId="1" fillId="0" borderId="0" xfId="17" applyFont="1" applyFill="1" applyBorder="1" applyAlignment="1">
      <alignment horizontal="left" vertical="top" wrapText="1"/>
    </xf>
    <xf numFmtId="0" fontId="2" fillId="0" borderId="0" xfId="18" quotePrefix="1" applyFont="1" applyFill="1" applyBorder="1" applyAlignment="1">
      <alignment horizontal="right" vertical="top" wrapText="1"/>
    </xf>
    <xf numFmtId="0" fontId="2" fillId="0" borderId="0" xfId="18" applyFont="1" applyFill="1" applyBorder="1" applyAlignment="1">
      <alignment horizontal="right" vertical="top" wrapText="1"/>
    </xf>
    <xf numFmtId="0" fontId="7" fillId="0" borderId="0" xfId="19" quotePrefix="1" applyFont="1" applyFill="1" applyBorder="1" applyAlignment="1">
      <alignment horizontal="center" vertical="top" wrapText="1"/>
    </xf>
    <xf numFmtId="0" fontId="7" fillId="0" borderId="0" xfId="19" applyFont="1" applyFill="1" applyBorder="1" applyAlignment="1">
      <alignment horizontal="center" vertical="top" wrapText="1"/>
    </xf>
    <xf numFmtId="0" fontId="3" fillId="0" borderId="0" xfId="20" quotePrefix="1" applyFont="1" applyFill="1" applyBorder="1" applyAlignment="1">
      <alignment horizontal="center" vertical="top" wrapText="1"/>
    </xf>
    <xf numFmtId="0" fontId="3" fillId="0" borderId="0" xfId="20" applyFont="1" applyFill="1" applyBorder="1" applyAlignment="1">
      <alignment horizontal="center" vertical="top" wrapText="1"/>
    </xf>
    <xf numFmtId="0" fontId="8" fillId="0" borderId="0" xfId="21" quotePrefix="1" applyFont="1" applyFill="1" applyBorder="1" applyAlignment="1">
      <alignment horizontal="left" vertical="top" wrapText="1"/>
    </xf>
    <xf numFmtId="0" fontId="8" fillId="0" borderId="0" xfId="21" applyFont="1" applyFill="1" applyBorder="1" applyAlignment="1">
      <alignment horizontal="left" vertical="top" wrapText="1"/>
    </xf>
    <xf numFmtId="0" fontId="3" fillId="0" borderId="0" xfId="22" applyFont="1" applyFill="1" applyBorder="1" applyAlignment="1">
      <alignment horizontal="left" vertical="top" wrapText="1"/>
    </xf>
    <xf numFmtId="0" fontId="3" fillId="0" borderId="2" xfId="29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vertical="top" wrapText="1"/>
    </xf>
    <xf numFmtId="0" fontId="3" fillId="0" borderId="0" xfId="22" quotePrefix="1" applyFont="1" applyFill="1" applyBorder="1" applyAlignment="1">
      <alignment horizontal="left" vertical="top" wrapText="1"/>
    </xf>
    <xf numFmtId="0" fontId="8" fillId="0" borderId="0" xfId="23" quotePrefix="1" applyFont="1" applyFill="1" applyBorder="1" applyAlignment="1">
      <alignment horizontal="left" vertical="top" wrapText="1"/>
    </xf>
    <xf numFmtId="0" fontId="8" fillId="0" borderId="0" xfId="23" applyFont="1" applyFill="1" applyBorder="1" applyAlignment="1">
      <alignment horizontal="left" vertical="top" wrapText="1"/>
    </xf>
    <xf numFmtId="0" fontId="3" fillId="0" borderId="0" xfId="24" applyFont="1" applyFill="1" applyBorder="1" applyAlignment="1">
      <alignment horizontal="left" vertical="top" wrapText="1"/>
    </xf>
    <xf numFmtId="0" fontId="8" fillId="0" borderId="0" xfId="25" quotePrefix="1" applyFont="1" applyFill="1" applyBorder="1" applyAlignment="1">
      <alignment horizontal="left" vertical="top" wrapText="1"/>
    </xf>
    <xf numFmtId="0" fontId="8" fillId="0" borderId="0" xfId="25" applyFont="1" applyFill="1" applyBorder="1" applyAlignment="1">
      <alignment horizontal="left" vertical="top" wrapText="1"/>
    </xf>
    <xf numFmtId="0" fontId="3" fillId="0" borderId="0" xfId="26" applyFont="1" applyFill="1" applyBorder="1" applyAlignment="1">
      <alignment horizontal="left" vertical="top" wrapText="1"/>
    </xf>
    <xf numFmtId="0" fontId="3" fillId="0" borderId="2" xfId="27" quotePrefix="1" applyFont="1" applyFill="1" applyBorder="1" applyAlignment="1">
      <alignment horizontal="center" vertical="top" wrapText="1"/>
    </xf>
    <xf numFmtId="0" fontId="3" fillId="0" borderId="4" xfId="27" applyFont="1" applyFill="1" applyBorder="1" applyAlignment="1">
      <alignment horizontal="center" vertical="top" wrapText="1"/>
    </xf>
    <xf numFmtId="0" fontId="3" fillId="0" borderId="3" xfId="33" quotePrefix="1" applyFont="1" applyFill="1" applyBorder="1" applyAlignment="1">
      <alignment horizontal="left" vertical="top" wrapText="1"/>
    </xf>
    <xf numFmtId="0" fontId="3" fillId="0" borderId="3" xfId="33" applyFont="1" applyFill="1" applyBorder="1" applyAlignment="1">
      <alignment horizontal="left" vertical="top" wrapText="1"/>
    </xf>
    <xf numFmtId="0" fontId="8" fillId="0" borderId="1" xfId="30" quotePrefix="1" applyFont="1" applyFill="1" applyBorder="1" applyAlignment="1">
      <alignment horizontal="center" vertical="top" wrapText="1"/>
    </xf>
    <xf numFmtId="0" fontId="8" fillId="0" borderId="1" xfId="30" applyFont="1" applyFill="1" applyBorder="1" applyAlignment="1">
      <alignment horizontal="center" vertical="top" wrapText="1"/>
    </xf>
    <xf numFmtId="0" fontId="3" fillId="0" borderId="1" xfId="31" quotePrefix="1" applyFont="1" applyFill="1" applyBorder="1" applyAlignment="1">
      <alignment horizontal="left" vertical="top" wrapText="1"/>
    </xf>
    <xf numFmtId="0" fontId="3" fillId="0" borderId="1" xfId="31" applyFont="1" applyFill="1" applyBorder="1" applyAlignment="1">
      <alignment horizontal="left" vertical="top" wrapText="1"/>
    </xf>
    <xf numFmtId="0" fontId="3" fillId="0" borderId="0" xfId="24" quotePrefix="1" applyFont="1" applyFill="1" applyBorder="1" applyAlignment="1">
      <alignment horizontal="left" vertical="top" wrapText="1"/>
    </xf>
    <xf numFmtId="0" fontId="3" fillId="0" borderId="0" xfId="36" quotePrefix="1" applyFont="1" applyFill="1" applyBorder="1" applyAlignment="1">
      <alignment horizontal="left" vertical="top" wrapText="1"/>
    </xf>
    <xf numFmtId="0" fontId="3" fillId="0" borderId="0" xfId="36" applyFont="1" applyFill="1" applyBorder="1" applyAlignment="1">
      <alignment horizontal="left" vertical="top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14" fontId="3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0" borderId="0" xfId="0" applyAlignment="1">
      <alignment vertical="top" wrapText="1"/>
    </xf>
    <xf numFmtId="0" fontId="26" fillId="0" borderId="0" xfId="0" applyFont="1" applyAlignment="1">
      <alignment horizontal="left"/>
    </xf>
    <xf numFmtId="0" fontId="29" fillId="0" borderId="1" xfId="0" applyFont="1" applyBorder="1" applyAlignment="1">
      <alignment horizontal="center"/>
    </xf>
    <xf numFmtId="0" fontId="30" fillId="0" borderId="0" xfId="36" quotePrefix="1" applyFont="1" applyAlignment="1">
      <alignment horizontal="left" vertical="top" wrapText="1"/>
    </xf>
    <xf numFmtId="0" fontId="30" fillId="0" borderId="0" xfId="36" applyFont="1" applyAlignment="1">
      <alignment horizontal="left" vertical="top" wrapText="1"/>
    </xf>
    <xf numFmtId="0" fontId="30" fillId="0" borderId="0" xfId="24" applyFont="1" applyAlignment="1">
      <alignment horizontal="left" vertical="top" wrapText="1"/>
    </xf>
    <xf numFmtId="0" fontId="30" fillId="0" borderId="0" xfId="26" applyFont="1" applyAlignment="1">
      <alignment horizontal="left" vertical="top" wrapText="1"/>
    </xf>
    <xf numFmtId="0" fontId="38" fillId="0" borderId="0" xfId="25" quotePrefix="1" applyFont="1" applyAlignment="1">
      <alignment horizontal="left" vertical="top" wrapText="1"/>
    </xf>
    <xf numFmtId="0" fontId="38" fillId="0" borderId="0" xfId="25" applyFont="1" applyAlignment="1">
      <alignment horizontal="left" vertical="top" wrapText="1"/>
    </xf>
    <xf numFmtId="0" fontId="38" fillId="0" borderId="0" xfId="21" quotePrefix="1" applyFont="1" applyAlignment="1">
      <alignment horizontal="left" vertical="top" wrapText="1"/>
    </xf>
    <xf numFmtId="0" fontId="38" fillId="0" borderId="0" xfId="21" applyFont="1" applyAlignment="1">
      <alignment horizontal="left" vertical="top" wrapText="1"/>
    </xf>
    <xf numFmtId="0" fontId="30" fillId="0" borderId="0" xfId="22" applyFont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4" xfId="0" applyFont="1" applyBorder="1" applyAlignment="1">
      <alignment horizontal="left" vertical="top" wrapText="1"/>
    </xf>
    <xf numFmtId="0" fontId="29" fillId="0" borderId="2" xfId="0" applyFont="1" applyBorder="1" applyAlignment="1">
      <alignment horizontal="left" vertical="top"/>
    </xf>
    <xf numFmtId="0" fontId="29" fillId="0" borderId="3" xfId="0" applyFont="1" applyBorder="1" applyAlignment="1">
      <alignment horizontal="left" vertical="top"/>
    </xf>
    <xf numFmtId="0" fontId="29" fillId="0" borderId="4" xfId="0" applyFont="1" applyBorder="1" applyAlignment="1">
      <alignment horizontal="left" vertical="top"/>
    </xf>
    <xf numFmtId="0" fontId="26" fillId="0" borderId="2" xfId="0" applyFont="1" applyBorder="1" applyAlignment="1">
      <alignment horizontal="left" vertical="top"/>
    </xf>
    <xf numFmtId="0" fontId="26" fillId="0" borderId="3" xfId="0" applyFont="1" applyBorder="1" applyAlignment="1">
      <alignment horizontal="left" vertical="top"/>
    </xf>
    <xf numFmtId="0" fontId="26" fillId="0" borderId="4" xfId="0" applyFont="1" applyBorder="1" applyAlignment="1">
      <alignment horizontal="left" vertical="top"/>
    </xf>
    <xf numFmtId="0" fontId="30" fillId="0" borderId="0" xfId="17" quotePrefix="1" applyFont="1" applyAlignment="1">
      <alignment horizontal="left" vertical="top" wrapText="1"/>
    </xf>
    <xf numFmtId="0" fontId="30" fillId="0" borderId="0" xfId="17" applyFont="1" applyAlignment="1">
      <alignment horizontal="left" vertical="top" wrapText="1"/>
    </xf>
    <xf numFmtId="0" fontId="37" fillId="0" borderId="0" xfId="18" quotePrefix="1" applyFont="1" applyAlignment="1">
      <alignment horizontal="right" vertical="top" wrapText="1"/>
    </xf>
    <xf numFmtId="0" fontId="37" fillId="0" borderId="0" xfId="18" applyFont="1" applyAlignment="1">
      <alignment horizontal="right" vertical="top" wrapText="1"/>
    </xf>
    <xf numFmtId="0" fontId="38" fillId="0" borderId="0" xfId="19" quotePrefix="1" applyFont="1" applyAlignment="1">
      <alignment horizontal="center" vertical="top" wrapText="1"/>
    </xf>
    <xf numFmtId="0" fontId="38" fillId="0" borderId="0" xfId="19" applyFont="1" applyAlignment="1">
      <alignment horizontal="center" vertical="top" wrapText="1"/>
    </xf>
    <xf numFmtId="0" fontId="30" fillId="0" borderId="0" xfId="20" quotePrefix="1" applyFont="1" applyAlignment="1">
      <alignment horizontal="center" vertical="top" wrapText="1"/>
    </xf>
    <xf numFmtId="0" fontId="30" fillId="0" borderId="0" xfId="20" applyFont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30" fillId="0" borderId="0" xfId="22" quotePrefix="1" applyFont="1" applyAlignment="1">
      <alignment horizontal="left" vertical="top" wrapText="1"/>
    </xf>
    <xf numFmtId="0" fontId="38" fillId="0" borderId="0" xfId="23" quotePrefix="1" applyFont="1" applyAlignment="1">
      <alignment horizontal="left" vertical="top" wrapText="1"/>
    </xf>
    <xf numFmtId="0" fontId="38" fillId="0" borderId="0" xfId="23" applyFont="1" applyAlignment="1">
      <alignment horizontal="left" vertical="top" wrapText="1"/>
    </xf>
    <xf numFmtId="0" fontId="26" fillId="0" borderId="1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29" fillId="0" borderId="4" xfId="0" applyFont="1" applyBorder="1" applyAlignment="1">
      <alignment horizontal="left"/>
    </xf>
    <xf numFmtId="0" fontId="29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" fillId="0" borderId="0" xfId="36" quotePrefix="1" applyFill="1" applyAlignment="1">
      <alignment horizontal="left" vertical="top" wrapText="1"/>
    </xf>
    <xf numFmtId="0" fontId="26" fillId="0" borderId="2" xfId="38" applyFont="1" applyFill="1" applyBorder="1" applyAlignment="1">
      <alignment horizontal="left" vertical="top" wrapText="1"/>
    </xf>
    <xf numFmtId="0" fontId="26" fillId="0" borderId="3" xfId="38" applyFont="1" applyFill="1" applyBorder="1" applyAlignment="1">
      <alignment horizontal="left" vertical="top" wrapText="1"/>
    </xf>
    <xf numFmtId="0" fontId="26" fillId="0" borderId="4" xfId="38" applyFont="1" applyFill="1" applyBorder="1" applyAlignment="1">
      <alignment horizontal="left" vertical="top" wrapText="1"/>
    </xf>
    <xf numFmtId="0" fontId="29" fillId="0" borderId="2" xfId="38" applyFont="1" applyFill="1" applyBorder="1" applyAlignment="1">
      <alignment horizontal="left" vertical="top" wrapText="1"/>
    </xf>
    <xf numFmtId="0" fontId="29" fillId="0" borderId="3" xfId="38" applyFont="1" applyFill="1" applyBorder="1" applyAlignment="1">
      <alignment horizontal="left" vertical="top" wrapText="1"/>
    </xf>
    <xf numFmtId="0" fontId="29" fillId="0" borderId="4" xfId="38" applyFont="1" applyFill="1" applyBorder="1" applyAlignment="1">
      <alignment horizontal="left" vertical="top" wrapText="1"/>
    </xf>
    <xf numFmtId="0" fontId="26" fillId="0" borderId="2" xfId="38" applyFont="1" applyFill="1" applyBorder="1" applyAlignment="1">
      <alignment horizontal="left" vertical="top"/>
    </xf>
    <xf numFmtId="0" fontId="26" fillId="0" borderId="3" xfId="38" applyFont="1" applyFill="1" applyBorder="1" applyAlignment="1">
      <alignment horizontal="left" vertical="top"/>
    </xf>
    <xf numFmtId="0" fontId="26" fillId="0" borderId="4" xfId="38" applyFont="1" applyFill="1" applyBorder="1" applyAlignment="1">
      <alignment horizontal="left" vertical="top"/>
    </xf>
    <xf numFmtId="0" fontId="29" fillId="0" borderId="2" xfId="38" applyFont="1" applyFill="1" applyBorder="1" applyAlignment="1">
      <alignment horizontal="left" vertical="top"/>
    </xf>
    <xf numFmtId="0" fontId="29" fillId="0" borderId="3" xfId="38" applyFont="1" applyFill="1" applyBorder="1" applyAlignment="1">
      <alignment horizontal="left" vertical="top"/>
    </xf>
    <xf numFmtId="0" fontId="29" fillId="0" borderId="4" xfId="38" applyFont="1" applyFill="1" applyBorder="1" applyAlignment="1">
      <alignment horizontal="left" vertical="top"/>
    </xf>
    <xf numFmtId="0" fontId="17" fillId="0" borderId="0" xfId="24" quotePrefix="1" applyFont="1" applyFill="1" applyAlignment="1">
      <alignment horizontal="left" vertical="top" wrapText="1"/>
    </xf>
    <xf numFmtId="0" fontId="17" fillId="0" borderId="0" xfId="24" applyFont="1" applyFill="1" applyAlignment="1">
      <alignment horizontal="left" vertical="top" wrapText="1"/>
    </xf>
    <xf numFmtId="0" fontId="25" fillId="0" borderId="0" xfId="21" quotePrefix="1" applyFont="1" applyAlignment="1">
      <alignment horizontal="left" vertical="top" wrapText="1"/>
    </xf>
    <xf numFmtId="0" fontId="25" fillId="0" borderId="0" xfId="21" applyFont="1" applyAlignment="1">
      <alignment horizontal="left" vertical="top" wrapText="1"/>
    </xf>
    <xf numFmtId="0" fontId="25" fillId="0" borderId="0" xfId="23" quotePrefix="1" applyFont="1" applyAlignment="1">
      <alignment horizontal="left" vertical="top" wrapText="1"/>
    </xf>
    <xf numFmtId="0" fontId="25" fillId="0" borderId="0" xfId="23" applyFont="1" applyAlignment="1">
      <alignment horizontal="left" vertical="top" wrapText="1"/>
    </xf>
    <xf numFmtId="0" fontId="24" fillId="0" borderId="0" xfId="24" applyFont="1" applyAlignment="1">
      <alignment horizontal="left" vertical="top" wrapText="1"/>
    </xf>
    <xf numFmtId="0" fontId="25" fillId="0" borderId="0" xfId="25" quotePrefix="1" applyFont="1" applyAlignment="1">
      <alignment horizontal="left" vertical="top" wrapText="1"/>
    </xf>
    <xf numFmtId="0" fontId="25" fillId="0" borderId="0" xfId="25" applyFont="1" applyAlignment="1">
      <alignment horizontal="left" vertical="top" wrapText="1"/>
    </xf>
    <xf numFmtId="0" fontId="24" fillId="0" borderId="0" xfId="22" applyFont="1" applyAlignment="1">
      <alignment horizontal="left" vertical="top" wrapText="1"/>
    </xf>
    <xf numFmtId="0" fontId="21" fillId="0" borderId="0" xfId="17" quotePrefix="1" applyFont="1" applyAlignment="1">
      <alignment horizontal="left" vertical="top" wrapText="1"/>
    </xf>
    <xf numFmtId="0" fontId="21" fillId="0" borderId="0" xfId="17" applyFont="1" applyAlignment="1">
      <alignment horizontal="left" vertical="top" wrapText="1"/>
    </xf>
    <xf numFmtId="0" fontId="23" fillId="0" borderId="0" xfId="19" quotePrefix="1" applyFont="1" applyAlignment="1">
      <alignment horizontal="center" vertical="top" wrapText="1"/>
    </xf>
    <xf numFmtId="0" fontId="23" fillId="0" borderId="0" xfId="19" applyFont="1" applyAlignment="1">
      <alignment horizontal="center" vertical="top" wrapText="1"/>
    </xf>
    <xf numFmtId="0" fontId="24" fillId="0" borderId="0" xfId="20" quotePrefix="1" applyFont="1" applyAlignment="1">
      <alignment horizontal="center" vertical="top" wrapText="1"/>
    </xf>
    <xf numFmtId="0" fontId="24" fillId="0" borderId="0" xfId="20" applyFont="1" applyAlignment="1">
      <alignment horizontal="center" vertical="top" wrapText="1"/>
    </xf>
    <xf numFmtId="0" fontId="26" fillId="0" borderId="2" xfId="38" applyFont="1" applyBorder="1" applyAlignment="1">
      <alignment horizontal="left" vertical="top"/>
    </xf>
    <xf numFmtId="0" fontId="26" fillId="0" borderId="3" xfId="38" applyFont="1" applyBorder="1" applyAlignment="1">
      <alignment horizontal="left" vertical="top"/>
    </xf>
    <xf numFmtId="0" fontId="26" fillId="0" borderId="4" xfId="38" applyFont="1" applyBorder="1" applyAlignment="1">
      <alignment horizontal="left" vertical="top"/>
    </xf>
    <xf numFmtId="0" fontId="29" fillId="0" borderId="2" xfId="38" applyFont="1" applyBorder="1" applyAlignment="1">
      <alignment horizontal="left" vertical="top"/>
    </xf>
    <xf numFmtId="0" fontId="29" fillId="0" borderId="3" xfId="38" applyFont="1" applyBorder="1" applyAlignment="1">
      <alignment horizontal="left" vertical="top"/>
    </xf>
    <xf numFmtId="0" fontId="29" fillId="0" borderId="4" xfId="38" applyFont="1" applyBorder="1" applyAlignment="1">
      <alignment horizontal="left" vertical="top"/>
    </xf>
    <xf numFmtId="0" fontId="17" fillId="0" borderId="0" xfId="24" quotePrefix="1" applyFont="1" applyAlignment="1">
      <alignment horizontal="left" vertical="top" wrapText="1"/>
    </xf>
    <xf numFmtId="0" fontId="17" fillId="0" borderId="0" xfId="24" applyFont="1" applyAlignment="1">
      <alignment horizontal="left" vertical="top" wrapText="1"/>
    </xf>
    <xf numFmtId="0" fontId="29" fillId="4" borderId="2" xfId="38" applyFont="1" applyFill="1" applyBorder="1" applyAlignment="1">
      <alignment horizontal="left" vertical="top" wrapText="1"/>
    </xf>
    <xf numFmtId="0" fontId="29" fillId="4" borderId="3" xfId="38" applyFont="1" applyFill="1" applyBorder="1" applyAlignment="1">
      <alignment horizontal="left" vertical="top" wrapText="1"/>
    </xf>
    <xf numFmtId="0" fontId="29" fillId="4" borderId="4" xfId="38" applyFont="1" applyFill="1" applyBorder="1" applyAlignment="1">
      <alignment horizontal="left" vertical="top" wrapText="1"/>
    </xf>
    <xf numFmtId="0" fontId="26" fillId="4" borderId="2" xfId="38" applyFont="1" applyFill="1" applyBorder="1" applyAlignment="1">
      <alignment horizontal="left" vertical="top" wrapText="1"/>
    </xf>
    <xf numFmtId="0" fontId="26" fillId="4" borderId="3" xfId="38" applyFont="1" applyFill="1" applyBorder="1" applyAlignment="1">
      <alignment horizontal="left" vertical="top" wrapText="1"/>
    </xf>
    <xf numFmtId="0" fontId="26" fillId="4" borderId="4" xfId="38" applyFont="1" applyFill="1" applyBorder="1" applyAlignment="1">
      <alignment horizontal="left" vertical="top" wrapText="1"/>
    </xf>
  </cellXfs>
  <cellStyles count="39">
    <cellStyle name="S0" xfId="2"/>
    <cellStyle name="S0 2" xfId="18"/>
    <cellStyle name="S1" xfId="1"/>
    <cellStyle name="S1 2" xfId="17"/>
    <cellStyle name="S10" xfId="10"/>
    <cellStyle name="S10 2" xfId="26"/>
    <cellStyle name="S11" xfId="12"/>
    <cellStyle name="S11 2" xfId="27"/>
    <cellStyle name="S12" xfId="13"/>
    <cellStyle name="S12 2" xfId="28"/>
    <cellStyle name="S13" xfId="16"/>
    <cellStyle name="S13 2" xfId="29"/>
    <cellStyle name="S14" xfId="14"/>
    <cellStyle name="S14 2" xfId="30"/>
    <cellStyle name="S15" xfId="15"/>
    <cellStyle name="S15 2" xfId="31"/>
    <cellStyle name="S16" xfId="7"/>
    <cellStyle name="S16 2" xfId="32"/>
    <cellStyle name="S18" xfId="33"/>
    <cellStyle name="S19" xfId="34"/>
    <cellStyle name="S2" xfId="3"/>
    <cellStyle name="S2 2" xfId="24"/>
    <cellStyle name="S20" xfId="35"/>
    <cellStyle name="S21" xfId="36"/>
    <cellStyle name="S3" xfId="4"/>
    <cellStyle name="S4" xfId="5"/>
    <cellStyle name="S4 2" xfId="19"/>
    <cellStyle name="S5" xfId="6"/>
    <cellStyle name="S5 2" xfId="20"/>
    <cellStyle name="S6" xfId="37"/>
    <cellStyle name="S6 2" xfId="21"/>
    <cellStyle name="S7" xfId="8"/>
    <cellStyle name="S7 2" xfId="22"/>
    <cellStyle name="S8" xfId="11"/>
    <cellStyle name="S8 2" xfId="23"/>
    <cellStyle name="S9" xfId="9"/>
    <cellStyle name="S9 2" xfId="25"/>
    <cellStyle name="Обычный" xfId="0" builtinId="0"/>
    <cellStyle name="Обычный 2" xfId="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view="pageBreakPreview" zoomScaleNormal="100" zoomScaleSheetLayoutView="100" workbookViewId="0">
      <selection activeCell="G13" sqref="G13"/>
    </sheetView>
  </sheetViews>
  <sheetFormatPr defaultRowHeight="15" x14ac:dyDescent="0.25"/>
  <cols>
    <col min="1" max="1" width="4.7109375" style="22" customWidth="1"/>
    <col min="2" max="2" width="8.7109375" style="22" customWidth="1"/>
    <col min="3" max="3" width="31.42578125" style="22" customWidth="1"/>
    <col min="4" max="4" width="14" style="22" customWidth="1"/>
    <col min="5" max="5" width="9.42578125" style="22" customWidth="1"/>
    <col min="6" max="6" width="3.7109375" style="22" customWidth="1"/>
    <col min="7" max="7" width="11.85546875" style="22" customWidth="1"/>
    <col min="8" max="8" width="4.140625" style="22" customWidth="1"/>
    <col min="9" max="9" width="10.28515625" style="22" customWidth="1"/>
    <col min="10" max="10" width="9.140625" style="22" customWidth="1"/>
    <col min="11" max="11" width="11.5703125" style="22" bestFit="1" customWidth="1"/>
    <col min="12" max="12" width="9.5703125" style="22" bestFit="1" customWidth="1"/>
    <col min="13" max="21" width="9.140625" style="22"/>
    <col min="22" max="22" width="12.42578125" style="22" customWidth="1"/>
    <col min="23" max="23" width="9.140625" style="22"/>
    <col min="24" max="24" width="12.42578125" style="22" bestFit="1" customWidth="1"/>
    <col min="25" max="256" width="9.140625" style="22"/>
    <col min="257" max="257" width="4.7109375" style="22" customWidth="1"/>
    <col min="258" max="258" width="8.7109375" style="22" customWidth="1"/>
    <col min="259" max="259" width="32.5703125" style="22" customWidth="1"/>
    <col min="260" max="260" width="14" style="22" customWidth="1"/>
    <col min="261" max="261" width="9.42578125" style="22" customWidth="1"/>
    <col min="262" max="262" width="3.28515625" style="22" customWidth="1"/>
    <col min="263" max="263" width="11" style="22" customWidth="1"/>
    <col min="264" max="264" width="4.140625" style="22" customWidth="1"/>
    <col min="265" max="265" width="10.28515625" style="22" customWidth="1"/>
    <col min="266" max="266" width="9.140625" style="22" customWidth="1"/>
    <col min="267" max="267" width="10.28515625" style="22" bestFit="1" customWidth="1"/>
    <col min="268" max="512" width="9.140625" style="22"/>
    <col min="513" max="513" width="4.7109375" style="22" customWidth="1"/>
    <col min="514" max="514" width="8.7109375" style="22" customWidth="1"/>
    <col min="515" max="515" width="32.5703125" style="22" customWidth="1"/>
    <col min="516" max="516" width="14" style="22" customWidth="1"/>
    <col min="517" max="517" width="9.42578125" style="22" customWidth="1"/>
    <col min="518" max="518" width="3.28515625" style="22" customWidth="1"/>
    <col min="519" max="519" width="11" style="22" customWidth="1"/>
    <col min="520" max="520" width="4.140625" style="22" customWidth="1"/>
    <col min="521" max="521" width="10.28515625" style="22" customWidth="1"/>
    <col min="522" max="522" width="9.140625" style="22" customWidth="1"/>
    <col min="523" max="523" width="10.28515625" style="22" bestFit="1" customWidth="1"/>
    <col min="524" max="768" width="9.140625" style="22"/>
    <col min="769" max="769" width="4.7109375" style="22" customWidth="1"/>
    <col min="770" max="770" width="8.7109375" style="22" customWidth="1"/>
    <col min="771" max="771" width="32.5703125" style="22" customWidth="1"/>
    <col min="772" max="772" width="14" style="22" customWidth="1"/>
    <col min="773" max="773" width="9.42578125" style="22" customWidth="1"/>
    <col min="774" max="774" width="3.28515625" style="22" customWidth="1"/>
    <col min="775" max="775" width="11" style="22" customWidth="1"/>
    <col min="776" max="776" width="4.140625" style="22" customWidth="1"/>
    <col min="777" max="777" width="10.28515625" style="22" customWidth="1"/>
    <col min="778" max="778" width="9.140625" style="22" customWidth="1"/>
    <col min="779" max="779" width="10.28515625" style="22" bestFit="1" customWidth="1"/>
    <col min="780" max="1024" width="9.140625" style="22"/>
    <col min="1025" max="1025" width="4.7109375" style="22" customWidth="1"/>
    <col min="1026" max="1026" width="8.7109375" style="22" customWidth="1"/>
    <col min="1027" max="1027" width="32.5703125" style="22" customWidth="1"/>
    <col min="1028" max="1028" width="14" style="22" customWidth="1"/>
    <col min="1029" max="1029" width="9.42578125" style="22" customWidth="1"/>
    <col min="1030" max="1030" width="3.28515625" style="22" customWidth="1"/>
    <col min="1031" max="1031" width="11" style="22" customWidth="1"/>
    <col min="1032" max="1032" width="4.140625" style="22" customWidth="1"/>
    <col min="1033" max="1033" width="10.28515625" style="22" customWidth="1"/>
    <col min="1034" max="1034" width="9.140625" style="22" customWidth="1"/>
    <col min="1035" max="1035" width="10.28515625" style="22" bestFit="1" customWidth="1"/>
    <col min="1036" max="1280" width="9.140625" style="22"/>
    <col min="1281" max="1281" width="4.7109375" style="22" customWidth="1"/>
    <col min="1282" max="1282" width="8.7109375" style="22" customWidth="1"/>
    <col min="1283" max="1283" width="32.5703125" style="22" customWidth="1"/>
    <col min="1284" max="1284" width="14" style="22" customWidth="1"/>
    <col min="1285" max="1285" width="9.42578125" style="22" customWidth="1"/>
    <col min="1286" max="1286" width="3.28515625" style="22" customWidth="1"/>
    <col min="1287" max="1287" width="11" style="22" customWidth="1"/>
    <col min="1288" max="1288" width="4.140625" style="22" customWidth="1"/>
    <col min="1289" max="1289" width="10.28515625" style="22" customWidth="1"/>
    <col min="1290" max="1290" width="9.140625" style="22" customWidth="1"/>
    <col min="1291" max="1291" width="10.28515625" style="22" bestFit="1" customWidth="1"/>
    <col min="1292" max="1536" width="9.140625" style="22"/>
    <col min="1537" max="1537" width="4.7109375" style="22" customWidth="1"/>
    <col min="1538" max="1538" width="8.7109375" style="22" customWidth="1"/>
    <col min="1539" max="1539" width="32.5703125" style="22" customWidth="1"/>
    <col min="1540" max="1540" width="14" style="22" customWidth="1"/>
    <col min="1541" max="1541" width="9.42578125" style="22" customWidth="1"/>
    <col min="1542" max="1542" width="3.28515625" style="22" customWidth="1"/>
    <col min="1543" max="1543" width="11" style="22" customWidth="1"/>
    <col min="1544" max="1544" width="4.140625" style="22" customWidth="1"/>
    <col min="1545" max="1545" width="10.28515625" style="22" customWidth="1"/>
    <col min="1546" max="1546" width="9.140625" style="22" customWidth="1"/>
    <col min="1547" max="1547" width="10.28515625" style="22" bestFit="1" customWidth="1"/>
    <col min="1548" max="1792" width="9.140625" style="22"/>
    <col min="1793" max="1793" width="4.7109375" style="22" customWidth="1"/>
    <col min="1794" max="1794" width="8.7109375" style="22" customWidth="1"/>
    <col min="1795" max="1795" width="32.5703125" style="22" customWidth="1"/>
    <col min="1796" max="1796" width="14" style="22" customWidth="1"/>
    <col min="1797" max="1797" width="9.42578125" style="22" customWidth="1"/>
    <col min="1798" max="1798" width="3.28515625" style="22" customWidth="1"/>
    <col min="1799" max="1799" width="11" style="22" customWidth="1"/>
    <col min="1800" max="1800" width="4.140625" style="22" customWidth="1"/>
    <col min="1801" max="1801" width="10.28515625" style="22" customWidth="1"/>
    <col min="1802" max="1802" width="9.140625" style="22" customWidth="1"/>
    <col min="1803" max="1803" width="10.28515625" style="22" bestFit="1" customWidth="1"/>
    <col min="1804" max="2048" width="9.140625" style="22"/>
    <col min="2049" max="2049" width="4.7109375" style="22" customWidth="1"/>
    <col min="2050" max="2050" width="8.7109375" style="22" customWidth="1"/>
    <col min="2051" max="2051" width="32.5703125" style="22" customWidth="1"/>
    <col min="2052" max="2052" width="14" style="22" customWidth="1"/>
    <col min="2053" max="2053" width="9.42578125" style="22" customWidth="1"/>
    <col min="2054" max="2054" width="3.28515625" style="22" customWidth="1"/>
    <col min="2055" max="2055" width="11" style="22" customWidth="1"/>
    <col min="2056" max="2056" width="4.140625" style="22" customWidth="1"/>
    <col min="2057" max="2057" width="10.28515625" style="22" customWidth="1"/>
    <col min="2058" max="2058" width="9.140625" style="22" customWidth="1"/>
    <col min="2059" max="2059" width="10.28515625" style="22" bestFit="1" customWidth="1"/>
    <col min="2060" max="2304" width="9.140625" style="22"/>
    <col min="2305" max="2305" width="4.7109375" style="22" customWidth="1"/>
    <col min="2306" max="2306" width="8.7109375" style="22" customWidth="1"/>
    <col min="2307" max="2307" width="32.5703125" style="22" customWidth="1"/>
    <col min="2308" max="2308" width="14" style="22" customWidth="1"/>
    <col min="2309" max="2309" width="9.42578125" style="22" customWidth="1"/>
    <col min="2310" max="2310" width="3.28515625" style="22" customWidth="1"/>
    <col min="2311" max="2311" width="11" style="22" customWidth="1"/>
    <col min="2312" max="2312" width="4.140625" style="22" customWidth="1"/>
    <col min="2313" max="2313" width="10.28515625" style="22" customWidth="1"/>
    <col min="2314" max="2314" width="9.140625" style="22" customWidth="1"/>
    <col min="2315" max="2315" width="10.28515625" style="22" bestFit="1" customWidth="1"/>
    <col min="2316" max="2560" width="9.140625" style="22"/>
    <col min="2561" max="2561" width="4.7109375" style="22" customWidth="1"/>
    <col min="2562" max="2562" width="8.7109375" style="22" customWidth="1"/>
    <col min="2563" max="2563" width="32.5703125" style="22" customWidth="1"/>
    <col min="2564" max="2564" width="14" style="22" customWidth="1"/>
    <col min="2565" max="2565" width="9.42578125" style="22" customWidth="1"/>
    <col min="2566" max="2566" width="3.28515625" style="22" customWidth="1"/>
    <col min="2567" max="2567" width="11" style="22" customWidth="1"/>
    <col min="2568" max="2568" width="4.140625" style="22" customWidth="1"/>
    <col min="2569" max="2569" width="10.28515625" style="22" customWidth="1"/>
    <col min="2570" max="2570" width="9.140625" style="22" customWidth="1"/>
    <col min="2571" max="2571" width="10.28515625" style="22" bestFit="1" customWidth="1"/>
    <col min="2572" max="2816" width="9.140625" style="22"/>
    <col min="2817" max="2817" width="4.7109375" style="22" customWidth="1"/>
    <col min="2818" max="2818" width="8.7109375" style="22" customWidth="1"/>
    <col min="2819" max="2819" width="32.5703125" style="22" customWidth="1"/>
    <col min="2820" max="2820" width="14" style="22" customWidth="1"/>
    <col min="2821" max="2821" width="9.42578125" style="22" customWidth="1"/>
    <col min="2822" max="2822" width="3.28515625" style="22" customWidth="1"/>
    <col min="2823" max="2823" width="11" style="22" customWidth="1"/>
    <col min="2824" max="2824" width="4.140625" style="22" customWidth="1"/>
    <col min="2825" max="2825" width="10.28515625" style="22" customWidth="1"/>
    <col min="2826" max="2826" width="9.140625" style="22" customWidth="1"/>
    <col min="2827" max="2827" width="10.28515625" style="22" bestFit="1" customWidth="1"/>
    <col min="2828" max="3072" width="9.140625" style="22"/>
    <col min="3073" max="3073" width="4.7109375" style="22" customWidth="1"/>
    <col min="3074" max="3074" width="8.7109375" style="22" customWidth="1"/>
    <col min="3075" max="3075" width="32.5703125" style="22" customWidth="1"/>
    <col min="3076" max="3076" width="14" style="22" customWidth="1"/>
    <col min="3077" max="3077" width="9.42578125" style="22" customWidth="1"/>
    <col min="3078" max="3078" width="3.28515625" style="22" customWidth="1"/>
    <col min="3079" max="3079" width="11" style="22" customWidth="1"/>
    <col min="3080" max="3080" width="4.140625" style="22" customWidth="1"/>
    <col min="3081" max="3081" width="10.28515625" style="22" customWidth="1"/>
    <col min="3082" max="3082" width="9.140625" style="22" customWidth="1"/>
    <col min="3083" max="3083" width="10.28515625" style="22" bestFit="1" customWidth="1"/>
    <col min="3084" max="3328" width="9.140625" style="22"/>
    <col min="3329" max="3329" width="4.7109375" style="22" customWidth="1"/>
    <col min="3330" max="3330" width="8.7109375" style="22" customWidth="1"/>
    <col min="3331" max="3331" width="32.5703125" style="22" customWidth="1"/>
    <col min="3332" max="3332" width="14" style="22" customWidth="1"/>
    <col min="3333" max="3333" width="9.42578125" style="22" customWidth="1"/>
    <col min="3334" max="3334" width="3.28515625" style="22" customWidth="1"/>
    <col min="3335" max="3335" width="11" style="22" customWidth="1"/>
    <col min="3336" max="3336" width="4.140625" style="22" customWidth="1"/>
    <col min="3337" max="3337" width="10.28515625" style="22" customWidth="1"/>
    <col min="3338" max="3338" width="9.140625" style="22" customWidth="1"/>
    <col min="3339" max="3339" width="10.28515625" style="22" bestFit="1" customWidth="1"/>
    <col min="3340" max="3584" width="9.140625" style="22"/>
    <col min="3585" max="3585" width="4.7109375" style="22" customWidth="1"/>
    <col min="3586" max="3586" width="8.7109375" style="22" customWidth="1"/>
    <col min="3587" max="3587" width="32.5703125" style="22" customWidth="1"/>
    <col min="3588" max="3588" width="14" style="22" customWidth="1"/>
    <col min="3589" max="3589" width="9.42578125" style="22" customWidth="1"/>
    <col min="3590" max="3590" width="3.28515625" style="22" customWidth="1"/>
    <col min="3591" max="3591" width="11" style="22" customWidth="1"/>
    <col min="3592" max="3592" width="4.140625" style="22" customWidth="1"/>
    <col min="3593" max="3593" width="10.28515625" style="22" customWidth="1"/>
    <col min="3594" max="3594" width="9.140625" style="22" customWidth="1"/>
    <col min="3595" max="3595" width="10.28515625" style="22" bestFit="1" customWidth="1"/>
    <col min="3596" max="3840" width="9.140625" style="22"/>
    <col min="3841" max="3841" width="4.7109375" style="22" customWidth="1"/>
    <col min="3842" max="3842" width="8.7109375" style="22" customWidth="1"/>
    <col min="3843" max="3843" width="32.5703125" style="22" customWidth="1"/>
    <col min="3844" max="3844" width="14" style="22" customWidth="1"/>
    <col min="3845" max="3845" width="9.42578125" style="22" customWidth="1"/>
    <col min="3846" max="3846" width="3.28515625" style="22" customWidth="1"/>
    <col min="3847" max="3847" width="11" style="22" customWidth="1"/>
    <col min="3848" max="3848" width="4.140625" style="22" customWidth="1"/>
    <col min="3849" max="3849" width="10.28515625" style="22" customWidth="1"/>
    <col min="3850" max="3850" width="9.140625" style="22" customWidth="1"/>
    <col min="3851" max="3851" width="10.28515625" style="22" bestFit="1" customWidth="1"/>
    <col min="3852" max="4096" width="9.140625" style="22"/>
    <col min="4097" max="4097" width="4.7109375" style="22" customWidth="1"/>
    <col min="4098" max="4098" width="8.7109375" style="22" customWidth="1"/>
    <col min="4099" max="4099" width="32.5703125" style="22" customWidth="1"/>
    <col min="4100" max="4100" width="14" style="22" customWidth="1"/>
    <col min="4101" max="4101" width="9.42578125" style="22" customWidth="1"/>
    <col min="4102" max="4102" width="3.28515625" style="22" customWidth="1"/>
    <col min="4103" max="4103" width="11" style="22" customWidth="1"/>
    <col min="4104" max="4104" width="4.140625" style="22" customWidth="1"/>
    <col min="4105" max="4105" width="10.28515625" style="22" customWidth="1"/>
    <col min="4106" max="4106" width="9.140625" style="22" customWidth="1"/>
    <col min="4107" max="4107" width="10.28515625" style="22" bestFit="1" customWidth="1"/>
    <col min="4108" max="4352" width="9.140625" style="22"/>
    <col min="4353" max="4353" width="4.7109375" style="22" customWidth="1"/>
    <col min="4354" max="4354" width="8.7109375" style="22" customWidth="1"/>
    <col min="4355" max="4355" width="32.5703125" style="22" customWidth="1"/>
    <col min="4356" max="4356" width="14" style="22" customWidth="1"/>
    <col min="4357" max="4357" width="9.42578125" style="22" customWidth="1"/>
    <col min="4358" max="4358" width="3.28515625" style="22" customWidth="1"/>
    <col min="4359" max="4359" width="11" style="22" customWidth="1"/>
    <col min="4360" max="4360" width="4.140625" style="22" customWidth="1"/>
    <col min="4361" max="4361" width="10.28515625" style="22" customWidth="1"/>
    <col min="4362" max="4362" width="9.140625" style="22" customWidth="1"/>
    <col min="4363" max="4363" width="10.28515625" style="22" bestFit="1" customWidth="1"/>
    <col min="4364" max="4608" width="9.140625" style="22"/>
    <col min="4609" max="4609" width="4.7109375" style="22" customWidth="1"/>
    <col min="4610" max="4610" width="8.7109375" style="22" customWidth="1"/>
    <col min="4611" max="4611" width="32.5703125" style="22" customWidth="1"/>
    <col min="4612" max="4612" width="14" style="22" customWidth="1"/>
    <col min="4613" max="4613" width="9.42578125" style="22" customWidth="1"/>
    <col min="4614" max="4614" width="3.28515625" style="22" customWidth="1"/>
    <col min="4615" max="4615" width="11" style="22" customWidth="1"/>
    <col min="4616" max="4616" width="4.140625" style="22" customWidth="1"/>
    <col min="4617" max="4617" width="10.28515625" style="22" customWidth="1"/>
    <col min="4618" max="4618" width="9.140625" style="22" customWidth="1"/>
    <col min="4619" max="4619" width="10.28515625" style="22" bestFit="1" customWidth="1"/>
    <col min="4620" max="4864" width="9.140625" style="22"/>
    <col min="4865" max="4865" width="4.7109375" style="22" customWidth="1"/>
    <col min="4866" max="4866" width="8.7109375" style="22" customWidth="1"/>
    <col min="4867" max="4867" width="32.5703125" style="22" customWidth="1"/>
    <col min="4868" max="4868" width="14" style="22" customWidth="1"/>
    <col min="4869" max="4869" width="9.42578125" style="22" customWidth="1"/>
    <col min="4870" max="4870" width="3.28515625" style="22" customWidth="1"/>
    <col min="4871" max="4871" width="11" style="22" customWidth="1"/>
    <col min="4872" max="4872" width="4.140625" style="22" customWidth="1"/>
    <col min="4873" max="4873" width="10.28515625" style="22" customWidth="1"/>
    <col min="4874" max="4874" width="9.140625" style="22" customWidth="1"/>
    <col min="4875" max="4875" width="10.28515625" style="22" bestFit="1" customWidth="1"/>
    <col min="4876" max="5120" width="9.140625" style="22"/>
    <col min="5121" max="5121" width="4.7109375" style="22" customWidth="1"/>
    <col min="5122" max="5122" width="8.7109375" style="22" customWidth="1"/>
    <col min="5123" max="5123" width="32.5703125" style="22" customWidth="1"/>
    <col min="5124" max="5124" width="14" style="22" customWidth="1"/>
    <col min="5125" max="5125" width="9.42578125" style="22" customWidth="1"/>
    <col min="5126" max="5126" width="3.28515625" style="22" customWidth="1"/>
    <col min="5127" max="5127" width="11" style="22" customWidth="1"/>
    <col min="5128" max="5128" width="4.140625" style="22" customWidth="1"/>
    <col min="5129" max="5129" width="10.28515625" style="22" customWidth="1"/>
    <col min="5130" max="5130" width="9.140625" style="22" customWidth="1"/>
    <col min="5131" max="5131" width="10.28515625" style="22" bestFit="1" customWidth="1"/>
    <col min="5132" max="5376" width="9.140625" style="22"/>
    <col min="5377" max="5377" width="4.7109375" style="22" customWidth="1"/>
    <col min="5378" max="5378" width="8.7109375" style="22" customWidth="1"/>
    <col min="5379" max="5379" width="32.5703125" style="22" customWidth="1"/>
    <col min="5380" max="5380" width="14" style="22" customWidth="1"/>
    <col min="5381" max="5381" width="9.42578125" style="22" customWidth="1"/>
    <col min="5382" max="5382" width="3.28515625" style="22" customWidth="1"/>
    <col min="5383" max="5383" width="11" style="22" customWidth="1"/>
    <col min="5384" max="5384" width="4.140625" style="22" customWidth="1"/>
    <col min="5385" max="5385" width="10.28515625" style="22" customWidth="1"/>
    <col min="5386" max="5386" width="9.140625" style="22" customWidth="1"/>
    <col min="5387" max="5387" width="10.28515625" style="22" bestFit="1" customWidth="1"/>
    <col min="5388" max="5632" width="9.140625" style="22"/>
    <col min="5633" max="5633" width="4.7109375" style="22" customWidth="1"/>
    <col min="5634" max="5634" width="8.7109375" style="22" customWidth="1"/>
    <col min="5635" max="5635" width="32.5703125" style="22" customWidth="1"/>
    <col min="5636" max="5636" width="14" style="22" customWidth="1"/>
    <col min="5637" max="5637" width="9.42578125" style="22" customWidth="1"/>
    <col min="5638" max="5638" width="3.28515625" style="22" customWidth="1"/>
    <col min="5639" max="5639" width="11" style="22" customWidth="1"/>
    <col min="5640" max="5640" width="4.140625" style="22" customWidth="1"/>
    <col min="5641" max="5641" width="10.28515625" style="22" customWidth="1"/>
    <col min="5642" max="5642" width="9.140625" style="22" customWidth="1"/>
    <col min="5643" max="5643" width="10.28515625" style="22" bestFit="1" customWidth="1"/>
    <col min="5644" max="5888" width="9.140625" style="22"/>
    <col min="5889" max="5889" width="4.7109375" style="22" customWidth="1"/>
    <col min="5890" max="5890" width="8.7109375" style="22" customWidth="1"/>
    <col min="5891" max="5891" width="32.5703125" style="22" customWidth="1"/>
    <col min="5892" max="5892" width="14" style="22" customWidth="1"/>
    <col min="5893" max="5893" width="9.42578125" style="22" customWidth="1"/>
    <col min="5894" max="5894" width="3.28515625" style="22" customWidth="1"/>
    <col min="5895" max="5895" width="11" style="22" customWidth="1"/>
    <col min="5896" max="5896" width="4.140625" style="22" customWidth="1"/>
    <col min="5897" max="5897" width="10.28515625" style="22" customWidth="1"/>
    <col min="5898" max="5898" width="9.140625" style="22" customWidth="1"/>
    <col min="5899" max="5899" width="10.28515625" style="22" bestFit="1" customWidth="1"/>
    <col min="5900" max="6144" width="9.140625" style="22"/>
    <col min="6145" max="6145" width="4.7109375" style="22" customWidth="1"/>
    <col min="6146" max="6146" width="8.7109375" style="22" customWidth="1"/>
    <col min="6147" max="6147" width="32.5703125" style="22" customWidth="1"/>
    <col min="6148" max="6148" width="14" style="22" customWidth="1"/>
    <col min="6149" max="6149" width="9.42578125" style="22" customWidth="1"/>
    <col min="6150" max="6150" width="3.28515625" style="22" customWidth="1"/>
    <col min="6151" max="6151" width="11" style="22" customWidth="1"/>
    <col min="6152" max="6152" width="4.140625" style="22" customWidth="1"/>
    <col min="6153" max="6153" width="10.28515625" style="22" customWidth="1"/>
    <col min="6154" max="6154" width="9.140625" style="22" customWidth="1"/>
    <col min="6155" max="6155" width="10.28515625" style="22" bestFit="1" customWidth="1"/>
    <col min="6156" max="6400" width="9.140625" style="22"/>
    <col min="6401" max="6401" width="4.7109375" style="22" customWidth="1"/>
    <col min="6402" max="6402" width="8.7109375" style="22" customWidth="1"/>
    <col min="6403" max="6403" width="32.5703125" style="22" customWidth="1"/>
    <col min="6404" max="6404" width="14" style="22" customWidth="1"/>
    <col min="6405" max="6405" width="9.42578125" style="22" customWidth="1"/>
    <col min="6406" max="6406" width="3.28515625" style="22" customWidth="1"/>
    <col min="6407" max="6407" width="11" style="22" customWidth="1"/>
    <col min="6408" max="6408" width="4.140625" style="22" customWidth="1"/>
    <col min="6409" max="6409" width="10.28515625" style="22" customWidth="1"/>
    <col min="6410" max="6410" width="9.140625" style="22" customWidth="1"/>
    <col min="6411" max="6411" width="10.28515625" style="22" bestFit="1" customWidth="1"/>
    <col min="6412" max="6656" width="9.140625" style="22"/>
    <col min="6657" max="6657" width="4.7109375" style="22" customWidth="1"/>
    <col min="6658" max="6658" width="8.7109375" style="22" customWidth="1"/>
    <col min="6659" max="6659" width="32.5703125" style="22" customWidth="1"/>
    <col min="6660" max="6660" width="14" style="22" customWidth="1"/>
    <col min="6661" max="6661" width="9.42578125" style="22" customWidth="1"/>
    <col min="6662" max="6662" width="3.28515625" style="22" customWidth="1"/>
    <col min="6663" max="6663" width="11" style="22" customWidth="1"/>
    <col min="6664" max="6664" width="4.140625" style="22" customWidth="1"/>
    <col min="6665" max="6665" width="10.28515625" style="22" customWidth="1"/>
    <col min="6666" max="6666" width="9.140625" style="22" customWidth="1"/>
    <col min="6667" max="6667" width="10.28515625" style="22" bestFit="1" customWidth="1"/>
    <col min="6668" max="6912" width="9.140625" style="22"/>
    <col min="6913" max="6913" width="4.7109375" style="22" customWidth="1"/>
    <col min="6914" max="6914" width="8.7109375" style="22" customWidth="1"/>
    <col min="6915" max="6915" width="32.5703125" style="22" customWidth="1"/>
    <col min="6916" max="6916" width="14" style="22" customWidth="1"/>
    <col min="6917" max="6917" width="9.42578125" style="22" customWidth="1"/>
    <col min="6918" max="6918" width="3.28515625" style="22" customWidth="1"/>
    <col min="6919" max="6919" width="11" style="22" customWidth="1"/>
    <col min="6920" max="6920" width="4.140625" style="22" customWidth="1"/>
    <col min="6921" max="6921" width="10.28515625" style="22" customWidth="1"/>
    <col min="6922" max="6922" width="9.140625" style="22" customWidth="1"/>
    <col min="6923" max="6923" width="10.28515625" style="22" bestFit="1" customWidth="1"/>
    <col min="6924" max="7168" width="9.140625" style="22"/>
    <col min="7169" max="7169" width="4.7109375" style="22" customWidth="1"/>
    <col min="7170" max="7170" width="8.7109375" style="22" customWidth="1"/>
    <col min="7171" max="7171" width="32.5703125" style="22" customWidth="1"/>
    <col min="7172" max="7172" width="14" style="22" customWidth="1"/>
    <col min="7173" max="7173" width="9.42578125" style="22" customWidth="1"/>
    <col min="7174" max="7174" width="3.28515625" style="22" customWidth="1"/>
    <col min="7175" max="7175" width="11" style="22" customWidth="1"/>
    <col min="7176" max="7176" width="4.140625" style="22" customWidth="1"/>
    <col min="7177" max="7177" width="10.28515625" style="22" customWidth="1"/>
    <col min="7178" max="7178" width="9.140625" style="22" customWidth="1"/>
    <col min="7179" max="7179" width="10.28515625" style="22" bestFit="1" customWidth="1"/>
    <col min="7180" max="7424" width="9.140625" style="22"/>
    <col min="7425" max="7425" width="4.7109375" style="22" customWidth="1"/>
    <col min="7426" max="7426" width="8.7109375" style="22" customWidth="1"/>
    <col min="7427" max="7427" width="32.5703125" style="22" customWidth="1"/>
    <col min="7428" max="7428" width="14" style="22" customWidth="1"/>
    <col min="7429" max="7429" width="9.42578125" style="22" customWidth="1"/>
    <col min="7430" max="7430" width="3.28515625" style="22" customWidth="1"/>
    <col min="7431" max="7431" width="11" style="22" customWidth="1"/>
    <col min="7432" max="7432" width="4.140625" style="22" customWidth="1"/>
    <col min="7433" max="7433" width="10.28515625" style="22" customWidth="1"/>
    <col min="7434" max="7434" width="9.140625" style="22" customWidth="1"/>
    <col min="7435" max="7435" width="10.28515625" style="22" bestFit="1" customWidth="1"/>
    <col min="7436" max="7680" width="9.140625" style="22"/>
    <col min="7681" max="7681" width="4.7109375" style="22" customWidth="1"/>
    <col min="7682" max="7682" width="8.7109375" style="22" customWidth="1"/>
    <col min="7683" max="7683" width="32.5703125" style="22" customWidth="1"/>
    <col min="7684" max="7684" width="14" style="22" customWidth="1"/>
    <col min="7685" max="7685" width="9.42578125" style="22" customWidth="1"/>
    <col min="7686" max="7686" width="3.28515625" style="22" customWidth="1"/>
    <col min="7687" max="7687" width="11" style="22" customWidth="1"/>
    <col min="7688" max="7688" width="4.140625" style="22" customWidth="1"/>
    <col min="7689" max="7689" width="10.28515625" style="22" customWidth="1"/>
    <col min="7690" max="7690" width="9.140625" style="22" customWidth="1"/>
    <col min="7691" max="7691" width="10.28515625" style="22" bestFit="1" customWidth="1"/>
    <col min="7692" max="7936" width="9.140625" style="22"/>
    <col min="7937" max="7937" width="4.7109375" style="22" customWidth="1"/>
    <col min="7938" max="7938" width="8.7109375" style="22" customWidth="1"/>
    <col min="7939" max="7939" width="32.5703125" style="22" customWidth="1"/>
    <col min="7940" max="7940" width="14" style="22" customWidth="1"/>
    <col min="7941" max="7941" width="9.42578125" style="22" customWidth="1"/>
    <col min="7942" max="7942" width="3.28515625" style="22" customWidth="1"/>
    <col min="7943" max="7943" width="11" style="22" customWidth="1"/>
    <col min="7944" max="7944" width="4.140625" style="22" customWidth="1"/>
    <col min="7945" max="7945" width="10.28515625" style="22" customWidth="1"/>
    <col min="7946" max="7946" width="9.140625" style="22" customWidth="1"/>
    <col min="7947" max="7947" width="10.28515625" style="22" bestFit="1" customWidth="1"/>
    <col min="7948" max="8192" width="9.140625" style="22"/>
    <col min="8193" max="8193" width="4.7109375" style="22" customWidth="1"/>
    <col min="8194" max="8194" width="8.7109375" style="22" customWidth="1"/>
    <col min="8195" max="8195" width="32.5703125" style="22" customWidth="1"/>
    <col min="8196" max="8196" width="14" style="22" customWidth="1"/>
    <col min="8197" max="8197" width="9.42578125" style="22" customWidth="1"/>
    <col min="8198" max="8198" width="3.28515625" style="22" customWidth="1"/>
    <col min="8199" max="8199" width="11" style="22" customWidth="1"/>
    <col min="8200" max="8200" width="4.140625" style="22" customWidth="1"/>
    <col min="8201" max="8201" width="10.28515625" style="22" customWidth="1"/>
    <col min="8202" max="8202" width="9.140625" style="22" customWidth="1"/>
    <col min="8203" max="8203" width="10.28515625" style="22" bestFit="1" customWidth="1"/>
    <col min="8204" max="8448" width="9.140625" style="22"/>
    <col min="8449" max="8449" width="4.7109375" style="22" customWidth="1"/>
    <col min="8450" max="8450" width="8.7109375" style="22" customWidth="1"/>
    <col min="8451" max="8451" width="32.5703125" style="22" customWidth="1"/>
    <col min="8452" max="8452" width="14" style="22" customWidth="1"/>
    <col min="8453" max="8453" width="9.42578125" style="22" customWidth="1"/>
    <col min="8454" max="8454" width="3.28515625" style="22" customWidth="1"/>
    <col min="8455" max="8455" width="11" style="22" customWidth="1"/>
    <col min="8456" max="8456" width="4.140625" style="22" customWidth="1"/>
    <col min="8457" max="8457" width="10.28515625" style="22" customWidth="1"/>
    <col min="8458" max="8458" width="9.140625" style="22" customWidth="1"/>
    <col min="8459" max="8459" width="10.28515625" style="22" bestFit="1" customWidth="1"/>
    <col min="8460" max="8704" width="9.140625" style="22"/>
    <col min="8705" max="8705" width="4.7109375" style="22" customWidth="1"/>
    <col min="8706" max="8706" width="8.7109375" style="22" customWidth="1"/>
    <col min="8707" max="8707" width="32.5703125" style="22" customWidth="1"/>
    <col min="8708" max="8708" width="14" style="22" customWidth="1"/>
    <col min="8709" max="8709" width="9.42578125" style="22" customWidth="1"/>
    <col min="8710" max="8710" width="3.28515625" style="22" customWidth="1"/>
    <col min="8711" max="8711" width="11" style="22" customWidth="1"/>
    <col min="8712" max="8712" width="4.140625" style="22" customWidth="1"/>
    <col min="8713" max="8713" width="10.28515625" style="22" customWidth="1"/>
    <col min="8714" max="8714" width="9.140625" style="22" customWidth="1"/>
    <col min="8715" max="8715" width="10.28515625" style="22" bestFit="1" customWidth="1"/>
    <col min="8716" max="8960" width="9.140625" style="22"/>
    <col min="8961" max="8961" width="4.7109375" style="22" customWidth="1"/>
    <col min="8962" max="8962" width="8.7109375" style="22" customWidth="1"/>
    <col min="8963" max="8963" width="32.5703125" style="22" customWidth="1"/>
    <col min="8964" max="8964" width="14" style="22" customWidth="1"/>
    <col min="8965" max="8965" width="9.42578125" style="22" customWidth="1"/>
    <col min="8966" max="8966" width="3.28515625" style="22" customWidth="1"/>
    <col min="8967" max="8967" width="11" style="22" customWidth="1"/>
    <col min="8968" max="8968" width="4.140625" style="22" customWidth="1"/>
    <col min="8969" max="8969" width="10.28515625" style="22" customWidth="1"/>
    <col min="8970" max="8970" width="9.140625" style="22" customWidth="1"/>
    <col min="8971" max="8971" width="10.28515625" style="22" bestFit="1" customWidth="1"/>
    <col min="8972" max="9216" width="9.140625" style="22"/>
    <col min="9217" max="9217" width="4.7109375" style="22" customWidth="1"/>
    <col min="9218" max="9218" width="8.7109375" style="22" customWidth="1"/>
    <col min="9219" max="9219" width="32.5703125" style="22" customWidth="1"/>
    <col min="9220" max="9220" width="14" style="22" customWidth="1"/>
    <col min="9221" max="9221" width="9.42578125" style="22" customWidth="1"/>
    <col min="9222" max="9222" width="3.28515625" style="22" customWidth="1"/>
    <col min="9223" max="9223" width="11" style="22" customWidth="1"/>
    <col min="9224" max="9224" width="4.140625" style="22" customWidth="1"/>
    <col min="9225" max="9225" width="10.28515625" style="22" customWidth="1"/>
    <col min="9226" max="9226" width="9.140625" style="22" customWidth="1"/>
    <col min="9227" max="9227" width="10.28515625" style="22" bestFit="1" customWidth="1"/>
    <col min="9228" max="9472" width="9.140625" style="22"/>
    <col min="9473" max="9473" width="4.7109375" style="22" customWidth="1"/>
    <col min="9474" max="9474" width="8.7109375" style="22" customWidth="1"/>
    <col min="9475" max="9475" width="32.5703125" style="22" customWidth="1"/>
    <col min="9476" max="9476" width="14" style="22" customWidth="1"/>
    <col min="9477" max="9477" width="9.42578125" style="22" customWidth="1"/>
    <col min="9478" max="9478" width="3.28515625" style="22" customWidth="1"/>
    <col min="9479" max="9479" width="11" style="22" customWidth="1"/>
    <col min="9480" max="9480" width="4.140625" style="22" customWidth="1"/>
    <col min="9481" max="9481" width="10.28515625" style="22" customWidth="1"/>
    <col min="9482" max="9482" width="9.140625" style="22" customWidth="1"/>
    <col min="9483" max="9483" width="10.28515625" style="22" bestFit="1" customWidth="1"/>
    <col min="9484" max="9728" width="9.140625" style="22"/>
    <col min="9729" max="9729" width="4.7109375" style="22" customWidth="1"/>
    <col min="9730" max="9730" width="8.7109375" style="22" customWidth="1"/>
    <col min="9731" max="9731" width="32.5703125" style="22" customWidth="1"/>
    <col min="9732" max="9732" width="14" style="22" customWidth="1"/>
    <col min="9733" max="9733" width="9.42578125" style="22" customWidth="1"/>
    <col min="9734" max="9734" width="3.28515625" style="22" customWidth="1"/>
    <col min="9735" max="9735" width="11" style="22" customWidth="1"/>
    <col min="9736" max="9736" width="4.140625" style="22" customWidth="1"/>
    <col min="9737" max="9737" width="10.28515625" style="22" customWidth="1"/>
    <col min="9738" max="9738" width="9.140625" style="22" customWidth="1"/>
    <col min="9739" max="9739" width="10.28515625" style="22" bestFit="1" customWidth="1"/>
    <col min="9740" max="9984" width="9.140625" style="22"/>
    <col min="9985" max="9985" width="4.7109375" style="22" customWidth="1"/>
    <col min="9986" max="9986" width="8.7109375" style="22" customWidth="1"/>
    <col min="9987" max="9987" width="32.5703125" style="22" customWidth="1"/>
    <col min="9988" max="9988" width="14" style="22" customWidth="1"/>
    <col min="9989" max="9989" width="9.42578125" style="22" customWidth="1"/>
    <col min="9990" max="9990" width="3.28515625" style="22" customWidth="1"/>
    <col min="9991" max="9991" width="11" style="22" customWidth="1"/>
    <col min="9992" max="9992" width="4.140625" style="22" customWidth="1"/>
    <col min="9993" max="9993" width="10.28515625" style="22" customWidth="1"/>
    <col min="9994" max="9994" width="9.140625" style="22" customWidth="1"/>
    <col min="9995" max="9995" width="10.28515625" style="22" bestFit="1" customWidth="1"/>
    <col min="9996" max="10240" width="9.140625" style="22"/>
    <col min="10241" max="10241" width="4.7109375" style="22" customWidth="1"/>
    <col min="10242" max="10242" width="8.7109375" style="22" customWidth="1"/>
    <col min="10243" max="10243" width="32.5703125" style="22" customWidth="1"/>
    <col min="10244" max="10244" width="14" style="22" customWidth="1"/>
    <col min="10245" max="10245" width="9.42578125" style="22" customWidth="1"/>
    <col min="10246" max="10246" width="3.28515625" style="22" customWidth="1"/>
    <col min="10247" max="10247" width="11" style="22" customWidth="1"/>
    <col min="10248" max="10248" width="4.140625" style="22" customWidth="1"/>
    <col min="10249" max="10249" width="10.28515625" style="22" customWidth="1"/>
    <col min="10250" max="10250" width="9.140625" style="22" customWidth="1"/>
    <col min="10251" max="10251" width="10.28515625" style="22" bestFit="1" customWidth="1"/>
    <col min="10252" max="10496" width="9.140625" style="22"/>
    <col min="10497" max="10497" width="4.7109375" style="22" customWidth="1"/>
    <col min="10498" max="10498" width="8.7109375" style="22" customWidth="1"/>
    <col min="10499" max="10499" width="32.5703125" style="22" customWidth="1"/>
    <col min="10500" max="10500" width="14" style="22" customWidth="1"/>
    <col min="10501" max="10501" width="9.42578125" style="22" customWidth="1"/>
    <col min="10502" max="10502" width="3.28515625" style="22" customWidth="1"/>
    <col min="10503" max="10503" width="11" style="22" customWidth="1"/>
    <col min="10504" max="10504" width="4.140625" style="22" customWidth="1"/>
    <col min="10505" max="10505" width="10.28515625" style="22" customWidth="1"/>
    <col min="10506" max="10506" width="9.140625" style="22" customWidth="1"/>
    <col min="10507" max="10507" width="10.28515625" style="22" bestFit="1" customWidth="1"/>
    <col min="10508" max="10752" width="9.140625" style="22"/>
    <col min="10753" max="10753" width="4.7109375" style="22" customWidth="1"/>
    <col min="10754" max="10754" width="8.7109375" style="22" customWidth="1"/>
    <col min="10755" max="10755" width="32.5703125" style="22" customWidth="1"/>
    <col min="10756" max="10756" width="14" style="22" customWidth="1"/>
    <col min="10757" max="10757" width="9.42578125" style="22" customWidth="1"/>
    <col min="10758" max="10758" width="3.28515625" style="22" customWidth="1"/>
    <col min="10759" max="10759" width="11" style="22" customWidth="1"/>
    <col min="10760" max="10760" width="4.140625" style="22" customWidth="1"/>
    <col min="10761" max="10761" width="10.28515625" style="22" customWidth="1"/>
    <col min="10762" max="10762" width="9.140625" style="22" customWidth="1"/>
    <col min="10763" max="10763" width="10.28515625" style="22" bestFit="1" customWidth="1"/>
    <col min="10764" max="11008" width="9.140625" style="22"/>
    <col min="11009" max="11009" width="4.7109375" style="22" customWidth="1"/>
    <col min="11010" max="11010" width="8.7109375" style="22" customWidth="1"/>
    <col min="11011" max="11011" width="32.5703125" style="22" customWidth="1"/>
    <col min="11012" max="11012" width="14" style="22" customWidth="1"/>
    <col min="11013" max="11013" width="9.42578125" style="22" customWidth="1"/>
    <col min="11014" max="11014" width="3.28515625" style="22" customWidth="1"/>
    <col min="11015" max="11015" width="11" style="22" customWidth="1"/>
    <col min="11016" max="11016" width="4.140625" style="22" customWidth="1"/>
    <col min="11017" max="11017" width="10.28515625" style="22" customWidth="1"/>
    <col min="11018" max="11018" width="9.140625" style="22" customWidth="1"/>
    <col min="11019" max="11019" width="10.28515625" style="22" bestFit="1" customWidth="1"/>
    <col min="11020" max="11264" width="9.140625" style="22"/>
    <col min="11265" max="11265" width="4.7109375" style="22" customWidth="1"/>
    <col min="11266" max="11266" width="8.7109375" style="22" customWidth="1"/>
    <col min="11267" max="11267" width="32.5703125" style="22" customWidth="1"/>
    <col min="11268" max="11268" width="14" style="22" customWidth="1"/>
    <col min="11269" max="11269" width="9.42578125" style="22" customWidth="1"/>
    <col min="11270" max="11270" width="3.28515625" style="22" customWidth="1"/>
    <col min="11271" max="11271" width="11" style="22" customWidth="1"/>
    <col min="11272" max="11272" width="4.140625" style="22" customWidth="1"/>
    <col min="11273" max="11273" width="10.28515625" style="22" customWidth="1"/>
    <col min="11274" max="11274" width="9.140625" style="22" customWidth="1"/>
    <col min="11275" max="11275" width="10.28515625" style="22" bestFit="1" customWidth="1"/>
    <col min="11276" max="11520" width="9.140625" style="22"/>
    <col min="11521" max="11521" width="4.7109375" style="22" customWidth="1"/>
    <col min="11522" max="11522" width="8.7109375" style="22" customWidth="1"/>
    <col min="11523" max="11523" width="32.5703125" style="22" customWidth="1"/>
    <col min="11524" max="11524" width="14" style="22" customWidth="1"/>
    <col min="11525" max="11525" width="9.42578125" style="22" customWidth="1"/>
    <col min="11526" max="11526" width="3.28515625" style="22" customWidth="1"/>
    <col min="11527" max="11527" width="11" style="22" customWidth="1"/>
    <col min="11528" max="11528" width="4.140625" style="22" customWidth="1"/>
    <col min="11529" max="11529" width="10.28515625" style="22" customWidth="1"/>
    <col min="11530" max="11530" width="9.140625" style="22" customWidth="1"/>
    <col min="11531" max="11531" width="10.28515625" style="22" bestFit="1" customWidth="1"/>
    <col min="11532" max="11776" width="9.140625" style="22"/>
    <col min="11777" max="11777" width="4.7109375" style="22" customWidth="1"/>
    <col min="11778" max="11778" width="8.7109375" style="22" customWidth="1"/>
    <col min="11779" max="11779" width="32.5703125" style="22" customWidth="1"/>
    <col min="11780" max="11780" width="14" style="22" customWidth="1"/>
    <col min="11781" max="11781" width="9.42578125" style="22" customWidth="1"/>
    <col min="11782" max="11782" width="3.28515625" style="22" customWidth="1"/>
    <col min="11783" max="11783" width="11" style="22" customWidth="1"/>
    <col min="11784" max="11784" width="4.140625" style="22" customWidth="1"/>
    <col min="11785" max="11785" width="10.28515625" style="22" customWidth="1"/>
    <col min="11786" max="11786" width="9.140625" style="22" customWidth="1"/>
    <col min="11787" max="11787" width="10.28515625" style="22" bestFit="1" customWidth="1"/>
    <col min="11788" max="12032" width="9.140625" style="22"/>
    <col min="12033" max="12033" width="4.7109375" style="22" customWidth="1"/>
    <col min="12034" max="12034" width="8.7109375" style="22" customWidth="1"/>
    <col min="12035" max="12035" width="32.5703125" style="22" customWidth="1"/>
    <col min="12036" max="12036" width="14" style="22" customWidth="1"/>
    <col min="12037" max="12037" width="9.42578125" style="22" customWidth="1"/>
    <col min="12038" max="12038" width="3.28515625" style="22" customWidth="1"/>
    <col min="12039" max="12039" width="11" style="22" customWidth="1"/>
    <col min="12040" max="12040" width="4.140625" style="22" customWidth="1"/>
    <col min="12041" max="12041" width="10.28515625" style="22" customWidth="1"/>
    <col min="12042" max="12042" width="9.140625" style="22" customWidth="1"/>
    <col min="12043" max="12043" width="10.28515625" style="22" bestFit="1" customWidth="1"/>
    <col min="12044" max="12288" width="9.140625" style="22"/>
    <col min="12289" max="12289" width="4.7109375" style="22" customWidth="1"/>
    <col min="12290" max="12290" width="8.7109375" style="22" customWidth="1"/>
    <col min="12291" max="12291" width="32.5703125" style="22" customWidth="1"/>
    <col min="12292" max="12292" width="14" style="22" customWidth="1"/>
    <col min="12293" max="12293" width="9.42578125" style="22" customWidth="1"/>
    <col min="12294" max="12294" width="3.28515625" style="22" customWidth="1"/>
    <col min="12295" max="12295" width="11" style="22" customWidth="1"/>
    <col min="12296" max="12296" width="4.140625" style="22" customWidth="1"/>
    <col min="12297" max="12297" width="10.28515625" style="22" customWidth="1"/>
    <col min="12298" max="12298" width="9.140625" style="22" customWidth="1"/>
    <col min="12299" max="12299" width="10.28515625" style="22" bestFit="1" customWidth="1"/>
    <col min="12300" max="12544" width="9.140625" style="22"/>
    <col min="12545" max="12545" width="4.7109375" style="22" customWidth="1"/>
    <col min="12546" max="12546" width="8.7109375" style="22" customWidth="1"/>
    <col min="12547" max="12547" width="32.5703125" style="22" customWidth="1"/>
    <col min="12548" max="12548" width="14" style="22" customWidth="1"/>
    <col min="12549" max="12549" width="9.42578125" style="22" customWidth="1"/>
    <col min="12550" max="12550" width="3.28515625" style="22" customWidth="1"/>
    <col min="12551" max="12551" width="11" style="22" customWidth="1"/>
    <col min="12552" max="12552" width="4.140625" style="22" customWidth="1"/>
    <col min="12553" max="12553" width="10.28515625" style="22" customWidth="1"/>
    <col min="12554" max="12554" width="9.140625" style="22" customWidth="1"/>
    <col min="12555" max="12555" width="10.28515625" style="22" bestFit="1" customWidth="1"/>
    <col min="12556" max="12800" width="9.140625" style="22"/>
    <col min="12801" max="12801" width="4.7109375" style="22" customWidth="1"/>
    <col min="12802" max="12802" width="8.7109375" style="22" customWidth="1"/>
    <col min="12803" max="12803" width="32.5703125" style="22" customWidth="1"/>
    <col min="12804" max="12804" width="14" style="22" customWidth="1"/>
    <col min="12805" max="12805" width="9.42578125" style="22" customWidth="1"/>
    <col min="12806" max="12806" width="3.28515625" style="22" customWidth="1"/>
    <col min="12807" max="12807" width="11" style="22" customWidth="1"/>
    <col min="12808" max="12808" width="4.140625" style="22" customWidth="1"/>
    <col min="12809" max="12809" width="10.28515625" style="22" customWidth="1"/>
    <col min="12810" max="12810" width="9.140625" style="22" customWidth="1"/>
    <col min="12811" max="12811" width="10.28515625" style="22" bestFit="1" customWidth="1"/>
    <col min="12812" max="13056" width="9.140625" style="22"/>
    <col min="13057" max="13057" width="4.7109375" style="22" customWidth="1"/>
    <col min="13058" max="13058" width="8.7109375" style="22" customWidth="1"/>
    <col min="13059" max="13059" width="32.5703125" style="22" customWidth="1"/>
    <col min="13060" max="13060" width="14" style="22" customWidth="1"/>
    <col min="13061" max="13061" width="9.42578125" style="22" customWidth="1"/>
    <col min="13062" max="13062" width="3.28515625" style="22" customWidth="1"/>
    <col min="13063" max="13063" width="11" style="22" customWidth="1"/>
    <col min="13064" max="13064" width="4.140625" style="22" customWidth="1"/>
    <col min="13065" max="13065" width="10.28515625" style="22" customWidth="1"/>
    <col min="13066" max="13066" width="9.140625" style="22" customWidth="1"/>
    <col min="13067" max="13067" width="10.28515625" style="22" bestFit="1" customWidth="1"/>
    <col min="13068" max="13312" width="9.140625" style="22"/>
    <col min="13313" max="13313" width="4.7109375" style="22" customWidth="1"/>
    <col min="13314" max="13314" width="8.7109375" style="22" customWidth="1"/>
    <col min="13315" max="13315" width="32.5703125" style="22" customWidth="1"/>
    <col min="13316" max="13316" width="14" style="22" customWidth="1"/>
    <col min="13317" max="13317" width="9.42578125" style="22" customWidth="1"/>
    <col min="13318" max="13318" width="3.28515625" style="22" customWidth="1"/>
    <col min="13319" max="13319" width="11" style="22" customWidth="1"/>
    <col min="13320" max="13320" width="4.140625" style="22" customWidth="1"/>
    <col min="13321" max="13321" width="10.28515625" style="22" customWidth="1"/>
    <col min="13322" max="13322" width="9.140625" style="22" customWidth="1"/>
    <col min="13323" max="13323" width="10.28515625" style="22" bestFit="1" customWidth="1"/>
    <col min="13324" max="13568" width="9.140625" style="22"/>
    <col min="13569" max="13569" width="4.7109375" style="22" customWidth="1"/>
    <col min="13570" max="13570" width="8.7109375" style="22" customWidth="1"/>
    <col min="13571" max="13571" width="32.5703125" style="22" customWidth="1"/>
    <col min="13572" max="13572" width="14" style="22" customWidth="1"/>
    <col min="13573" max="13573" width="9.42578125" style="22" customWidth="1"/>
    <col min="13574" max="13574" width="3.28515625" style="22" customWidth="1"/>
    <col min="13575" max="13575" width="11" style="22" customWidth="1"/>
    <col min="13576" max="13576" width="4.140625" style="22" customWidth="1"/>
    <col min="13577" max="13577" width="10.28515625" style="22" customWidth="1"/>
    <col min="13578" max="13578" width="9.140625" style="22" customWidth="1"/>
    <col min="13579" max="13579" width="10.28515625" style="22" bestFit="1" customWidth="1"/>
    <col min="13580" max="13824" width="9.140625" style="22"/>
    <col min="13825" max="13825" width="4.7109375" style="22" customWidth="1"/>
    <col min="13826" max="13826" width="8.7109375" style="22" customWidth="1"/>
    <col min="13827" max="13827" width="32.5703125" style="22" customWidth="1"/>
    <col min="13828" max="13828" width="14" style="22" customWidth="1"/>
    <col min="13829" max="13829" width="9.42578125" style="22" customWidth="1"/>
    <col min="13830" max="13830" width="3.28515625" style="22" customWidth="1"/>
    <col min="13831" max="13831" width="11" style="22" customWidth="1"/>
    <col min="13832" max="13832" width="4.140625" style="22" customWidth="1"/>
    <col min="13833" max="13833" width="10.28515625" style="22" customWidth="1"/>
    <col min="13834" max="13834" width="9.140625" style="22" customWidth="1"/>
    <col min="13835" max="13835" width="10.28515625" style="22" bestFit="1" customWidth="1"/>
    <col min="13836" max="14080" width="9.140625" style="22"/>
    <col min="14081" max="14081" width="4.7109375" style="22" customWidth="1"/>
    <col min="14082" max="14082" width="8.7109375" style="22" customWidth="1"/>
    <col min="14083" max="14083" width="32.5703125" style="22" customWidth="1"/>
    <col min="14084" max="14084" width="14" style="22" customWidth="1"/>
    <col min="14085" max="14085" width="9.42578125" style="22" customWidth="1"/>
    <col min="14086" max="14086" width="3.28515625" style="22" customWidth="1"/>
    <col min="14087" max="14087" width="11" style="22" customWidth="1"/>
    <col min="14088" max="14088" width="4.140625" style="22" customWidth="1"/>
    <col min="14089" max="14089" width="10.28515625" style="22" customWidth="1"/>
    <col min="14090" max="14090" width="9.140625" style="22" customWidth="1"/>
    <col min="14091" max="14091" width="10.28515625" style="22" bestFit="1" customWidth="1"/>
    <col min="14092" max="14336" width="9.140625" style="22"/>
    <col min="14337" max="14337" width="4.7109375" style="22" customWidth="1"/>
    <col min="14338" max="14338" width="8.7109375" style="22" customWidth="1"/>
    <col min="14339" max="14339" width="32.5703125" style="22" customWidth="1"/>
    <col min="14340" max="14340" width="14" style="22" customWidth="1"/>
    <col min="14341" max="14341" width="9.42578125" style="22" customWidth="1"/>
    <col min="14342" max="14342" width="3.28515625" style="22" customWidth="1"/>
    <col min="14343" max="14343" width="11" style="22" customWidth="1"/>
    <col min="14344" max="14344" width="4.140625" style="22" customWidth="1"/>
    <col min="14345" max="14345" width="10.28515625" style="22" customWidth="1"/>
    <col min="14346" max="14346" width="9.140625" style="22" customWidth="1"/>
    <col min="14347" max="14347" width="10.28515625" style="22" bestFit="1" customWidth="1"/>
    <col min="14348" max="14592" width="9.140625" style="22"/>
    <col min="14593" max="14593" width="4.7109375" style="22" customWidth="1"/>
    <col min="14594" max="14594" width="8.7109375" style="22" customWidth="1"/>
    <col min="14595" max="14595" width="32.5703125" style="22" customWidth="1"/>
    <col min="14596" max="14596" width="14" style="22" customWidth="1"/>
    <col min="14597" max="14597" width="9.42578125" style="22" customWidth="1"/>
    <col min="14598" max="14598" width="3.28515625" style="22" customWidth="1"/>
    <col min="14599" max="14599" width="11" style="22" customWidth="1"/>
    <col min="14600" max="14600" width="4.140625" style="22" customWidth="1"/>
    <col min="14601" max="14601" width="10.28515625" style="22" customWidth="1"/>
    <col min="14602" max="14602" width="9.140625" style="22" customWidth="1"/>
    <col min="14603" max="14603" width="10.28515625" style="22" bestFit="1" customWidth="1"/>
    <col min="14604" max="14848" width="9.140625" style="22"/>
    <col min="14849" max="14849" width="4.7109375" style="22" customWidth="1"/>
    <col min="14850" max="14850" width="8.7109375" style="22" customWidth="1"/>
    <col min="14851" max="14851" width="32.5703125" style="22" customWidth="1"/>
    <col min="14852" max="14852" width="14" style="22" customWidth="1"/>
    <col min="14853" max="14853" width="9.42578125" style="22" customWidth="1"/>
    <col min="14854" max="14854" width="3.28515625" style="22" customWidth="1"/>
    <col min="14855" max="14855" width="11" style="22" customWidth="1"/>
    <col min="14856" max="14856" width="4.140625" style="22" customWidth="1"/>
    <col min="14857" max="14857" width="10.28515625" style="22" customWidth="1"/>
    <col min="14858" max="14858" width="9.140625" style="22" customWidth="1"/>
    <col min="14859" max="14859" width="10.28515625" style="22" bestFit="1" customWidth="1"/>
    <col min="14860" max="15104" width="9.140625" style="22"/>
    <col min="15105" max="15105" width="4.7109375" style="22" customWidth="1"/>
    <col min="15106" max="15106" width="8.7109375" style="22" customWidth="1"/>
    <col min="15107" max="15107" width="32.5703125" style="22" customWidth="1"/>
    <col min="15108" max="15108" width="14" style="22" customWidth="1"/>
    <col min="15109" max="15109" width="9.42578125" style="22" customWidth="1"/>
    <col min="15110" max="15110" width="3.28515625" style="22" customWidth="1"/>
    <col min="15111" max="15111" width="11" style="22" customWidth="1"/>
    <col min="15112" max="15112" width="4.140625" style="22" customWidth="1"/>
    <col min="15113" max="15113" width="10.28515625" style="22" customWidth="1"/>
    <col min="15114" max="15114" width="9.140625" style="22" customWidth="1"/>
    <col min="15115" max="15115" width="10.28515625" style="22" bestFit="1" customWidth="1"/>
    <col min="15116" max="15360" width="9.140625" style="22"/>
    <col min="15361" max="15361" width="4.7109375" style="22" customWidth="1"/>
    <col min="15362" max="15362" width="8.7109375" style="22" customWidth="1"/>
    <col min="15363" max="15363" width="32.5703125" style="22" customWidth="1"/>
    <col min="15364" max="15364" width="14" style="22" customWidth="1"/>
    <col min="15365" max="15365" width="9.42578125" style="22" customWidth="1"/>
    <col min="15366" max="15366" width="3.28515625" style="22" customWidth="1"/>
    <col min="15367" max="15367" width="11" style="22" customWidth="1"/>
    <col min="15368" max="15368" width="4.140625" style="22" customWidth="1"/>
    <col min="15369" max="15369" width="10.28515625" style="22" customWidth="1"/>
    <col min="15370" max="15370" width="9.140625" style="22" customWidth="1"/>
    <col min="15371" max="15371" width="10.28515625" style="22" bestFit="1" customWidth="1"/>
    <col min="15372" max="15616" width="9.140625" style="22"/>
    <col min="15617" max="15617" width="4.7109375" style="22" customWidth="1"/>
    <col min="15618" max="15618" width="8.7109375" style="22" customWidth="1"/>
    <col min="15619" max="15619" width="32.5703125" style="22" customWidth="1"/>
    <col min="15620" max="15620" width="14" style="22" customWidth="1"/>
    <col min="15621" max="15621" width="9.42578125" style="22" customWidth="1"/>
    <col min="15622" max="15622" width="3.28515625" style="22" customWidth="1"/>
    <col min="15623" max="15623" width="11" style="22" customWidth="1"/>
    <col min="15624" max="15624" width="4.140625" style="22" customWidth="1"/>
    <col min="15625" max="15625" width="10.28515625" style="22" customWidth="1"/>
    <col min="15626" max="15626" width="9.140625" style="22" customWidth="1"/>
    <col min="15627" max="15627" width="10.28515625" style="22" bestFit="1" customWidth="1"/>
    <col min="15628" max="15872" width="9.140625" style="22"/>
    <col min="15873" max="15873" width="4.7109375" style="22" customWidth="1"/>
    <col min="15874" max="15874" width="8.7109375" style="22" customWidth="1"/>
    <col min="15875" max="15875" width="32.5703125" style="22" customWidth="1"/>
    <col min="15876" max="15876" width="14" style="22" customWidth="1"/>
    <col min="15877" max="15877" width="9.42578125" style="22" customWidth="1"/>
    <col min="15878" max="15878" width="3.28515625" style="22" customWidth="1"/>
    <col min="15879" max="15879" width="11" style="22" customWidth="1"/>
    <col min="15880" max="15880" width="4.140625" style="22" customWidth="1"/>
    <col min="15881" max="15881" width="10.28515625" style="22" customWidth="1"/>
    <col min="15882" max="15882" width="9.140625" style="22" customWidth="1"/>
    <col min="15883" max="15883" width="10.28515625" style="22" bestFit="1" customWidth="1"/>
    <col min="15884" max="16128" width="9.140625" style="22"/>
    <col min="16129" max="16129" width="4.7109375" style="22" customWidth="1"/>
    <col min="16130" max="16130" width="8.7109375" style="22" customWidth="1"/>
    <col min="16131" max="16131" width="32.5703125" style="22" customWidth="1"/>
    <col min="16132" max="16132" width="14" style="22" customWidth="1"/>
    <col min="16133" max="16133" width="9.42578125" style="22" customWidth="1"/>
    <col min="16134" max="16134" width="3.28515625" style="22" customWidth="1"/>
    <col min="16135" max="16135" width="11" style="22" customWidth="1"/>
    <col min="16136" max="16136" width="4.140625" style="22" customWidth="1"/>
    <col min="16137" max="16137" width="10.28515625" style="22" customWidth="1"/>
    <col min="16138" max="16138" width="9.140625" style="22" customWidth="1"/>
    <col min="16139" max="16139" width="10.28515625" style="22" bestFit="1" customWidth="1"/>
    <col min="16140" max="16384" width="9.140625" style="22"/>
  </cols>
  <sheetData>
    <row r="1" spans="1:9" ht="12.2" customHeight="1" x14ac:dyDescent="0.25">
      <c r="G1" s="251" t="s">
        <v>76</v>
      </c>
      <c r="H1" s="251"/>
      <c r="I1" s="251"/>
    </row>
    <row r="2" spans="1:9" ht="12.2" hidden="1" customHeight="1" x14ac:dyDescent="0.25">
      <c r="A2" s="252" t="s">
        <v>77</v>
      </c>
      <c r="B2" s="253"/>
      <c r="C2" s="253"/>
      <c r="D2" s="253"/>
      <c r="E2" s="253"/>
      <c r="F2" s="253"/>
      <c r="G2" s="253"/>
      <c r="H2" s="253"/>
      <c r="I2" s="253"/>
    </row>
    <row r="3" spans="1:9" ht="12.2" hidden="1" customHeight="1" x14ac:dyDescent="0.25">
      <c r="A3" s="254" t="s">
        <v>4</v>
      </c>
      <c r="B3" s="255"/>
      <c r="C3" s="255"/>
      <c r="D3" s="255"/>
      <c r="E3" s="255"/>
      <c r="F3" s="255"/>
      <c r="G3" s="255"/>
      <c r="H3" s="255"/>
      <c r="I3" s="255"/>
    </row>
    <row r="4" spans="1:9" ht="12.2" customHeight="1" x14ac:dyDescent="0.25">
      <c r="A4" s="256" t="s">
        <v>78</v>
      </c>
      <c r="B4" s="256"/>
      <c r="C4" s="256"/>
      <c r="D4" s="256"/>
      <c r="E4" s="256"/>
      <c r="F4" s="256"/>
      <c r="G4" s="256"/>
      <c r="H4" s="256"/>
      <c r="I4" s="256"/>
    </row>
    <row r="5" spans="1:9" ht="12.2" customHeight="1" x14ac:dyDescent="0.25">
      <c r="A5" s="257" t="s">
        <v>79</v>
      </c>
      <c r="B5" s="258"/>
      <c r="C5" s="258"/>
      <c r="D5" s="258"/>
      <c r="E5" s="258"/>
      <c r="F5" s="258"/>
      <c r="G5" s="258"/>
      <c r="H5" s="258"/>
      <c r="I5" s="258"/>
    </row>
    <row r="6" spans="1:9" ht="6" customHeight="1" x14ac:dyDescent="0.25"/>
    <row r="7" spans="1:9" ht="22.5" customHeight="1" x14ac:dyDescent="0.25">
      <c r="A7" s="250" t="s">
        <v>482</v>
      </c>
      <c r="B7" s="250"/>
      <c r="C7" s="250"/>
      <c r="D7" s="250"/>
      <c r="E7" s="250"/>
      <c r="F7" s="250"/>
      <c r="G7" s="250"/>
    </row>
    <row r="8" spans="1:9" ht="23.25" customHeight="1" x14ac:dyDescent="0.25">
      <c r="A8" s="263" t="s">
        <v>80</v>
      </c>
      <c r="B8" s="263"/>
      <c r="C8" s="263"/>
      <c r="D8" s="264"/>
      <c r="E8" s="264"/>
      <c r="F8" s="264"/>
      <c r="G8" s="264"/>
      <c r="H8" s="23"/>
      <c r="I8" s="23"/>
    </row>
    <row r="9" spans="1:9" ht="9" customHeight="1" x14ac:dyDescent="0.25"/>
    <row r="10" spans="1:9" ht="12.2" customHeight="1" x14ac:dyDescent="0.25">
      <c r="A10" s="263" t="s">
        <v>81</v>
      </c>
      <c r="B10" s="263"/>
      <c r="C10" s="263"/>
      <c r="D10" s="264"/>
      <c r="E10" s="264"/>
      <c r="F10" s="264"/>
      <c r="G10" s="264"/>
      <c r="H10" s="23"/>
      <c r="I10" s="23"/>
    </row>
    <row r="11" spans="1:9" ht="15.75" customHeight="1" x14ac:dyDescent="0.25">
      <c r="B11" s="265" t="s">
        <v>82</v>
      </c>
      <c r="C11" s="265"/>
      <c r="D11" s="265"/>
      <c r="E11" s="265"/>
      <c r="F11" s="265"/>
      <c r="G11" s="265"/>
      <c r="H11" s="265"/>
      <c r="I11" s="265"/>
    </row>
    <row r="12" spans="1:9" ht="15.2" customHeight="1" x14ac:dyDescent="0.25">
      <c r="A12" s="259" t="s">
        <v>83</v>
      </c>
      <c r="B12" s="259" t="s">
        <v>84</v>
      </c>
      <c r="C12" s="260"/>
      <c r="D12" s="259" t="s">
        <v>85</v>
      </c>
      <c r="E12" s="261" t="s">
        <v>86</v>
      </c>
      <c r="F12" s="262"/>
      <c r="G12" s="262"/>
      <c r="H12" s="262"/>
      <c r="I12" s="262"/>
    </row>
    <row r="13" spans="1:9" ht="20.25" customHeight="1" x14ac:dyDescent="0.25">
      <c r="A13" s="260"/>
      <c r="B13" s="260"/>
      <c r="C13" s="260"/>
      <c r="D13" s="260"/>
      <c r="E13" s="259" t="s">
        <v>87</v>
      </c>
      <c r="F13" s="260"/>
      <c r="G13" s="248" t="s">
        <v>88</v>
      </c>
      <c r="H13" s="259" t="s">
        <v>89</v>
      </c>
      <c r="I13" s="260"/>
    </row>
    <row r="14" spans="1:9" ht="21" customHeight="1" x14ac:dyDescent="0.25">
      <c r="A14" s="24">
        <v>1</v>
      </c>
      <c r="B14" s="266" t="s">
        <v>90</v>
      </c>
      <c r="C14" s="267"/>
      <c r="D14" s="25" t="s">
        <v>91</v>
      </c>
      <c r="E14" s="268">
        <v>13.823</v>
      </c>
      <c r="F14" s="268"/>
      <c r="G14" s="244"/>
      <c r="H14" s="269">
        <f t="shared" ref="H14:H20" si="0">SUM(E14:G14)</f>
        <v>13.823</v>
      </c>
      <c r="I14" s="270"/>
    </row>
    <row r="15" spans="1:9" ht="21" customHeight="1" x14ac:dyDescent="0.25">
      <c r="A15" s="24">
        <v>2</v>
      </c>
      <c r="B15" s="266" t="s">
        <v>92</v>
      </c>
      <c r="C15" s="266"/>
      <c r="D15" s="25" t="s">
        <v>93</v>
      </c>
      <c r="E15" s="268">
        <v>557.89313000000004</v>
      </c>
      <c r="F15" s="268"/>
      <c r="G15" s="244"/>
      <c r="H15" s="269">
        <f t="shared" si="0"/>
        <v>557.89313000000004</v>
      </c>
      <c r="I15" s="270"/>
    </row>
    <row r="16" spans="1:9" ht="21" customHeight="1" x14ac:dyDescent="0.25">
      <c r="A16" s="24">
        <v>3</v>
      </c>
      <c r="B16" s="266" t="s">
        <v>94</v>
      </c>
      <c r="C16" s="266"/>
      <c r="D16" s="25" t="s">
        <v>95</v>
      </c>
      <c r="E16" s="268">
        <v>14.56236</v>
      </c>
      <c r="F16" s="268"/>
      <c r="G16" s="244"/>
      <c r="H16" s="269">
        <f t="shared" si="0"/>
        <v>14.56236</v>
      </c>
      <c r="I16" s="270"/>
    </row>
    <row r="17" spans="1:24" ht="30" customHeight="1" x14ac:dyDescent="0.25">
      <c r="A17" s="24">
        <v>4</v>
      </c>
      <c r="B17" s="266" t="s">
        <v>96</v>
      </c>
      <c r="C17" s="266"/>
      <c r="D17" s="25" t="s">
        <v>97</v>
      </c>
      <c r="E17" s="268">
        <v>261.52859999999998</v>
      </c>
      <c r="F17" s="268"/>
      <c r="G17" s="244"/>
      <c r="H17" s="269">
        <f t="shared" si="0"/>
        <v>261.52859999999998</v>
      </c>
      <c r="I17" s="270"/>
    </row>
    <row r="18" spans="1:24" ht="30" customHeight="1" x14ac:dyDescent="0.25">
      <c r="A18" s="24">
        <v>5</v>
      </c>
      <c r="B18" s="266" t="s">
        <v>98</v>
      </c>
      <c r="C18" s="266"/>
      <c r="D18" s="25" t="s">
        <v>99</v>
      </c>
      <c r="E18" s="268"/>
      <c r="F18" s="268"/>
      <c r="G18" s="244">
        <v>1183.03611</v>
      </c>
      <c r="H18" s="269">
        <f>G18</f>
        <v>1183.03611</v>
      </c>
      <c r="I18" s="269"/>
    </row>
    <row r="19" spans="1:24" ht="21" customHeight="1" x14ac:dyDescent="0.25">
      <c r="A19" s="24">
        <v>6</v>
      </c>
      <c r="B19" s="266" t="s">
        <v>100</v>
      </c>
      <c r="C19" s="267"/>
      <c r="D19" s="25" t="s">
        <v>101</v>
      </c>
      <c r="E19" s="268"/>
      <c r="F19" s="268"/>
      <c r="G19" s="245">
        <v>6845.4979999999996</v>
      </c>
      <c r="H19" s="269">
        <f t="shared" si="0"/>
        <v>6845.4979999999996</v>
      </c>
      <c r="I19" s="270"/>
    </row>
    <row r="20" spans="1:24" ht="21" customHeight="1" x14ac:dyDescent="0.25">
      <c r="A20" s="24">
        <v>7</v>
      </c>
      <c r="B20" s="266" t="s">
        <v>102</v>
      </c>
      <c r="C20" s="267"/>
      <c r="D20" s="25" t="s">
        <v>103</v>
      </c>
      <c r="E20" s="268"/>
      <c r="F20" s="268"/>
      <c r="G20" s="245">
        <v>9030.9140000000007</v>
      </c>
      <c r="H20" s="269">
        <f t="shared" si="0"/>
        <v>9030.9140000000007</v>
      </c>
      <c r="I20" s="270"/>
    </row>
    <row r="21" spans="1:24" ht="15.2" customHeight="1" x14ac:dyDescent="0.25">
      <c r="A21" s="271" t="s">
        <v>104</v>
      </c>
      <c r="B21" s="260"/>
      <c r="C21" s="260"/>
      <c r="D21" s="260"/>
      <c r="E21" s="272">
        <f>SUM(E14:F20)</f>
        <v>847.80709000000002</v>
      </c>
      <c r="F21" s="270"/>
      <c r="G21" s="246">
        <f>SUM(G14:G20)</f>
        <v>17059.448110000001</v>
      </c>
      <c r="H21" s="272">
        <f>SUM(H14:I20)</f>
        <v>17907.2552</v>
      </c>
      <c r="I21" s="270"/>
      <c r="K21" s="249"/>
    </row>
    <row r="22" spans="1:24" ht="19.5" customHeight="1" x14ac:dyDescent="0.25">
      <c r="A22" s="273" t="s">
        <v>105</v>
      </c>
      <c r="B22" s="271"/>
      <c r="C22" s="271"/>
      <c r="D22" s="271"/>
      <c r="E22" s="272">
        <f>ROUND(E21*18%,3)</f>
        <v>152.60499999999999</v>
      </c>
      <c r="F22" s="270"/>
      <c r="G22" s="246">
        <f>ROUND(G21*18%,3)</f>
        <v>3070.701</v>
      </c>
      <c r="H22" s="272">
        <f>H21*18%</f>
        <v>3223.3059359999997</v>
      </c>
      <c r="I22" s="270" t="e">
        <f>ROUND(#REF!*18%,3)</f>
        <v>#REF!</v>
      </c>
      <c r="K22" s="249"/>
    </row>
    <row r="23" spans="1:24" ht="17.25" customHeight="1" x14ac:dyDescent="0.25">
      <c r="A23" s="273" t="s">
        <v>106</v>
      </c>
      <c r="B23" s="260"/>
      <c r="C23" s="260"/>
      <c r="D23" s="260"/>
      <c r="E23" s="272">
        <f>SUM(E21:F22)</f>
        <v>1000.41209</v>
      </c>
      <c r="F23" s="270"/>
      <c r="G23" s="246">
        <f>SUM(G21:G22)</f>
        <v>20130.149110000002</v>
      </c>
      <c r="H23" s="272">
        <f>H21+H22</f>
        <v>21130.561136</v>
      </c>
      <c r="I23" s="270"/>
      <c r="K23" s="249"/>
    </row>
    <row r="24" spans="1:24" ht="18" customHeight="1" x14ac:dyDescent="0.25">
      <c r="A24" s="276" t="s">
        <v>481</v>
      </c>
      <c r="B24" s="277"/>
      <c r="C24" s="277"/>
      <c r="D24" s="277"/>
      <c r="E24" s="277"/>
      <c r="F24" s="277"/>
      <c r="G24" s="277"/>
      <c r="H24" s="277"/>
      <c r="I24" s="277"/>
    </row>
    <row r="25" spans="1:24" ht="12.2" customHeight="1" x14ac:dyDescent="0.25">
      <c r="A25" s="254" t="s">
        <v>107</v>
      </c>
      <c r="B25" s="255"/>
      <c r="C25" s="255"/>
      <c r="D25" s="255"/>
      <c r="E25" s="255"/>
      <c r="F25" s="255"/>
      <c r="G25" s="255"/>
      <c r="H25" s="255"/>
      <c r="I25" s="255"/>
    </row>
    <row r="26" spans="1:24" ht="8.4499999999999993" customHeight="1" x14ac:dyDescent="0.25"/>
    <row r="27" spans="1:24" ht="33" customHeight="1" x14ac:dyDescent="0.25">
      <c r="A27" s="278" t="s">
        <v>483</v>
      </c>
      <c r="B27" s="279"/>
      <c r="C27" s="279"/>
      <c r="D27" s="279"/>
      <c r="E27" s="279"/>
      <c r="F27" s="279"/>
      <c r="G27" s="279"/>
      <c r="H27" s="279"/>
      <c r="I27" s="279"/>
      <c r="X27" s="247"/>
    </row>
    <row r="28" spans="1:24" ht="12.75" customHeight="1" x14ac:dyDescent="0.25"/>
    <row r="29" spans="1:24" ht="12" customHeight="1" x14ac:dyDescent="0.25">
      <c r="A29" s="280" t="s">
        <v>108</v>
      </c>
      <c r="B29" s="281"/>
      <c r="C29" s="281"/>
      <c r="D29" s="281"/>
      <c r="E29" s="281"/>
    </row>
    <row r="30" spans="1:24" ht="10.7" customHeight="1" x14ac:dyDescent="0.25"/>
    <row r="31" spans="1:24" ht="12.2" customHeight="1" x14ac:dyDescent="0.25">
      <c r="A31" s="278" t="s">
        <v>109</v>
      </c>
      <c r="B31" s="279"/>
      <c r="C31" s="279"/>
      <c r="D31" s="279"/>
      <c r="E31" s="279"/>
      <c r="F31" s="279"/>
      <c r="G31" s="279"/>
      <c r="H31" s="279"/>
      <c r="I31" s="279"/>
    </row>
    <row r="32" spans="1:24" ht="2.25" customHeight="1" x14ac:dyDescent="0.25"/>
    <row r="33" spans="1:9" ht="12.2" customHeight="1" x14ac:dyDescent="0.25">
      <c r="A33" s="280" t="s">
        <v>110</v>
      </c>
      <c r="B33" s="281"/>
      <c r="C33" s="281"/>
      <c r="D33" s="281"/>
      <c r="E33" s="281"/>
    </row>
    <row r="34" spans="1:9" ht="6.6" customHeight="1" x14ac:dyDescent="0.25"/>
    <row r="35" spans="1:9" ht="22.5" customHeight="1" x14ac:dyDescent="0.25">
      <c r="A35" s="263" t="s">
        <v>111</v>
      </c>
      <c r="B35" s="282"/>
      <c r="C35" s="282"/>
    </row>
    <row r="36" spans="1:9" ht="15.75" customHeight="1" x14ac:dyDescent="0.25">
      <c r="A36" s="274" t="s">
        <v>112</v>
      </c>
      <c r="B36" s="275"/>
      <c r="C36" s="26" t="s">
        <v>113</v>
      </c>
    </row>
    <row r="37" spans="1:9" ht="12.2" customHeight="1" x14ac:dyDescent="0.25">
      <c r="A37" s="283" t="s">
        <v>114</v>
      </c>
      <c r="B37" s="279"/>
      <c r="C37" s="279"/>
      <c r="D37" s="279"/>
      <c r="E37" s="279"/>
      <c r="F37" s="279"/>
      <c r="G37" s="279"/>
      <c r="H37" s="279"/>
      <c r="I37" s="279"/>
    </row>
    <row r="38" spans="1:9" ht="2.25" customHeight="1" x14ac:dyDescent="0.25">
      <c r="A38" s="274" t="s">
        <v>113</v>
      </c>
      <c r="B38" s="275"/>
      <c r="C38" s="26" t="s">
        <v>113</v>
      </c>
    </row>
    <row r="39" spans="1:9" ht="12.2" customHeight="1" x14ac:dyDescent="0.25">
      <c r="A39" s="280" t="s">
        <v>108</v>
      </c>
      <c r="B39" s="281"/>
      <c r="C39" s="281"/>
      <c r="D39" s="281"/>
      <c r="E39" s="281"/>
    </row>
    <row r="40" spans="1:9" ht="6.75" customHeight="1" x14ac:dyDescent="0.25">
      <c r="A40" s="274" t="s">
        <v>113</v>
      </c>
      <c r="B40" s="275"/>
      <c r="C40" s="26" t="s">
        <v>113</v>
      </c>
    </row>
    <row r="41" spans="1:9" ht="15" customHeight="1" x14ac:dyDescent="0.25">
      <c r="A41" s="275"/>
      <c r="B41" s="275"/>
      <c r="C41" s="26" t="s">
        <v>111</v>
      </c>
    </row>
    <row r="42" spans="1:9" ht="12.2" customHeight="1" x14ac:dyDescent="0.25"/>
  </sheetData>
  <mergeCells count="59">
    <mergeCell ref="A40:B41"/>
    <mergeCell ref="A24:I24"/>
    <mergeCell ref="A25:I25"/>
    <mergeCell ref="A27:I27"/>
    <mergeCell ref="A29:E29"/>
    <mergeCell ref="A31:I31"/>
    <mergeCell ref="A33:E33"/>
    <mergeCell ref="A35:C35"/>
    <mergeCell ref="A36:B36"/>
    <mergeCell ref="A37:I37"/>
    <mergeCell ref="A38:B38"/>
    <mergeCell ref="A39:E39"/>
    <mergeCell ref="A22:D22"/>
    <mergeCell ref="E22:F22"/>
    <mergeCell ref="H22:I22"/>
    <mergeCell ref="A23:D23"/>
    <mergeCell ref="E23:F23"/>
    <mergeCell ref="H23:I23"/>
    <mergeCell ref="B20:C20"/>
    <mergeCell ref="E20:F20"/>
    <mergeCell ref="H20:I20"/>
    <mergeCell ref="A21:D21"/>
    <mergeCell ref="E21:F21"/>
    <mergeCell ref="H21:I21"/>
    <mergeCell ref="B18:C18"/>
    <mergeCell ref="E18:F18"/>
    <mergeCell ref="H18:I18"/>
    <mergeCell ref="B19:C19"/>
    <mergeCell ref="E19:F19"/>
    <mergeCell ref="H19:I19"/>
    <mergeCell ref="B16:C16"/>
    <mergeCell ref="E16:F16"/>
    <mergeCell ref="H16:I16"/>
    <mergeCell ref="B17:C17"/>
    <mergeCell ref="E17:F17"/>
    <mergeCell ref="H17:I17"/>
    <mergeCell ref="B14:C14"/>
    <mergeCell ref="E14:F14"/>
    <mergeCell ref="H14:I14"/>
    <mergeCell ref="B15:C15"/>
    <mergeCell ref="E15:F15"/>
    <mergeCell ref="H15:I15"/>
    <mergeCell ref="A8:C8"/>
    <mergeCell ref="D8:G8"/>
    <mergeCell ref="A10:C10"/>
    <mergeCell ref="D10:G10"/>
    <mergeCell ref="B11:I11"/>
    <mergeCell ref="A12:A13"/>
    <mergeCell ref="B12:C13"/>
    <mergeCell ref="D12:D13"/>
    <mergeCell ref="E12:I12"/>
    <mergeCell ref="E13:F13"/>
    <mergeCell ref="H13:I13"/>
    <mergeCell ref="A7:G7"/>
    <mergeCell ref="G1:I1"/>
    <mergeCell ref="A2:I2"/>
    <mergeCell ref="A3:I3"/>
    <mergeCell ref="A4:I4"/>
    <mergeCell ref="A5:I5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opLeftCell="A16" zoomScale="115" zoomScaleNormal="115" workbookViewId="0">
      <selection activeCell="C6" sqref="C6:G9"/>
    </sheetView>
  </sheetViews>
  <sheetFormatPr defaultRowHeight="15" x14ac:dyDescent="0.25"/>
  <cols>
    <col min="1" max="1" width="4.140625" style="8" customWidth="1"/>
    <col min="2" max="2" width="21.5703125" style="8" customWidth="1"/>
    <col min="3" max="3" width="29.42578125" style="8" customWidth="1"/>
    <col min="4" max="4" width="9.28515625" style="52" customWidth="1"/>
    <col min="5" max="5" width="8.7109375" style="8" customWidth="1"/>
    <col min="6" max="7" width="11.140625" style="8" customWidth="1"/>
    <col min="8" max="256" width="9.140625" style="27"/>
    <col min="257" max="257" width="4.140625" style="27" customWidth="1"/>
    <col min="258" max="258" width="21.5703125" style="27" customWidth="1"/>
    <col min="259" max="259" width="29.42578125" style="27" customWidth="1"/>
    <col min="260" max="260" width="9.28515625" style="27" customWidth="1"/>
    <col min="261" max="261" width="8.7109375" style="27" customWidth="1"/>
    <col min="262" max="263" width="11.140625" style="27" customWidth="1"/>
    <col min="264" max="512" width="9.140625" style="27"/>
    <col min="513" max="513" width="4.140625" style="27" customWidth="1"/>
    <col min="514" max="514" width="21.5703125" style="27" customWidth="1"/>
    <col min="515" max="515" width="29.42578125" style="27" customWidth="1"/>
    <col min="516" max="516" width="9.28515625" style="27" customWidth="1"/>
    <col min="517" max="517" width="8.7109375" style="27" customWidth="1"/>
    <col min="518" max="519" width="11.140625" style="27" customWidth="1"/>
    <col min="520" max="768" width="9.140625" style="27"/>
    <col min="769" max="769" width="4.140625" style="27" customWidth="1"/>
    <col min="770" max="770" width="21.5703125" style="27" customWidth="1"/>
    <col min="771" max="771" width="29.42578125" style="27" customWidth="1"/>
    <col min="772" max="772" width="9.28515625" style="27" customWidth="1"/>
    <col min="773" max="773" width="8.7109375" style="27" customWidth="1"/>
    <col min="774" max="775" width="11.140625" style="27" customWidth="1"/>
    <col min="776" max="1024" width="9.140625" style="27"/>
    <col min="1025" max="1025" width="4.140625" style="27" customWidth="1"/>
    <col min="1026" max="1026" width="21.5703125" style="27" customWidth="1"/>
    <col min="1027" max="1027" width="29.42578125" style="27" customWidth="1"/>
    <col min="1028" max="1028" width="9.28515625" style="27" customWidth="1"/>
    <col min="1029" max="1029" width="8.7109375" style="27" customWidth="1"/>
    <col min="1030" max="1031" width="11.140625" style="27" customWidth="1"/>
    <col min="1032" max="1280" width="9.140625" style="27"/>
    <col min="1281" max="1281" width="4.140625" style="27" customWidth="1"/>
    <col min="1282" max="1282" width="21.5703125" style="27" customWidth="1"/>
    <col min="1283" max="1283" width="29.42578125" style="27" customWidth="1"/>
    <col min="1284" max="1284" width="9.28515625" style="27" customWidth="1"/>
    <col min="1285" max="1285" width="8.7109375" style="27" customWidth="1"/>
    <col min="1286" max="1287" width="11.140625" style="27" customWidth="1"/>
    <col min="1288" max="1536" width="9.140625" style="27"/>
    <col min="1537" max="1537" width="4.140625" style="27" customWidth="1"/>
    <col min="1538" max="1538" width="21.5703125" style="27" customWidth="1"/>
    <col min="1539" max="1539" width="29.42578125" style="27" customWidth="1"/>
    <col min="1540" max="1540" width="9.28515625" style="27" customWidth="1"/>
    <col min="1541" max="1541" width="8.7109375" style="27" customWidth="1"/>
    <col min="1542" max="1543" width="11.140625" style="27" customWidth="1"/>
    <col min="1544" max="1792" width="9.140625" style="27"/>
    <col min="1793" max="1793" width="4.140625" style="27" customWidth="1"/>
    <col min="1794" max="1794" width="21.5703125" style="27" customWidth="1"/>
    <col min="1795" max="1795" width="29.42578125" style="27" customWidth="1"/>
    <col min="1796" max="1796" width="9.28515625" style="27" customWidth="1"/>
    <col min="1797" max="1797" width="8.7109375" style="27" customWidth="1"/>
    <col min="1798" max="1799" width="11.140625" style="27" customWidth="1"/>
    <col min="1800" max="2048" width="9.140625" style="27"/>
    <col min="2049" max="2049" width="4.140625" style="27" customWidth="1"/>
    <col min="2050" max="2050" width="21.5703125" style="27" customWidth="1"/>
    <col min="2051" max="2051" width="29.42578125" style="27" customWidth="1"/>
    <col min="2052" max="2052" width="9.28515625" style="27" customWidth="1"/>
    <col min="2053" max="2053" width="8.7109375" style="27" customWidth="1"/>
    <col min="2054" max="2055" width="11.140625" style="27" customWidth="1"/>
    <col min="2056" max="2304" width="9.140625" style="27"/>
    <col min="2305" max="2305" width="4.140625" style="27" customWidth="1"/>
    <col min="2306" max="2306" width="21.5703125" style="27" customWidth="1"/>
    <col min="2307" max="2307" width="29.42578125" style="27" customWidth="1"/>
    <col min="2308" max="2308" width="9.28515625" style="27" customWidth="1"/>
    <col min="2309" max="2309" width="8.7109375" style="27" customWidth="1"/>
    <col min="2310" max="2311" width="11.140625" style="27" customWidth="1"/>
    <col min="2312" max="2560" width="9.140625" style="27"/>
    <col min="2561" max="2561" width="4.140625" style="27" customWidth="1"/>
    <col min="2562" max="2562" width="21.5703125" style="27" customWidth="1"/>
    <col min="2563" max="2563" width="29.42578125" style="27" customWidth="1"/>
    <col min="2564" max="2564" width="9.28515625" style="27" customWidth="1"/>
    <col min="2565" max="2565" width="8.7109375" style="27" customWidth="1"/>
    <col min="2566" max="2567" width="11.140625" style="27" customWidth="1"/>
    <col min="2568" max="2816" width="9.140625" style="27"/>
    <col min="2817" max="2817" width="4.140625" style="27" customWidth="1"/>
    <col min="2818" max="2818" width="21.5703125" style="27" customWidth="1"/>
    <col min="2819" max="2819" width="29.42578125" style="27" customWidth="1"/>
    <col min="2820" max="2820" width="9.28515625" style="27" customWidth="1"/>
    <col min="2821" max="2821" width="8.7109375" style="27" customWidth="1"/>
    <col min="2822" max="2823" width="11.140625" style="27" customWidth="1"/>
    <col min="2824" max="3072" width="9.140625" style="27"/>
    <col min="3073" max="3073" width="4.140625" style="27" customWidth="1"/>
    <col min="3074" max="3074" width="21.5703125" style="27" customWidth="1"/>
    <col min="3075" max="3075" width="29.42578125" style="27" customWidth="1"/>
    <col min="3076" max="3076" width="9.28515625" style="27" customWidth="1"/>
    <col min="3077" max="3077" width="8.7109375" style="27" customWidth="1"/>
    <col min="3078" max="3079" width="11.140625" style="27" customWidth="1"/>
    <col min="3080" max="3328" width="9.140625" style="27"/>
    <col min="3329" max="3329" width="4.140625" style="27" customWidth="1"/>
    <col min="3330" max="3330" width="21.5703125" style="27" customWidth="1"/>
    <col min="3331" max="3331" width="29.42578125" style="27" customWidth="1"/>
    <col min="3332" max="3332" width="9.28515625" style="27" customWidth="1"/>
    <col min="3333" max="3333" width="8.7109375" style="27" customWidth="1"/>
    <col min="3334" max="3335" width="11.140625" style="27" customWidth="1"/>
    <col min="3336" max="3584" width="9.140625" style="27"/>
    <col min="3585" max="3585" width="4.140625" style="27" customWidth="1"/>
    <col min="3586" max="3586" width="21.5703125" style="27" customWidth="1"/>
    <col min="3587" max="3587" width="29.42578125" style="27" customWidth="1"/>
    <col min="3588" max="3588" width="9.28515625" style="27" customWidth="1"/>
    <col min="3589" max="3589" width="8.7109375" style="27" customWidth="1"/>
    <col min="3590" max="3591" width="11.140625" style="27" customWidth="1"/>
    <col min="3592" max="3840" width="9.140625" style="27"/>
    <col min="3841" max="3841" width="4.140625" style="27" customWidth="1"/>
    <col min="3842" max="3842" width="21.5703125" style="27" customWidth="1"/>
    <col min="3843" max="3843" width="29.42578125" style="27" customWidth="1"/>
    <col min="3844" max="3844" width="9.28515625" style="27" customWidth="1"/>
    <col min="3845" max="3845" width="8.7109375" style="27" customWidth="1"/>
    <col min="3846" max="3847" width="11.140625" style="27" customWidth="1"/>
    <col min="3848" max="4096" width="9.140625" style="27"/>
    <col min="4097" max="4097" width="4.140625" style="27" customWidth="1"/>
    <col min="4098" max="4098" width="21.5703125" style="27" customWidth="1"/>
    <col min="4099" max="4099" width="29.42578125" style="27" customWidth="1"/>
    <col min="4100" max="4100" width="9.28515625" style="27" customWidth="1"/>
    <col min="4101" max="4101" width="8.7109375" style="27" customWidth="1"/>
    <col min="4102" max="4103" width="11.140625" style="27" customWidth="1"/>
    <col min="4104" max="4352" width="9.140625" style="27"/>
    <col min="4353" max="4353" width="4.140625" style="27" customWidth="1"/>
    <col min="4354" max="4354" width="21.5703125" style="27" customWidth="1"/>
    <col min="4355" max="4355" width="29.42578125" style="27" customWidth="1"/>
    <col min="4356" max="4356" width="9.28515625" style="27" customWidth="1"/>
    <col min="4357" max="4357" width="8.7109375" style="27" customWidth="1"/>
    <col min="4358" max="4359" width="11.140625" style="27" customWidth="1"/>
    <col min="4360" max="4608" width="9.140625" style="27"/>
    <col min="4609" max="4609" width="4.140625" style="27" customWidth="1"/>
    <col min="4610" max="4610" width="21.5703125" style="27" customWidth="1"/>
    <col min="4611" max="4611" width="29.42578125" style="27" customWidth="1"/>
    <col min="4612" max="4612" width="9.28515625" style="27" customWidth="1"/>
    <col min="4613" max="4613" width="8.7109375" style="27" customWidth="1"/>
    <col min="4614" max="4615" width="11.140625" style="27" customWidth="1"/>
    <col min="4616" max="4864" width="9.140625" style="27"/>
    <col min="4865" max="4865" width="4.140625" style="27" customWidth="1"/>
    <col min="4866" max="4866" width="21.5703125" style="27" customWidth="1"/>
    <col min="4867" max="4867" width="29.42578125" style="27" customWidth="1"/>
    <col min="4868" max="4868" width="9.28515625" style="27" customWidth="1"/>
    <col min="4869" max="4869" width="8.7109375" style="27" customWidth="1"/>
    <col min="4870" max="4871" width="11.140625" style="27" customWidth="1"/>
    <col min="4872" max="5120" width="9.140625" style="27"/>
    <col min="5121" max="5121" width="4.140625" style="27" customWidth="1"/>
    <col min="5122" max="5122" width="21.5703125" style="27" customWidth="1"/>
    <col min="5123" max="5123" width="29.42578125" style="27" customWidth="1"/>
    <col min="5124" max="5124" width="9.28515625" style="27" customWidth="1"/>
    <col min="5125" max="5125" width="8.7109375" style="27" customWidth="1"/>
    <col min="5126" max="5127" width="11.140625" style="27" customWidth="1"/>
    <col min="5128" max="5376" width="9.140625" style="27"/>
    <col min="5377" max="5377" width="4.140625" style="27" customWidth="1"/>
    <col min="5378" max="5378" width="21.5703125" style="27" customWidth="1"/>
    <col min="5379" max="5379" width="29.42578125" style="27" customWidth="1"/>
    <col min="5380" max="5380" width="9.28515625" style="27" customWidth="1"/>
    <col min="5381" max="5381" width="8.7109375" style="27" customWidth="1"/>
    <col min="5382" max="5383" width="11.140625" style="27" customWidth="1"/>
    <col min="5384" max="5632" width="9.140625" style="27"/>
    <col min="5633" max="5633" width="4.140625" style="27" customWidth="1"/>
    <col min="5634" max="5634" width="21.5703125" style="27" customWidth="1"/>
    <col min="5635" max="5635" width="29.42578125" style="27" customWidth="1"/>
    <col min="5636" max="5636" width="9.28515625" style="27" customWidth="1"/>
    <col min="5637" max="5637" width="8.7109375" style="27" customWidth="1"/>
    <col min="5638" max="5639" width="11.140625" style="27" customWidth="1"/>
    <col min="5640" max="5888" width="9.140625" style="27"/>
    <col min="5889" max="5889" width="4.140625" style="27" customWidth="1"/>
    <col min="5890" max="5890" width="21.5703125" style="27" customWidth="1"/>
    <col min="5891" max="5891" width="29.42578125" style="27" customWidth="1"/>
    <col min="5892" max="5892" width="9.28515625" style="27" customWidth="1"/>
    <col min="5893" max="5893" width="8.7109375" style="27" customWidth="1"/>
    <col min="5894" max="5895" width="11.140625" style="27" customWidth="1"/>
    <col min="5896" max="6144" width="9.140625" style="27"/>
    <col min="6145" max="6145" width="4.140625" style="27" customWidth="1"/>
    <col min="6146" max="6146" width="21.5703125" style="27" customWidth="1"/>
    <col min="6147" max="6147" width="29.42578125" style="27" customWidth="1"/>
    <col min="6148" max="6148" width="9.28515625" style="27" customWidth="1"/>
    <col min="6149" max="6149" width="8.7109375" style="27" customWidth="1"/>
    <col min="6150" max="6151" width="11.140625" style="27" customWidth="1"/>
    <col min="6152" max="6400" width="9.140625" style="27"/>
    <col min="6401" max="6401" width="4.140625" style="27" customWidth="1"/>
    <col min="6402" max="6402" width="21.5703125" style="27" customWidth="1"/>
    <col min="6403" max="6403" width="29.42578125" style="27" customWidth="1"/>
    <col min="6404" max="6404" width="9.28515625" style="27" customWidth="1"/>
    <col min="6405" max="6405" width="8.7109375" style="27" customWidth="1"/>
    <col min="6406" max="6407" width="11.140625" style="27" customWidth="1"/>
    <col min="6408" max="6656" width="9.140625" style="27"/>
    <col min="6657" max="6657" width="4.140625" style="27" customWidth="1"/>
    <col min="6658" max="6658" width="21.5703125" style="27" customWidth="1"/>
    <col min="6659" max="6659" width="29.42578125" style="27" customWidth="1"/>
    <col min="6660" max="6660" width="9.28515625" style="27" customWidth="1"/>
    <col min="6661" max="6661" width="8.7109375" style="27" customWidth="1"/>
    <col min="6662" max="6663" width="11.140625" style="27" customWidth="1"/>
    <col min="6664" max="6912" width="9.140625" style="27"/>
    <col min="6913" max="6913" width="4.140625" style="27" customWidth="1"/>
    <col min="6914" max="6914" width="21.5703125" style="27" customWidth="1"/>
    <col min="6915" max="6915" width="29.42578125" style="27" customWidth="1"/>
    <col min="6916" max="6916" width="9.28515625" style="27" customWidth="1"/>
    <col min="6917" max="6917" width="8.7109375" style="27" customWidth="1"/>
    <col min="6918" max="6919" width="11.140625" style="27" customWidth="1"/>
    <col min="6920" max="7168" width="9.140625" style="27"/>
    <col min="7169" max="7169" width="4.140625" style="27" customWidth="1"/>
    <col min="7170" max="7170" width="21.5703125" style="27" customWidth="1"/>
    <col min="7171" max="7171" width="29.42578125" style="27" customWidth="1"/>
    <col min="7172" max="7172" width="9.28515625" style="27" customWidth="1"/>
    <col min="7173" max="7173" width="8.7109375" style="27" customWidth="1"/>
    <col min="7174" max="7175" width="11.140625" style="27" customWidth="1"/>
    <col min="7176" max="7424" width="9.140625" style="27"/>
    <col min="7425" max="7425" width="4.140625" style="27" customWidth="1"/>
    <col min="7426" max="7426" width="21.5703125" style="27" customWidth="1"/>
    <col min="7427" max="7427" width="29.42578125" style="27" customWidth="1"/>
    <col min="7428" max="7428" width="9.28515625" style="27" customWidth="1"/>
    <col min="7429" max="7429" width="8.7109375" style="27" customWidth="1"/>
    <col min="7430" max="7431" width="11.140625" style="27" customWidth="1"/>
    <col min="7432" max="7680" width="9.140625" style="27"/>
    <col min="7681" max="7681" width="4.140625" style="27" customWidth="1"/>
    <col min="7682" max="7682" width="21.5703125" style="27" customWidth="1"/>
    <col min="7683" max="7683" width="29.42578125" style="27" customWidth="1"/>
    <col min="7684" max="7684" width="9.28515625" style="27" customWidth="1"/>
    <col min="7685" max="7685" width="8.7109375" style="27" customWidth="1"/>
    <col min="7686" max="7687" width="11.140625" style="27" customWidth="1"/>
    <col min="7688" max="7936" width="9.140625" style="27"/>
    <col min="7937" max="7937" width="4.140625" style="27" customWidth="1"/>
    <col min="7938" max="7938" width="21.5703125" style="27" customWidth="1"/>
    <col min="7939" max="7939" width="29.42578125" style="27" customWidth="1"/>
    <col min="7940" max="7940" width="9.28515625" style="27" customWidth="1"/>
    <col min="7941" max="7941" width="8.7109375" style="27" customWidth="1"/>
    <col min="7942" max="7943" width="11.140625" style="27" customWidth="1"/>
    <col min="7944" max="8192" width="9.140625" style="27"/>
    <col min="8193" max="8193" width="4.140625" style="27" customWidth="1"/>
    <col min="8194" max="8194" width="21.5703125" style="27" customWidth="1"/>
    <col min="8195" max="8195" width="29.42578125" style="27" customWidth="1"/>
    <col min="8196" max="8196" width="9.28515625" style="27" customWidth="1"/>
    <col min="8197" max="8197" width="8.7109375" style="27" customWidth="1"/>
    <col min="8198" max="8199" width="11.140625" style="27" customWidth="1"/>
    <col min="8200" max="8448" width="9.140625" style="27"/>
    <col min="8449" max="8449" width="4.140625" style="27" customWidth="1"/>
    <col min="8450" max="8450" width="21.5703125" style="27" customWidth="1"/>
    <col min="8451" max="8451" width="29.42578125" style="27" customWidth="1"/>
    <col min="8452" max="8452" width="9.28515625" style="27" customWidth="1"/>
    <col min="8453" max="8453" width="8.7109375" style="27" customWidth="1"/>
    <col min="8454" max="8455" width="11.140625" style="27" customWidth="1"/>
    <col min="8456" max="8704" width="9.140625" style="27"/>
    <col min="8705" max="8705" width="4.140625" style="27" customWidth="1"/>
    <col min="8706" max="8706" width="21.5703125" style="27" customWidth="1"/>
    <col min="8707" max="8707" width="29.42578125" style="27" customWidth="1"/>
    <col min="8708" max="8708" width="9.28515625" style="27" customWidth="1"/>
    <col min="8709" max="8709" width="8.7109375" style="27" customWidth="1"/>
    <col min="8710" max="8711" width="11.140625" style="27" customWidth="1"/>
    <col min="8712" max="8960" width="9.140625" style="27"/>
    <col min="8961" max="8961" width="4.140625" style="27" customWidth="1"/>
    <col min="8962" max="8962" width="21.5703125" style="27" customWidth="1"/>
    <col min="8963" max="8963" width="29.42578125" style="27" customWidth="1"/>
    <col min="8964" max="8964" width="9.28515625" style="27" customWidth="1"/>
    <col min="8965" max="8965" width="8.7109375" style="27" customWidth="1"/>
    <col min="8966" max="8967" width="11.140625" style="27" customWidth="1"/>
    <col min="8968" max="9216" width="9.140625" style="27"/>
    <col min="9217" max="9217" width="4.140625" style="27" customWidth="1"/>
    <col min="9218" max="9218" width="21.5703125" style="27" customWidth="1"/>
    <col min="9219" max="9219" width="29.42578125" style="27" customWidth="1"/>
    <col min="9220" max="9220" width="9.28515625" style="27" customWidth="1"/>
    <col min="9221" max="9221" width="8.7109375" style="27" customWidth="1"/>
    <col min="9222" max="9223" width="11.140625" style="27" customWidth="1"/>
    <col min="9224" max="9472" width="9.140625" style="27"/>
    <col min="9473" max="9473" width="4.140625" style="27" customWidth="1"/>
    <col min="9474" max="9474" width="21.5703125" style="27" customWidth="1"/>
    <col min="9475" max="9475" width="29.42578125" style="27" customWidth="1"/>
    <col min="9476" max="9476" width="9.28515625" style="27" customWidth="1"/>
    <col min="9477" max="9477" width="8.7109375" style="27" customWidth="1"/>
    <col min="9478" max="9479" width="11.140625" style="27" customWidth="1"/>
    <col min="9480" max="9728" width="9.140625" style="27"/>
    <col min="9729" max="9729" width="4.140625" style="27" customWidth="1"/>
    <col min="9730" max="9730" width="21.5703125" style="27" customWidth="1"/>
    <col min="9731" max="9731" width="29.42578125" style="27" customWidth="1"/>
    <col min="9732" max="9732" width="9.28515625" style="27" customWidth="1"/>
    <col min="9733" max="9733" width="8.7109375" style="27" customWidth="1"/>
    <col min="9734" max="9735" width="11.140625" style="27" customWidth="1"/>
    <col min="9736" max="9984" width="9.140625" style="27"/>
    <col min="9985" max="9985" width="4.140625" style="27" customWidth="1"/>
    <col min="9986" max="9986" width="21.5703125" style="27" customWidth="1"/>
    <col min="9987" max="9987" width="29.42578125" style="27" customWidth="1"/>
    <col min="9988" max="9988" width="9.28515625" style="27" customWidth="1"/>
    <col min="9989" max="9989" width="8.7109375" style="27" customWidth="1"/>
    <col min="9990" max="9991" width="11.140625" style="27" customWidth="1"/>
    <col min="9992" max="10240" width="9.140625" style="27"/>
    <col min="10241" max="10241" width="4.140625" style="27" customWidth="1"/>
    <col min="10242" max="10242" width="21.5703125" style="27" customWidth="1"/>
    <col min="10243" max="10243" width="29.42578125" style="27" customWidth="1"/>
    <col min="10244" max="10244" width="9.28515625" style="27" customWidth="1"/>
    <col min="10245" max="10245" width="8.7109375" style="27" customWidth="1"/>
    <col min="10246" max="10247" width="11.140625" style="27" customWidth="1"/>
    <col min="10248" max="10496" width="9.140625" style="27"/>
    <col min="10497" max="10497" width="4.140625" style="27" customWidth="1"/>
    <col min="10498" max="10498" width="21.5703125" style="27" customWidth="1"/>
    <col min="10499" max="10499" width="29.42578125" style="27" customWidth="1"/>
    <col min="10500" max="10500" width="9.28515625" style="27" customWidth="1"/>
    <col min="10501" max="10501" width="8.7109375" style="27" customWidth="1"/>
    <col min="10502" max="10503" width="11.140625" style="27" customWidth="1"/>
    <col min="10504" max="10752" width="9.140625" style="27"/>
    <col min="10753" max="10753" width="4.140625" style="27" customWidth="1"/>
    <col min="10754" max="10754" width="21.5703125" style="27" customWidth="1"/>
    <col min="10755" max="10755" width="29.42578125" style="27" customWidth="1"/>
    <col min="10756" max="10756" width="9.28515625" style="27" customWidth="1"/>
    <col min="10757" max="10757" width="8.7109375" style="27" customWidth="1"/>
    <col min="10758" max="10759" width="11.140625" style="27" customWidth="1"/>
    <col min="10760" max="11008" width="9.140625" style="27"/>
    <col min="11009" max="11009" width="4.140625" style="27" customWidth="1"/>
    <col min="11010" max="11010" width="21.5703125" style="27" customWidth="1"/>
    <col min="11011" max="11011" width="29.42578125" style="27" customWidth="1"/>
    <col min="11012" max="11012" width="9.28515625" style="27" customWidth="1"/>
    <col min="11013" max="11013" width="8.7109375" style="27" customWidth="1"/>
    <col min="11014" max="11015" width="11.140625" style="27" customWidth="1"/>
    <col min="11016" max="11264" width="9.140625" style="27"/>
    <col min="11265" max="11265" width="4.140625" style="27" customWidth="1"/>
    <col min="11266" max="11266" width="21.5703125" style="27" customWidth="1"/>
    <col min="11267" max="11267" width="29.42578125" style="27" customWidth="1"/>
    <col min="11268" max="11268" width="9.28515625" style="27" customWidth="1"/>
    <col min="11269" max="11269" width="8.7109375" style="27" customWidth="1"/>
    <col min="11270" max="11271" width="11.140625" style="27" customWidth="1"/>
    <col min="11272" max="11520" width="9.140625" style="27"/>
    <col min="11521" max="11521" width="4.140625" style="27" customWidth="1"/>
    <col min="11522" max="11522" width="21.5703125" style="27" customWidth="1"/>
    <col min="11523" max="11523" width="29.42578125" style="27" customWidth="1"/>
    <col min="11524" max="11524" width="9.28515625" style="27" customWidth="1"/>
    <col min="11525" max="11525" width="8.7109375" style="27" customWidth="1"/>
    <col min="11526" max="11527" width="11.140625" style="27" customWidth="1"/>
    <col min="11528" max="11776" width="9.140625" style="27"/>
    <col min="11777" max="11777" width="4.140625" style="27" customWidth="1"/>
    <col min="11778" max="11778" width="21.5703125" style="27" customWidth="1"/>
    <col min="11779" max="11779" width="29.42578125" style="27" customWidth="1"/>
    <col min="11780" max="11780" width="9.28515625" style="27" customWidth="1"/>
    <col min="11781" max="11781" width="8.7109375" style="27" customWidth="1"/>
    <col min="11782" max="11783" width="11.140625" style="27" customWidth="1"/>
    <col min="11784" max="12032" width="9.140625" style="27"/>
    <col min="12033" max="12033" width="4.140625" style="27" customWidth="1"/>
    <col min="12034" max="12034" width="21.5703125" style="27" customWidth="1"/>
    <col min="12035" max="12035" width="29.42578125" style="27" customWidth="1"/>
    <col min="12036" max="12036" width="9.28515625" style="27" customWidth="1"/>
    <col min="12037" max="12037" width="8.7109375" style="27" customWidth="1"/>
    <col min="12038" max="12039" width="11.140625" style="27" customWidth="1"/>
    <col min="12040" max="12288" width="9.140625" style="27"/>
    <col min="12289" max="12289" width="4.140625" style="27" customWidth="1"/>
    <col min="12290" max="12290" width="21.5703125" style="27" customWidth="1"/>
    <col min="12291" max="12291" width="29.42578125" style="27" customWidth="1"/>
    <col min="12292" max="12292" width="9.28515625" style="27" customWidth="1"/>
    <col min="12293" max="12293" width="8.7109375" style="27" customWidth="1"/>
    <col min="12294" max="12295" width="11.140625" style="27" customWidth="1"/>
    <col min="12296" max="12544" width="9.140625" style="27"/>
    <col min="12545" max="12545" width="4.140625" style="27" customWidth="1"/>
    <col min="12546" max="12546" width="21.5703125" style="27" customWidth="1"/>
    <col min="12547" max="12547" width="29.42578125" style="27" customWidth="1"/>
    <col min="12548" max="12548" width="9.28515625" style="27" customWidth="1"/>
    <col min="12549" max="12549" width="8.7109375" style="27" customWidth="1"/>
    <col min="12550" max="12551" width="11.140625" style="27" customWidth="1"/>
    <col min="12552" max="12800" width="9.140625" style="27"/>
    <col min="12801" max="12801" width="4.140625" style="27" customWidth="1"/>
    <col min="12802" max="12802" width="21.5703125" style="27" customWidth="1"/>
    <col min="12803" max="12803" width="29.42578125" style="27" customWidth="1"/>
    <col min="12804" max="12804" width="9.28515625" style="27" customWidth="1"/>
    <col min="12805" max="12805" width="8.7109375" style="27" customWidth="1"/>
    <col min="12806" max="12807" width="11.140625" style="27" customWidth="1"/>
    <col min="12808" max="13056" width="9.140625" style="27"/>
    <col min="13057" max="13057" width="4.140625" style="27" customWidth="1"/>
    <col min="13058" max="13058" width="21.5703125" style="27" customWidth="1"/>
    <col min="13059" max="13059" width="29.42578125" style="27" customWidth="1"/>
    <col min="13060" max="13060" width="9.28515625" style="27" customWidth="1"/>
    <col min="13061" max="13061" width="8.7109375" style="27" customWidth="1"/>
    <col min="13062" max="13063" width="11.140625" style="27" customWidth="1"/>
    <col min="13064" max="13312" width="9.140625" style="27"/>
    <col min="13313" max="13313" width="4.140625" style="27" customWidth="1"/>
    <col min="13314" max="13314" width="21.5703125" style="27" customWidth="1"/>
    <col min="13315" max="13315" width="29.42578125" style="27" customWidth="1"/>
    <col min="13316" max="13316" width="9.28515625" style="27" customWidth="1"/>
    <col min="13317" max="13317" width="8.7109375" style="27" customWidth="1"/>
    <col min="13318" max="13319" width="11.140625" style="27" customWidth="1"/>
    <col min="13320" max="13568" width="9.140625" style="27"/>
    <col min="13569" max="13569" width="4.140625" style="27" customWidth="1"/>
    <col min="13570" max="13570" width="21.5703125" style="27" customWidth="1"/>
    <col min="13571" max="13571" width="29.42578125" style="27" customWidth="1"/>
    <col min="13572" max="13572" width="9.28515625" style="27" customWidth="1"/>
    <col min="13573" max="13573" width="8.7109375" style="27" customWidth="1"/>
    <col min="13574" max="13575" width="11.140625" style="27" customWidth="1"/>
    <col min="13576" max="13824" width="9.140625" style="27"/>
    <col min="13825" max="13825" width="4.140625" style="27" customWidth="1"/>
    <col min="13826" max="13826" width="21.5703125" style="27" customWidth="1"/>
    <col min="13827" max="13827" width="29.42578125" style="27" customWidth="1"/>
    <col min="13828" max="13828" width="9.28515625" style="27" customWidth="1"/>
    <col min="13829" max="13829" width="8.7109375" style="27" customWidth="1"/>
    <col min="13830" max="13831" width="11.140625" style="27" customWidth="1"/>
    <col min="13832" max="14080" width="9.140625" style="27"/>
    <col min="14081" max="14081" width="4.140625" style="27" customWidth="1"/>
    <col min="14082" max="14082" width="21.5703125" style="27" customWidth="1"/>
    <col min="14083" max="14083" width="29.42578125" style="27" customWidth="1"/>
    <col min="14084" max="14084" width="9.28515625" style="27" customWidth="1"/>
    <col min="14085" max="14085" width="8.7109375" style="27" customWidth="1"/>
    <col min="14086" max="14087" width="11.140625" style="27" customWidth="1"/>
    <col min="14088" max="14336" width="9.140625" style="27"/>
    <col min="14337" max="14337" width="4.140625" style="27" customWidth="1"/>
    <col min="14338" max="14338" width="21.5703125" style="27" customWidth="1"/>
    <col min="14339" max="14339" width="29.42578125" style="27" customWidth="1"/>
    <col min="14340" max="14340" width="9.28515625" style="27" customWidth="1"/>
    <col min="14341" max="14341" width="8.7109375" style="27" customWidth="1"/>
    <col min="14342" max="14343" width="11.140625" style="27" customWidth="1"/>
    <col min="14344" max="14592" width="9.140625" style="27"/>
    <col min="14593" max="14593" width="4.140625" style="27" customWidth="1"/>
    <col min="14594" max="14594" width="21.5703125" style="27" customWidth="1"/>
    <col min="14595" max="14595" width="29.42578125" style="27" customWidth="1"/>
    <col min="14596" max="14596" width="9.28515625" style="27" customWidth="1"/>
    <col min="14597" max="14597" width="8.7109375" style="27" customWidth="1"/>
    <col min="14598" max="14599" width="11.140625" style="27" customWidth="1"/>
    <col min="14600" max="14848" width="9.140625" style="27"/>
    <col min="14849" max="14849" width="4.140625" style="27" customWidth="1"/>
    <col min="14850" max="14850" width="21.5703125" style="27" customWidth="1"/>
    <col min="14851" max="14851" width="29.42578125" style="27" customWidth="1"/>
    <col min="14852" max="14852" width="9.28515625" style="27" customWidth="1"/>
    <col min="14853" max="14853" width="8.7109375" style="27" customWidth="1"/>
    <col min="14854" max="14855" width="11.140625" style="27" customWidth="1"/>
    <col min="14856" max="15104" width="9.140625" style="27"/>
    <col min="15105" max="15105" width="4.140625" style="27" customWidth="1"/>
    <col min="15106" max="15106" width="21.5703125" style="27" customWidth="1"/>
    <col min="15107" max="15107" width="29.42578125" style="27" customWidth="1"/>
    <col min="15108" max="15108" width="9.28515625" style="27" customWidth="1"/>
    <col min="15109" max="15109" width="8.7109375" style="27" customWidth="1"/>
    <col min="15110" max="15111" width="11.140625" style="27" customWidth="1"/>
    <col min="15112" max="15360" width="9.140625" style="27"/>
    <col min="15361" max="15361" width="4.140625" style="27" customWidth="1"/>
    <col min="15362" max="15362" width="21.5703125" style="27" customWidth="1"/>
    <col min="15363" max="15363" width="29.42578125" style="27" customWidth="1"/>
    <col min="15364" max="15364" width="9.28515625" style="27" customWidth="1"/>
    <col min="15365" max="15365" width="8.7109375" style="27" customWidth="1"/>
    <col min="15366" max="15367" width="11.140625" style="27" customWidth="1"/>
    <col min="15368" max="15616" width="9.140625" style="27"/>
    <col min="15617" max="15617" width="4.140625" style="27" customWidth="1"/>
    <col min="15618" max="15618" width="21.5703125" style="27" customWidth="1"/>
    <col min="15619" max="15619" width="29.42578125" style="27" customWidth="1"/>
    <col min="15620" max="15620" width="9.28515625" style="27" customWidth="1"/>
    <col min="15621" max="15621" width="8.7109375" style="27" customWidth="1"/>
    <col min="15622" max="15623" width="11.140625" style="27" customWidth="1"/>
    <col min="15624" max="15872" width="9.140625" style="27"/>
    <col min="15873" max="15873" width="4.140625" style="27" customWidth="1"/>
    <col min="15874" max="15874" width="21.5703125" style="27" customWidth="1"/>
    <col min="15875" max="15875" width="29.42578125" style="27" customWidth="1"/>
    <col min="15876" max="15876" width="9.28515625" style="27" customWidth="1"/>
    <col min="15877" max="15877" width="8.7109375" style="27" customWidth="1"/>
    <col min="15878" max="15879" width="11.140625" style="27" customWidth="1"/>
    <col min="15880" max="16128" width="9.140625" style="27"/>
    <col min="16129" max="16129" width="4.140625" style="27" customWidth="1"/>
    <col min="16130" max="16130" width="21.5703125" style="27" customWidth="1"/>
    <col min="16131" max="16131" width="29.42578125" style="27" customWidth="1"/>
    <col min="16132" max="16132" width="9.28515625" style="27" customWidth="1"/>
    <col min="16133" max="16133" width="8.7109375" style="27" customWidth="1"/>
    <col min="16134" max="16135" width="11.140625" style="27" customWidth="1"/>
    <col min="16136" max="16384" width="9.140625" style="27"/>
  </cols>
  <sheetData>
    <row r="1" spans="1:16" ht="15.75" customHeight="1" x14ac:dyDescent="0.25">
      <c r="A1" s="286"/>
      <c r="B1" s="287"/>
      <c r="C1" s="287"/>
      <c r="D1" s="287"/>
      <c r="E1" s="288" t="s">
        <v>1</v>
      </c>
      <c r="F1" s="289"/>
      <c r="G1" s="289"/>
    </row>
    <row r="2" spans="1:16" ht="15.75" customHeight="1" x14ac:dyDescent="0.25">
      <c r="A2" s="290" t="s">
        <v>115</v>
      </c>
      <c r="B2" s="291"/>
      <c r="C2" s="291"/>
      <c r="D2" s="291"/>
      <c r="E2" s="291"/>
      <c r="F2" s="291"/>
      <c r="G2" s="291"/>
      <c r="H2" s="291"/>
      <c r="I2" s="291"/>
    </row>
    <row r="3" spans="1:16" ht="15.75" customHeight="1" x14ac:dyDescent="0.25">
      <c r="A3" s="292" t="s">
        <v>4</v>
      </c>
      <c r="B3" s="291"/>
      <c r="C3" s="291"/>
      <c r="D3" s="291"/>
      <c r="E3" s="291"/>
      <c r="F3" s="291"/>
      <c r="G3" s="291"/>
      <c r="H3" s="291"/>
      <c r="I3" s="291"/>
    </row>
    <row r="4" spans="1:16" ht="17.25" customHeight="1" x14ac:dyDescent="0.25">
      <c r="A4" s="293" t="s">
        <v>116</v>
      </c>
      <c r="B4" s="294"/>
      <c r="C4" s="294"/>
      <c r="D4" s="294"/>
      <c r="E4" s="294"/>
      <c r="F4" s="294"/>
      <c r="G4" s="294"/>
    </row>
    <row r="5" spans="1:16" ht="14.25" customHeight="1" x14ac:dyDescent="0.25">
      <c r="A5" s="284" t="s">
        <v>6</v>
      </c>
      <c r="B5" s="285"/>
      <c r="C5" s="285"/>
      <c r="D5" s="285"/>
      <c r="E5" s="285"/>
      <c r="F5" s="285"/>
      <c r="G5" s="285"/>
    </row>
    <row r="6" spans="1:16" ht="26.25" customHeight="1" x14ac:dyDescent="0.25">
      <c r="A6" s="295" t="s">
        <v>7</v>
      </c>
      <c r="B6" s="296"/>
      <c r="C6" s="297"/>
      <c r="D6" s="297"/>
      <c r="E6" s="297"/>
      <c r="F6" s="297"/>
      <c r="G6" s="297"/>
    </row>
    <row r="7" spans="1:16" ht="17.25" customHeight="1" x14ac:dyDescent="0.25">
      <c r="A7" s="295" t="s">
        <v>8</v>
      </c>
      <c r="B7" s="296"/>
      <c r="C7" s="298"/>
      <c r="D7" s="297"/>
      <c r="E7" s="297"/>
      <c r="F7" s="297"/>
      <c r="G7" s="297"/>
    </row>
    <row r="8" spans="1:16" ht="23.25" customHeight="1" x14ac:dyDescent="0.25">
      <c r="A8" s="299" t="s">
        <v>117</v>
      </c>
      <c r="B8" s="300"/>
      <c r="C8" s="301"/>
      <c r="D8" s="302"/>
      <c r="E8" s="302"/>
      <c r="F8" s="302"/>
      <c r="G8" s="302"/>
    </row>
    <row r="9" spans="1:16" ht="26.25" customHeight="1" x14ac:dyDescent="0.25">
      <c r="A9" s="303" t="s">
        <v>10</v>
      </c>
      <c r="B9" s="304"/>
      <c r="C9" s="305"/>
      <c r="D9" s="305"/>
      <c r="E9" s="305"/>
      <c r="F9" s="305"/>
      <c r="G9" s="305"/>
    </row>
    <row r="10" spans="1:16" ht="26.25" customHeight="1" x14ac:dyDescent="0.25">
      <c r="A10" s="303" t="s">
        <v>118</v>
      </c>
      <c r="B10" s="304"/>
      <c r="C10" s="305"/>
      <c r="D10" s="305"/>
      <c r="E10" s="305"/>
      <c r="F10" s="305"/>
      <c r="G10" s="305"/>
    </row>
    <row r="11" spans="1:16" ht="32.25" customHeight="1" x14ac:dyDescent="0.25">
      <c r="A11" s="295" t="s">
        <v>119</v>
      </c>
      <c r="B11" s="296"/>
      <c r="C11" s="297" t="s">
        <v>120</v>
      </c>
      <c r="D11" s="297"/>
      <c r="E11" s="297"/>
      <c r="F11" s="297"/>
      <c r="G11" s="297"/>
      <c r="J11" s="308"/>
      <c r="K11" s="308"/>
      <c r="L11" s="308"/>
      <c r="M11" s="308"/>
      <c r="N11" s="308"/>
      <c r="O11" s="308"/>
      <c r="P11" s="308"/>
    </row>
    <row r="12" spans="1:16" ht="71.25" customHeight="1" x14ac:dyDescent="0.25">
      <c r="A12" s="28" t="s">
        <v>16</v>
      </c>
      <c r="B12" s="28" t="s">
        <v>17</v>
      </c>
      <c r="C12" s="28" t="s">
        <v>18</v>
      </c>
      <c r="D12" s="29" t="s">
        <v>19</v>
      </c>
      <c r="E12" s="309" t="s">
        <v>121</v>
      </c>
      <c r="F12" s="310"/>
      <c r="G12" s="28" t="s">
        <v>21</v>
      </c>
      <c r="J12" s="308"/>
      <c r="K12" s="308"/>
      <c r="L12" s="308"/>
      <c r="M12" s="308"/>
      <c r="N12" s="308"/>
      <c r="O12" s="308"/>
      <c r="P12" s="308"/>
    </row>
    <row r="13" spans="1:16" ht="15.75" customHeight="1" x14ac:dyDescent="0.25">
      <c r="A13" s="30">
        <v>1</v>
      </c>
      <c r="B13" s="30">
        <v>2</v>
      </c>
      <c r="C13" s="30">
        <v>3</v>
      </c>
      <c r="D13" s="30">
        <v>4</v>
      </c>
      <c r="E13" s="311">
        <v>5</v>
      </c>
      <c r="F13" s="312"/>
      <c r="G13" s="30">
        <v>6</v>
      </c>
      <c r="J13" s="308"/>
      <c r="K13" s="308"/>
      <c r="L13" s="308"/>
      <c r="M13" s="308"/>
      <c r="N13" s="308"/>
      <c r="O13" s="308"/>
      <c r="P13" s="308"/>
    </row>
    <row r="14" spans="1:16" ht="15.75" customHeight="1" x14ac:dyDescent="0.25">
      <c r="A14" s="313" t="s">
        <v>122</v>
      </c>
      <c r="B14" s="314"/>
      <c r="C14" s="314"/>
      <c r="D14" s="314"/>
      <c r="E14" s="314"/>
      <c r="F14" s="314"/>
      <c r="G14" s="315"/>
      <c r="J14" s="308"/>
      <c r="K14" s="308"/>
      <c r="L14" s="308"/>
      <c r="M14" s="308"/>
      <c r="N14" s="308"/>
      <c r="O14" s="308"/>
      <c r="P14" s="308"/>
    </row>
    <row r="15" spans="1:16" ht="81.75" customHeight="1" x14ac:dyDescent="0.25">
      <c r="A15" s="31" t="s">
        <v>123</v>
      </c>
      <c r="B15" s="32" t="s">
        <v>124</v>
      </c>
      <c r="C15" s="33" t="s">
        <v>125</v>
      </c>
      <c r="D15" s="34" t="s">
        <v>23</v>
      </c>
      <c r="E15" s="316" t="s">
        <v>126</v>
      </c>
      <c r="F15" s="317"/>
      <c r="G15" s="35">
        <v>2.8940000000000001</v>
      </c>
    </row>
    <row r="16" spans="1:16" ht="15.75" customHeight="1" x14ac:dyDescent="0.25">
      <c r="A16" s="36" t="s">
        <v>127</v>
      </c>
      <c r="B16" s="306" t="s">
        <v>128</v>
      </c>
      <c r="C16" s="307"/>
      <c r="D16" s="307"/>
      <c r="E16" s="307"/>
      <c r="F16" s="37" t="s">
        <v>113</v>
      </c>
      <c r="G16" s="38">
        <f>G15</f>
        <v>2.8940000000000001</v>
      </c>
    </row>
    <row r="17" spans="1:7" ht="15.75" customHeight="1" x14ac:dyDescent="0.25">
      <c r="A17" s="313" t="s">
        <v>129</v>
      </c>
      <c r="B17" s="314"/>
      <c r="C17" s="314"/>
      <c r="D17" s="314"/>
      <c r="E17" s="314"/>
      <c r="F17" s="314"/>
      <c r="G17" s="315"/>
    </row>
    <row r="18" spans="1:7" ht="95.25" customHeight="1" x14ac:dyDescent="0.25">
      <c r="A18" s="39" t="s">
        <v>54</v>
      </c>
      <c r="B18" s="40" t="s">
        <v>130</v>
      </c>
      <c r="C18" s="41" t="s">
        <v>131</v>
      </c>
      <c r="D18" s="42" t="s">
        <v>23</v>
      </c>
      <c r="E18" s="316" t="s">
        <v>132</v>
      </c>
      <c r="F18" s="317"/>
      <c r="G18" s="35">
        <v>0.40799999999999997</v>
      </c>
    </row>
    <row r="19" spans="1:7" ht="15.75" customHeight="1" x14ac:dyDescent="0.25">
      <c r="A19" s="36">
        <v>2</v>
      </c>
      <c r="B19" s="306" t="s">
        <v>133</v>
      </c>
      <c r="C19" s="307"/>
      <c r="D19" s="307"/>
      <c r="E19" s="307"/>
      <c r="F19" s="37" t="s">
        <v>113</v>
      </c>
      <c r="G19" s="43">
        <f>G18</f>
        <v>0.40799999999999997</v>
      </c>
    </row>
    <row r="20" spans="1:7" ht="15.75" customHeight="1" x14ac:dyDescent="0.25">
      <c r="A20" s="313" t="s">
        <v>134</v>
      </c>
      <c r="B20" s="314"/>
      <c r="C20" s="314"/>
      <c r="D20" s="314"/>
      <c r="E20" s="314"/>
      <c r="F20" s="314"/>
      <c r="G20" s="315"/>
    </row>
    <row r="21" spans="1:7" ht="87.75" customHeight="1" x14ac:dyDescent="0.25">
      <c r="A21" s="39" t="s">
        <v>60</v>
      </c>
      <c r="B21" s="40" t="s">
        <v>36</v>
      </c>
      <c r="C21" s="44" t="s">
        <v>135</v>
      </c>
      <c r="D21" s="44" t="s">
        <v>32</v>
      </c>
      <c r="E21" s="316" t="s">
        <v>136</v>
      </c>
      <c r="F21" s="317"/>
      <c r="G21" s="35">
        <v>0.434</v>
      </c>
    </row>
    <row r="22" spans="1:7" ht="15.75" customHeight="1" x14ac:dyDescent="0.25">
      <c r="A22" s="36">
        <v>3</v>
      </c>
      <c r="B22" s="306" t="s">
        <v>137</v>
      </c>
      <c r="C22" s="307"/>
      <c r="D22" s="307"/>
      <c r="E22" s="307"/>
      <c r="F22" s="37" t="s">
        <v>113</v>
      </c>
      <c r="G22" s="35">
        <f>G21</f>
        <v>0.434</v>
      </c>
    </row>
    <row r="23" spans="1:7" ht="15.75" customHeight="1" x14ac:dyDescent="0.25">
      <c r="A23" s="36" t="s">
        <v>138</v>
      </c>
      <c r="B23" s="306" t="s">
        <v>139</v>
      </c>
      <c r="C23" s="307"/>
      <c r="D23" s="307"/>
      <c r="E23" s="307"/>
      <c r="F23" s="37" t="s">
        <v>113</v>
      </c>
      <c r="G23" s="45">
        <f>G22+G19+G16</f>
        <v>3.7360000000000002</v>
      </c>
    </row>
    <row r="24" spans="1:7" ht="27" customHeight="1" x14ac:dyDescent="0.25">
      <c r="A24" s="36" t="s">
        <v>140</v>
      </c>
      <c r="B24" s="306" t="s">
        <v>141</v>
      </c>
      <c r="C24" s="307"/>
      <c r="D24" s="307"/>
      <c r="E24" s="307"/>
      <c r="F24" s="37">
        <v>3.7</v>
      </c>
      <c r="G24" s="45">
        <v>13.823</v>
      </c>
    </row>
    <row r="25" spans="1:7" ht="15.75" customHeight="1" x14ac:dyDescent="0.25">
      <c r="A25" s="36">
        <v>6</v>
      </c>
      <c r="B25" s="306" t="s">
        <v>142</v>
      </c>
      <c r="C25" s="307"/>
      <c r="D25" s="307"/>
      <c r="E25" s="307"/>
      <c r="F25" s="46" t="s">
        <v>143</v>
      </c>
      <c r="G25" s="45">
        <f>G24*0.18</f>
        <v>2.48814</v>
      </c>
    </row>
    <row r="26" spans="1:7" ht="15.75" customHeight="1" x14ac:dyDescent="0.25">
      <c r="A26" s="36">
        <v>7</v>
      </c>
      <c r="B26" s="306" t="s">
        <v>144</v>
      </c>
      <c r="C26" s="307"/>
      <c r="D26" s="307"/>
      <c r="E26" s="307"/>
      <c r="F26" s="46" t="s">
        <v>113</v>
      </c>
      <c r="G26" s="45">
        <f>SUM(G24:G25)</f>
        <v>16.311140000000002</v>
      </c>
    </row>
    <row r="27" spans="1:7" ht="15.75" customHeight="1" x14ac:dyDescent="0.25">
      <c r="A27" s="47"/>
      <c r="B27" s="47"/>
      <c r="C27" s="48"/>
      <c r="D27" s="48"/>
      <c r="E27" s="48"/>
      <c r="F27" s="49"/>
      <c r="G27" s="50"/>
    </row>
    <row r="28" spans="1:7" s="51" customFormat="1" ht="15.75" customHeight="1" x14ac:dyDescent="0.25">
      <c r="A28" s="320" t="s">
        <v>145</v>
      </c>
      <c r="B28" s="321"/>
      <c r="C28" s="321"/>
      <c r="D28" s="321"/>
      <c r="E28" s="321"/>
      <c r="F28" s="321"/>
      <c r="G28" s="321"/>
    </row>
    <row r="29" spans="1:7" ht="30.75" customHeight="1" x14ac:dyDescent="0.25">
      <c r="A29" s="318" t="s">
        <v>146</v>
      </c>
      <c r="B29" s="318"/>
      <c r="C29" s="318"/>
      <c r="D29" s="318"/>
      <c r="E29" s="319"/>
      <c r="F29" s="319"/>
      <c r="G29" s="319"/>
    </row>
    <row r="30" spans="1:7" ht="29.25" customHeight="1" x14ac:dyDescent="0.25">
      <c r="A30" s="318" t="s">
        <v>147</v>
      </c>
      <c r="B30" s="318"/>
      <c r="C30" s="318"/>
      <c r="D30" s="318"/>
      <c r="E30" s="319"/>
      <c r="F30" s="319"/>
      <c r="G30" s="319"/>
    </row>
  </sheetData>
  <mergeCells count="39">
    <mergeCell ref="A30:D30"/>
    <mergeCell ref="E30:G30"/>
    <mergeCell ref="B23:E23"/>
    <mergeCell ref="B24:E24"/>
    <mergeCell ref="B25:E25"/>
    <mergeCell ref="B26:E26"/>
    <mergeCell ref="A28:G28"/>
    <mergeCell ref="A29:D29"/>
    <mergeCell ref="E29:G29"/>
    <mergeCell ref="B22:E22"/>
    <mergeCell ref="J11:P14"/>
    <mergeCell ref="E12:F12"/>
    <mergeCell ref="E13:F13"/>
    <mergeCell ref="A14:G14"/>
    <mergeCell ref="E15:F15"/>
    <mergeCell ref="B16:E16"/>
    <mergeCell ref="A17:G17"/>
    <mergeCell ref="E18:F18"/>
    <mergeCell ref="B19:E19"/>
    <mergeCell ref="A20:G20"/>
    <mergeCell ref="E21:F21"/>
    <mergeCell ref="A9:B9"/>
    <mergeCell ref="C9:G9"/>
    <mergeCell ref="A10:B10"/>
    <mergeCell ref="C10:G10"/>
    <mergeCell ref="A11:B11"/>
    <mergeCell ref="C11:G11"/>
    <mergeCell ref="A6:B6"/>
    <mergeCell ref="C6:G6"/>
    <mergeCell ref="A7:B7"/>
    <mergeCell ref="C7:G7"/>
    <mergeCell ref="A8:B8"/>
    <mergeCell ref="C8:G8"/>
    <mergeCell ref="A5:G5"/>
    <mergeCell ref="A1:D1"/>
    <mergeCell ref="E1:G1"/>
    <mergeCell ref="A2:I2"/>
    <mergeCell ref="A3:I3"/>
    <mergeCell ref="A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4"/>
  <sheetViews>
    <sheetView topLeftCell="A67" workbookViewId="0">
      <selection activeCell="D7" sqref="D7:I10"/>
    </sheetView>
  </sheetViews>
  <sheetFormatPr defaultColWidth="8.85546875" defaultRowHeight="15" x14ac:dyDescent="0.25"/>
  <cols>
    <col min="1" max="1" width="4.42578125" customWidth="1"/>
    <col min="2" max="2" width="0.140625" customWidth="1"/>
    <col min="3" max="3" width="25.85546875" customWidth="1"/>
    <col min="4" max="4" width="22.5703125" customWidth="1"/>
    <col min="5" max="5" width="18.140625" customWidth="1"/>
    <col min="6" max="6" width="13.5703125" customWidth="1"/>
    <col min="7" max="7" width="15.140625" customWidth="1"/>
    <col min="8" max="8" width="13.7109375" customWidth="1"/>
    <col min="9" max="9" width="16.42578125" customWidth="1"/>
    <col min="10" max="10" width="0.7109375" customWidth="1"/>
    <col min="12" max="13" width="11.5703125" bestFit="1" customWidth="1"/>
    <col min="257" max="257" width="4.42578125" customWidth="1"/>
    <col min="258" max="258" width="0.140625" customWidth="1"/>
    <col min="259" max="259" width="25.85546875" customWidth="1"/>
    <col min="260" max="260" width="22.5703125" customWidth="1"/>
    <col min="261" max="261" width="18.140625" customWidth="1"/>
    <col min="262" max="262" width="13.5703125" customWidth="1"/>
    <col min="263" max="263" width="15.140625" customWidth="1"/>
    <col min="264" max="264" width="13.7109375" customWidth="1"/>
    <col min="265" max="265" width="16.42578125" customWidth="1"/>
    <col min="266" max="266" width="0.7109375" customWidth="1"/>
    <col min="268" max="269" width="11.5703125" bestFit="1" customWidth="1"/>
    <col min="513" max="513" width="4.42578125" customWidth="1"/>
    <col min="514" max="514" width="0.140625" customWidth="1"/>
    <col min="515" max="515" width="25.85546875" customWidth="1"/>
    <col min="516" max="516" width="22.5703125" customWidth="1"/>
    <col min="517" max="517" width="18.140625" customWidth="1"/>
    <col min="518" max="518" width="13.5703125" customWidth="1"/>
    <col min="519" max="519" width="15.140625" customWidth="1"/>
    <col min="520" max="520" width="13.7109375" customWidth="1"/>
    <col min="521" max="521" width="16.42578125" customWidth="1"/>
    <col min="522" max="522" width="0.7109375" customWidth="1"/>
    <col min="524" max="525" width="11.5703125" bestFit="1" customWidth="1"/>
    <col min="769" max="769" width="4.42578125" customWidth="1"/>
    <col min="770" max="770" width="0.140625" customWidth="1"/>
    <col min="771" max="771" width="25.85546875" customWidth="1"/>
    <col min="772" max="772" width="22.5703125" customWidth="1"/>
    <col min="773" max="773" width="18.140625" customWidth="1"/>
    <col min="774" max="774" width="13.5703125" customWidth="1"/>
    <col min="775" max="775" width="15.140625" customWidth="1"/>
    <col min="776" max="776" width="13.7109375" customWidth="1"/>
    <col min="777" max="777" width="16.42578125" customWidth="1"/>
    <col min="778" max="778" width="0.7109375" customWidth="1"/>
    <col min="780" max="781" width="11.5703125" bestFit="1" customWidth="1"/>
    <col min="1025" max="1025" width="4.42578125" customWidth="1"/>
    <col min="1026" max="1026" width="0.140625" customWidth="1"/>
    <col min="1027" max="1027" width="25.85546875" customWidth="1"/>
    <col min="1028" max="1028" width="22.5703125" customWidth="1"/>
    <col min="1029" max="1029" width="18.140625" customWidth="1"/>
    <col min="1030" max="1030" width="13.5703125" customWidth="1"/>
    <col min="1031" max="1031" width="15.140625" customWidth="1"/>
    <col min="1032" max="1032" width="13.7109375" customWidth="1"/>
    <col min="1033" max="1033" width="16.42578125" customWidth="1"/>
    <col min="1034" max="1034" width="0.7109375" customWidth="1"/>
    <col min="1036" max="1037" width="11.5703125" bestFit="1" customWidth="1"/>
    <col min="1281" max="1281" width="4.42578125" customWidth="1"/>
    <col min="1282" max="1282" width="0.140625" customWidth="1"/>
    <col min="1283" max="1283" width="25.85546875" customWidth="1"/>
    <col min="1284" max="1284" width="22.5703125" customWidth="1"/>
    <col min="1285" max="1285" width="18.140625" customWidth="1"/>
    <col min="1286" max="1286" width="13.5703125" customWidth="1"/>
    <col min="1287" max="1287" width="15.140625" customWidth="1"/>
    <col min="1288" max="1288" width="13.7109375" customWidth="1"/>
    <col min="1289" max="1289" width="16.42578125" customWidth="1"/>
    <col min="1290" max="1290" width="0.7109375" customWidth="1"/>
    <col min="1292" max="1293" width="11.5703125" bestFit="1" customWidth="1"/>
    <col min="1537" max="1537" width="4.42578125" customWidth="1"/>
    <col min="1538" max="1538" width="0.140625" customWidth="1"/>
    <col min="1539" max="1539" width="25.85546875" customWidth="1"/>
    <col min="1540" max="1540" width="22.5703125" customWidth="1"/>
    <col min="1541" max="1541" width="18.140625" customWidth="1"/>
    <col min="1542" max="1542" width="13.5703125" customWidth="1"/>
    <col min="1543" max="1543" width="15.140625" customWidth="1"/>
    <col min="1544" max="1544" width="13.7109375" customWidth="1"/>
    <col min="1545" max="1545" width="16.42578125" customWidth="1"/>
    <col min="1546" max="1546" width="0.7109375" customWidth="1"/>
    <col min="1548" max="1549" width="11.5703125" bestFit="1" customWidth="1"/>
    <col min="1793" max="1793" width="4.42578125" customWidth="1"/>
    <col min="1794" max="1794" width="0.140625" customWidth="1"/>
    <col min="1795" max="1795" width="25.85546875" customWidth="1"/>
    <col min="1796" max="1796" width="22.5703125" customWidth="1"/>
    <col min="1797" max="1797" width="18.140625" customWidth="1"/>
    <col min="1798" max="1798" width="13.5703125" customWidth="1"/>
    <col min="1799" max="1799" width="15.140625" customWidth="1"/>
    <col min="1800" max="1800" width="13.7109375" customWidth="1"/>
    <col min="1801" max="1801" width="16.42578125" customWidth="1"/>
    <col min="1802" max="1802" width="0.7109375" customWidth="1"/>
    <col min="1804" max="1805" width="11.5703125" bestFit="1" customWidth="1"/>
    <col min="2049" max="2049" width="4.42578125" customWidth="1"/>
    <col min="2050" max="2050" width="0.140625" customWidth="1"/>
    <col min="2051" max="2051" width="25.85546875" customWidth="1"/>
    <col min="2052" max="2052" width="22.5703125" customWidth="1"/>
    <col min="2053" max="2053" width="18.140625" customWidth="1"/>
    <col min="2054" max="2054" width="13.5703125" customWidth="1"/>
    <col min="2055" max="2055" width="15.140625" customWidth="1"/>
    <col min="2056" max="2056" width="13.7109375" customWidth="1"/>
    <col min="2057" max="2057" width="16.42578125" customWidth="1"/>
    <col min="2058" max="2058" width="0.7109375" customWidth="1"/>
    <col min="2060" max="2061" width="11.5703125" bestFit="1" customWidth="1"/>
    <col min="2305" max="2305" width="4.42578125" customWidth="1"/>
    <col min="2306" max="2306" width="0.140625" customWidth="1"/>
    <col min="2307" max="2307" width="25.85546875" customWidth="1"/>
    <col min="2308" max="2308" width="22.5703125" customWidth="1"/>
    <col min="2309" max="2309" width="18.140625" customWidth="1"/>
    <col min="2310" max="2310" width="13.5703125" customWidth="1"/>
    <col min="2311" max="2311" width="15.140625" customWidth="1"/>
    <col min="2312" max="2312" width="13.7109375" customWidth="1"/>
    <col min="2313" max="2313" width="16.42578125" customWidth="1"/>
    <col min="2314" max="2314" width="0.7109375" customWidth="1"/>
    <col min="2316" max="2317" width="11.5703125" bestFit="1" customWidth="1"/>
    <col min="2561" max="2561" width="4.42578125" customWidth="1"/>
    <col min="2562" max="2562" width="0.140625" customWidth="1"/>
    <col min="2563" max="2563" width="25.85546875" customWidth="1"/>
    <col min="2564" max="2564" width="22.5703125" customWidth="1"/>
    <col min="2565" max="2565" width="18.140625" customWidth="1"/>
    <col min="2566" max="2566" width="13.5703125" customWidth="1"/>
    <col min="2567" max="2567" width="15.140625" customWidth="1"/>
    <col min="2568" max="2568" width="13.7109375" customWidth="1"/>
    <col min="2569" max="2569" width="16.42578125" customWidth="1"/>
    <col min="2570" max="2570" width="0.7109375" customWidth="1"/>
    <col min="2572" max="2573" width="11.5703125" bestFit="1" customWidth="1"/>
    <col min="2817" max="2817" width="4.42578125" customWidth="1"/>
    <col min="2818" max="2818" width="0.140625" customWidth="1"/>
    <col min="2819" max="2819" width="25.85546875" customWidth="1"/>
    <col min="2820" max="2820" width="22.5703125" customWidth="1"/>
    <col min="2821" max="2821" width="18.140625" customWidth="1"/>
    <col min="2822" max="2822" width="13.5703125" customWidth="1"/>
    <col min="2823" max="2823" width="15.140625" customWidth="1"/>
    <col min="2824" max="2824" width="13.7109375" customWidth="1"/>
    <col min="2825" max="2825" width="16.42578125" customWidth="1"/>
    <col min="2826" max="2826" width="0.7109375" customWidth="1"/>
    <col min="2828" max="2829" width="11.5703125" bestFit="1" customWidth="1"/>
    <col min="3073" max="3073" width="4.42578125" customWidth="1"/>
    <col min="3074" max="3074" width="0.140625" customWidth="1"/>
    <col min="3075" max="3075" width="25.85546875" customWidth="1"/>
    <col min="3076" max="3076" width="22.5703125" customWidth="1"/>
    <col min="3077" max="3077" width="18.140625" customWidth="1"/>
    <col min="3078" max="3078" width="13.5703125" customWidth="1"/>
    <col min="3079" max="3079" width="15.140625" customWidth="1"/>
    <col min="3080" max="3080" width="13.7109375" customWidth="1"/>
    <col min="3081" max="3081" width="16.42578125" customWidth="1"/>
    <col min="3082" max="3082" width="0.7109375" customWidth="1"/>
    <col min="3084" max="3085" width="11.5703125" bestFit="1" customWidth="1"/>
    <col min="3329" max="3329" width="4.42578125" customWidth="1"/>
    <col min="3330" max="3330" width="0.140625" customWidth="1"/>
    <col min="3331" max="3331" width="25.85546875" customWidth="1"/>
    <col min="3332" max="3332" width="22.5703125" customWidth="1"/>
    <col min="3333" max="3333" width="18.140625" customWidth="1"/>
    <col min="3334" max="3334" width="13.5703125" customWidth="1"/>
    <col min="3335" max="3335" width="15.140625" customWidth="1"/>
    <col min="3336" max="3336" width="13.7109375" customWidth="1"/>
    <col min="3337" max="3337" width="16.42578125" customWidth="1"/>
    <col min="3338" max="3338" width="0.7109375" customWidth="1"/>
    <col min="3340" max="3341" width="11.5703125" bestFit="1" customWidth="1"/>
    <col min="3585" max="3585" width="4.42578125" customWidth="1"/>
    <col min="3586" max="3586" width="0.140625" customWidth="1"/>
    <col min="3587" max="3587" width="25.85546875" customWidth="1"/>
    <col min="3588" max="3588" width="22.5703125" customWidth="1"/>
    <col min="3589" max="3589" width="18.140625" customWidth="1"/>
    <col min="3590" max="3590" width="13.5703125" customWidth="1"/>
    <col min="3591" max="3591" width="15.140625" customWidth="1"/>
    <col min="3592" max="3592" width="13.7109375" customWidth="1"/>
    <col min="3593" max="3593" width="16.42578125" customWidth="1"/>
    <col min="3594" max="3594" width="0.7109375" customWidth="1"/>
    <col min="3596" max="3597" width="11.5703125" bestFit="1" customWidth="1"/>
    <col min="3841" max="3841" width="4.42578125" customWidth="1"/>
    <col min="3842" max="3842" width="0.140625" customWidth="1"/>
    <col min="3843" max="3843" width="25.85546875" customWidth="1"/>
    <col min="3844" max="3844" width="22.5703125" customWidth="1"/>
    <col min="3845" max="3845" width="18.140625" customWidth="1"/>
    <col min="3846" max="3846" width="13.5703125" customWidth="1"/>
    <col min="3847" max="3847" width="15.140625" customWidth="1"/>
    <col min="3848" max="3848" width="13.7109375" customWidth="1"/>
    <col min="3849" max="3849" width="16.42578125" customWidth="1"/>
    <col min="3850" max="3850" width="0.7109375" customWidth="1"/>
    <col min="3852" max="3853" width="11.5703125" bestFit="1" customWidth="1"/>
    <col min="4097" max="4097" width="4.42578125" customWidth="1"/>
    <col min="4098" max="4098" width="0.140625" customWidth="1"/>
    <col min="4099" max="4099" width="25.85546875" customWidth="1"/>
    <col min="4100" max="4100" width="22.5703125" customWidth="1"/>
    <col min="4101" max="4101" width="18.140625" customWidth="1"/>
    <col min="4102" max="4102" width="13.5703125" customWidth="1"/>
    <col min="4103" max="4103" width="15.140625" customWidth="1"/>
    <col min="4104" max="4104" width="13.7109375" customWidth="1"/>
    <col min="4105" max="4105" width="16.42578125" customWidth="1"/>
    <col min="4106" max="4106" width="0.7109375" customWidth="1"/>
    <col min="4108" max="4109" width="11.5703125" bestFit="1" customWidth="1"/>
    <col min="4353" max="4353" width="4.42578125" customWidth="1"/>
    <col min="4354" max="4354" width="0.140625" customWidth="1"/>
    <col min="4355" max="4355" width="25.85546875" customWidth="1"/>
    <col min="4356" max="4356" width="22.5703125" customWidth="1"/>
    <col min="4357" max="4357" width="18.140625" customWidth="1"/>
    <col min="4358" max="4358" width="13.5703125" customWidth="1"/>
    <col min="4359" max="4359" width="15.140625" customWidth="1"/>
    <col min="4360" max="4360" width="13.7109375" customWidth="1"/>
    <col min="4361" max="4361" width="16.42578125" customWidth="1"/>
    <col min="4362" max="4362" width="0.7109375" customWidth="1"/>
    <col min="4364" max="4365" width="11.5703125" bestFit="1" customWidth="1"/>
    <col min="4609" max="4609" width="4.42578125" customWidth="1"/>
    <col min="4610" max="4610" width="0.140625" customWidth="1"/>
    <col min="4611" max="4611" width="25.85546875" customWidth="1"/>
    <col min="4612" max="4612" width="22.5703125" customWidth="1"/>
    <col min="4613" max="4613" width="18.140625" customWidth="1"/>
    <col min="4614" max="4614" width="13.5703125" customWidth="1"/>
    <col min="4615" max="4615" width="15.140625" customWidth="1"/>
    <col min="4616" max="4616" width="13.7109375" customWidth="1"/>
    <col min="4617" max="4617" width="16.42578125" customWidth="1"/>
    <col min="4618" max="4618" width="0.7109375" customWidth="1"/>
    <col min="4620" max="4621" width="11.5703125" bestFit="1" customWidth="1"/>
    <col min="4865" max="4865" width="4.42578125" customWidth="1"/>
    <col min="4866" max="4866" width="0.140625" customWidth="1"/>
    <col min="4867" max="4867" width="25.85546875" customWidth="1"/>
    <col min="4868" max="4868" width="22.5703125" customWidth="1"/>
    <col min="4869" max="4869" width="18.140625" customWidth="1"/>
    <col min="4870" max="4870" width="13.5703125" customWidth="1"/>
    <col min="4871" max="4871" width="15.140625" customWidth="1"/>
    <col min="4872" max="4872" width="13.7109375" customWidth="1"/>
    <col min="4873" max="4873" width="16.42578125" customWidth="1"/>
    <col min="4874" max="4874" width="0.7109375" customWidth="1"/>
    <col min="4876" max="4877" width="11.5703125" bestFit="1" customWidth="1"/>
    <col min="5121" max="5121" width="4.42578125" customWidth="1"/>
    <col min="5122" max="5122" width="0.140625" customWidth="1"/>
    <col min="5123" max="5123" width="25.85546875" customWidth="1"/>
    <col min="5124" max="5124" width="22.5703125" customWidth="1"/>
    <col min="5125" max="5125" width="18.140625" customWidth="1"/>
    <col min="5126" max="5126" width="13.5703125" customWidth="1"/>
    <col min="5127" max="5127" width="15.140625" customWidth="1"/>
    <col min="5128" max="5128" width="13.7109375" customWidth="1"/>
    <col min="5129" max="5129" width="16.42578125" customWidth="1"/>
    <col min="5130" max="5130" width="0.7109375" customWidth="1"/>
    <col min="5132" max="5133" width="11.5703125" bestFit="1" customWidth="1"/>
    <col min="5377" max="5377" width="4.42578125" customWidth="1"/>
    <col min="5378" max="5378" width="0.140625" customWidth="1"/>
    <col min="5379" max="5379" width="25.85546875" customWidth="1"/>
    <col min="5380" max="5380" width="22.5703125" customWidth="1"/>
    <col min="5381" max="5381" width="18.140625" customWidth="1"/>
    <col min="5382" max="5382" width="13.5703125" customWidth="1"/>
    <col min="5383" max="5383" width="15.140625" customWidth="1"/>
    <col min="5384" max="5384" width="13.7109375" customWidth="1"/>
    <col min="5385" max="5385" width="16.42578125" customWidth="1"/>
    <col min="5386" max="5386" width="0.7109375" customWidth="1"/>
    <col min="5388" max="5389" width="11.5703125" bestFit="1" customWidth="1"/>
    <col min="5633" max="5633" width="4.42578125" customWidth="1"/>
    <col min="5634" max="5634" width="0.140625" customWidth="1"/>
    <col min="5635" max="5635" width="25.85546875" customWidth="1"/>
    <col min="5636" max="5636" width="22.5703125" customWidth="1"/>
    <col min="5637" max="5637" width="18.140625" customWidth="1"/>
    <col min="5638" max="5638" width="13.5703125" customWidth="1"/>
    <col min="5639" max="5639" width="15.140625" customWidth="1"/>
    <col min="5640" max="5640" width="13.7109375" customWidth="1"/>
    <col min="5641" max="5641" width="16.42578125" customWidth="1"/>
    <col min="5642" max="5642" width="0.7109375" customWidth="1"/>
    <col min="5644" max="5645" width="11.5703125" bestFit="1" customWidth="1"/>
    <col min="5889" max="5889" width="4.42578125" customWidth="1"/>
    <col min="5890" max="5890" width="0.140625" customWidth="1"/>
    <col min="5891" max="5891" width="25.85546875" customWidth="1"/>
    <col min="5892" max="5892" width="22.5703125" customWidth="1"/>
    <col min="5893" max="5893" width="18.140625" customWidth="1"/>
    <col min="5894" max="5894" width="13.5703125" customWidth="1"/>
    <col min="5895" max="5895" width="15.140625" customWidth="1"/>
    <col min="5896" max="5896" width="13.7109375" customWidth="1"/>
    <col min="5897" max="5897" width="16.42578125" customWidth="1"/>
    <col min="5898" max="5898" width="0.7109375" customWidth="1"/>
    <col min="5900" max="5901" width="11.5703125" bestFit="1" customWidth="1"/>
    <col min="6145" max="6145" width="4.42578125" customWidth="1"/>
    <col min="6146" max="6146" width="0.140625" customWidth="1"/>
    <col min="6147" max="6147" width="25.85546875" customWidth="1"/>
    <col min="6148" max="6148" width="22.5703125" customWidth="1"/>
    <col min="6149" max="6149" width="18.140625" customWidth="1"/>
    <col min="6150" max="6150" width="13.5703125" customWidth="1"/>
    <col min="6151" max="6151" width="15.140625" customWidth="1"/>
    <col min="6152" max="6152" width="13.7109375" customWidth="1"/>
    <col min="6153" max="6153" width="16.42578125" customWidth="1"/>
    <col min="6154" max="6154" width="0.7109375" customWidth="1"/>
    <col min="6156" max="6157" width="11.5703125" bestFit="1" customWidth="1"/>
    <col min="6401" max="6401" width="4.42578125" customWidth="1"/>
    <col min="6402" max="6402" width="0.140625" customWidth="1"/>
    <col min="6403" max="6403" width="25.85546875" customWidth="1"/>
    <col min="6404" max="6404" width="22.5703125" customWidth="1"/>
    <col min="6405" max="6405" width="18.140625" customWidth="1"/>
    <col min="6406" max="6406" width="13.5703125" customWidth="1"/>
    <col min="6407" max="6407" width="15.140625" customWidth="1"/>
    <col min="6408" max="6408" width="13.7109375" customWidth="1"/>
    <col min="6409" max="6409" width="16.42578125" customWidth="1"/>
    <col min="6410" max="6410" width="0.7109375" customWidth="1"/>
    <col min="6412" max="6413" width="11.5703125" bestFit="1" customWidth="1"/>
    <col min="6657" max="6657" width="4.42578125" customWidth="1"/>
    <col min="6658" max="6658" width="0.140625" customWidth="1"/>
    <col min="6659" max="6659" width="25.85546875" customWidth="1"/>
    <col min="6660" max="6660" width="22.5703125" customWidth="1"/>
    <col min="6661" max="6661" width="18.140625" customWidth="1"/>
    <col min="6662" max="6662" width="13.5703125" customWidth="1"/>
    <col min="6663" max="6663" width="15.140625" customWidth="1"/>
    <col min="6664" max="6664" width="13.7109375" customWidth="1"/>
    <col min="6665" max="6665" width="16.42578125" customWidth="1"/>
    <col min="6666" max="6666" width="0.7109375" customWidth="1"/>
    <col min="6668" max="6669" width="11.5703125" bestFit="1" customWidth="1"/>
    <col min="6913" max="6913" width="4.42578125" customWidth="1"/>
    <col min="6914" max="6914" width="0.140625" customWidth="1"/>
    <col min="6915" max="6915" width="25.85546875" customWidth="1"/>
    <col min="6916" max="6916" width="22.5703125" customWidth="1"/>
    <col min="6917" max="6917" width="18.140625" customWidth="1"/>
    <col min="6918" max="6918" width="13.5703125" customWidth="1"/>
    <col min="6919" max="6919" width="15.140625" customWidth="1"/>
    <col min="6920" max="6920" width="13.7109375" customWidth="1"/>
    <col min="6921" max="6921" width="16.42578125" customWidth="1"/>
    <col min="6922" max="6922" width="0.7109375" customWidth="1"/>
    <col min="6924" max="6925" width="11.5703125" bestFit="1" customWidth="1"/>
    <col min="7169" max="7169" width="4.42578125" customWidth="1"/>
    <col min="7170" max="7170" width="0.140625" customWidth="1"/>
    <col min="7171" max="7171" width="25.85546875" customWidth="1"/>
    <col min="7172" max="7172" width="22.5703125" customWidth="1"/>
    <col min="7173" max="7173" width="18.140625" customWidth="1"/>
    <col min="7174" max="7174" width="13.5703125" customWidth="1"/>
    <col min="7175" max="7175" width="15.140625" customWidth="1"/>
    <col min="7176" max="7176" width="13.7109375" customWidth="1"/>
    <col min="7177" max="7177" width="16.42578125" customWidth="1"/>
    <col min="7178" max="7178" width="0.7109375" customWidth="1"/>
    <col min="7180" max="7181" width="11.5703125" bestFit="1" customWidth="1"/>
    <col min="7425" max="7425" width="4.42578125" customWidth="1"/>
    <col min="7426" max="7426" width="0.140625" customWidth="1"/>
    <col min="7427" max="7427" width="25.85546875" customWidth="1"/>
    <col min="7428" max="7428" width="22.5703125" customWidth="1"/>
    <col min="7429" max="7429" width="18.140625" customWidth="1"/>
    <col min="7430" max="7430" width="13.5703125" customWidth="1"/>
    <col min="7431" max="7431" width="15.140625" customWidth="1"/>
    <col min="7432" max="7432" width="13.7109375" customWidth="1"/>
    <col min="7433" max="7433" width="16.42578125" customWidth="1"/>
    <col min="7434" max="7434" width="0.7109375" customWidth="1"/>
    <col min="7436" max="7437" width="11.5703125" bestFit="1" customWidth="1"/>
    <col min="7681" max="7681" width="4.42578125" customWidth="1"/>
    <col min="7682" max="7682" width="0.140625" customWidth="1"/>
    <col min="7683" max="7683" width="25.85546875" customWidth="1"/>
    <col min="7684" max="7684" width="22.5703125" customWidth="1"/>
    <col min="7685" max="7685" width="18.140625" customWidth="1"/>
    <col min="7686" max="7686" width="13.5703125" customWidth="1"/>
    <col min="7687" max="7687" width="15.140625" customWidth="1"/>
    <col min="7688" max="7688" width="13.7109375" customWidth="1"/>
    <col min="7689" max="7689" width="16.42578125" customWidth="1"/>
    <col min="7690" max="7690" width="0.7109375" customWidth="1"/>
    <col min="7692" max="7693" width="11.5703125" bestFit="1" customWidth="1"/>
    <col min="7937" max="7937" width="4.42578125" customWidth="1"/>
    <col min="7938" max="7938" width="0.140625" customWidth="1"/>
    <col min="7939" max="7939" width="25.85546875" customWidth="1"/>
    <col min="7940" max="7940" width="22.5703125" customWidth="1"/>
    <col min="7941" max="7941" width="18.140625" customWidth="1"/>
    <col min="7942" max="7942" width="13.5703125" customWidth="1"/>
    <col min="7943" max="7943" width="15.140625" customWidth="1"/>
    <col min="7944" max="7944" width="13.7109375" customWidth="1"/>
    <col min="7945" max="7945" width="16.42578125" customWidth="1"/>
    <col min="7946" max="7946" width="0.7109375" customWidth="1"/>
    <col min="7948" max="7949" width="11.5703125" bestFit="1" customWidth="1"/>
    <col min="8193" max="8193" width="4.42578125" customWidth="1"/>
    <col min="8194" max="8194" width="0.140625" customWidth="1"/>
    <col min="8195" max="8195" width="25.85546875" customWidth="1"/>
    <col min="8196" max="8196" width="22.5703125" customWidth="1"/>
    <col min="8197" max="8197" width="18.140625" customWidth="1"/>
    <col min="8198" max="8198" width="13.5703125" customWidth="1"/>
    <col min="8199" max="8199" width="15.140625" customWidth="1"/>
    <col min="8200" max="8200" width="13.7109375" customWidth="1"/>
    <col min="8201" max="8201" width="16.42578125" customWidth="1"/>
    <col min="8202" max="8202" width="0.7109375" customWidth="1"/>
    <col min="8204" max="8205" width="11.5703125" bestFit="1" customWidth="1"/>
    <col min="8449" max="8449" width="4.42578125" customWidth="1"/>
    <col min="8450" max="8450" width="0.140625" customWidth="1"/>
    <col min="8451" max="8451" width="25.85546875" customWidth="1"/>
    <col min="8452" max="8452" width="22.5703125" customWidth="1"/>
    <col min="8453" max="8453" width="18.140625" customWidth="1"/>
    <col min="8454" max="8454" width="13.5703125" customWidth="1"/>
    <col min="8455" max="8455" width="15.140625" customWidth="1"/>
    <col min="8456" max="8456" width="13.7109375" customWidth="1"/>
    <col min="8457" max="8457" width="16.42578125" customWidth="1"/>
    <col min="8458" max="8458" width="0.7109375" customWidth="1"/>
    <col min="8460" max="8461" width="11.5703125" bestFit="1" customWidth="1"/>
    <col min="8705" max="8705" width="4.42578125" customWidth="1"/>
    <col min="8706" max="8706" width="0.140625" customWidth="1"/>
    <col min="8707" max="8707" width="25.85546875" customWidth="1"/>
    <col min="8708" max="8708" width="22.5703125" customWidth="1"/>
    <col min="8709" max="8709" width="18.140625" customWidth="1"/>
    <col min="8710" max="8710" width="13.5703125" customWidth="1"/>
    <col min="8711" max="8711" width="15.140625" customWidth="1"/>
    <col min="8712" max="8712" width="13.7109375" customWidth="1"/>
    <col min="8713" max="8713" width="16.42578125" customWidth="1"/>
    <col min="8714" max="8714" width="0.7109375" customWidth="1"/>
    <col min="8716" max="8717" width="11.5703125" bestFit="1" customWidth="1"/>
    <col min="8961" max="8961" width="4.42578125" customWidth="1"/>
    <col min="8962" max="8962" width="0.140625" customWidth="1"/>
    <col min="8963" max="8963" width="25.85546875" customWidth="1"/>
    <col min="8964" max="8964" width="22.5703125" customWidth="1"/>
    <col min="8965" max="8965" width="18.140625" customWidth="1"/>
    <col min="8966" max="8966" width="13.5703125" customWidth="1"/>
    <col min="8967" max="8967" width="15.140625" customWidth="1"/>
    <col min="8968" max="8968" width="13.7109375" customWidth="1"/>
    <col min="8969" max="8969" width="16.42578125" customWidth="1"/>
    <col min="8970" max="8970" width="0.7109375" customWidth="1"/>
    <col min="8972" max="8973" width="11.5703125" bestFit="1" customWidth="1"/>
    <col min="9217" max="9217" width="4.42578125" customWidth="1"/>
    <col min="9218" max="9218" width="0.140625" customWidth="1"/>
    <col min="9219" max="9219" width="25.85546875" customWidth="1"/>
    <col min="9220" max="9220" width="22.5703125" customWidth="1"/>
    <col min="9221" max="9221" width="18.140625" customWidth="1"/>
    <col min="9222" max="9222" width="13.5703125" customWidth="1"/>
    <col min="9223" max="9223" width="15.140625" customWidth="1"/>
    <col min="9224" max="9224" width="13.7109375" customWidth="1"/>
    <col min="9225" max="9225" width="16.42578125" customWidth="1"/>
    <col min="9226" max="9226" width="0.7109375" customWidth="1"/>
    <col min="9228" max="9229" width="11.5703125" bestFit="1" customWidth="1"/>
    <col min="9473" max="9473" width="4.42578125" customWidth="1"/>
    <col min="9474" max="9474" width="0.140625" customWidth="1"/>
    <col min="9475" max="9475" width="25.85546875" customWidth="1"/>
    <col min="9476" max="9476" width="22.5703125" customWidth="1"/>
    <col min="9477" max="9477" width="18.140625" customWidth="1"/>
    <col min="9478" max="9478" width="13.5703125" customWidth="1"/>
    <col min="9479" max="9479" width="15.140625" customWidth="1"/>
    <col min="9480" max="9480" width="13.7109375" customWidth="1"/>
    <col min="9481" max="9481" width="16.42578125" customWidth="1"/>
    <col min="9482" max="9482" width="0.7109375" customWidth="1"/>
    <col min="9484" max="9485" width="11.5703125" bestFit="1" customWidth="1"/>
    <col min="9729" max="9729" width="4.42578125" customWidth="1"/>
    <col min="9730" max="9730" width="0.140625" customWidth="1"/>
    <col min="9731" max="9731" width="25.85546875" customWidth="1"/>
    <col min="9732" max="9732" width="22.5703125" customWidth="1"/>
    <col min="9733" max="9733" width="18.140625" customWidth="1"/>
    <col min="9734" max="9734" width="13.5703125" customWidth="1"/>
    <col min="9735" max="9735" width="15.140625" customWidth="1"/>
    <col min="9736" max="9736" width="13.7109375" customWidth="1"/>
    <col min="9737" max="9737" width="16.42578125" customWidth="1"/>
    <col min="9738" max="9738" width="0.7109375" customWidth="1"/>
    <col min="9740" max="9741" width="11.5703125" bestFit="1" customWidth="1"/>
    <col min="9985" max="9985" width="4.42578125" customWidth="1"/>
    <col min="9986" max="9986" width="0.140625" customWidth="1"/>
    <col min="9987" max="9987" width="25.85546875" customWidth="1"/>
    <col min="9988" max="9988" width="22.5703125" customWidth="1"/>
    <col min="9989" max="9989" width="18.140625" customWidth="1"/>
    <col min="9990" max="9990" width="13.5703125" customWidth="1"/>
    <col min="9991" max="9991" width="15.140625" customWidth="1"/>
    <col min="9992" max="9992" width="13.7109375" customWidth="1"/>
    <col min="9993" max="9993" width="16.42578125" customWidth="1"/>
    <col min="9994" max="9994" width="0.7109375" customWidth="1"/>
    <col min="9996" max="9997" width="11.5703125" bestFit="1" customWidth="1"/>
    <col min="10241" max="10241" width="4.42578125" customWidth="1"/>
    <col min="10242" max="10242" width="0.140625" customWidth="1"/>
    <col min="10243" max="10243" width="25.85546875" customWidth="1"/>
    <col min="10244" max="10244" width="22.5703125" customWidth="1"/>
    <col min="10245" max="10245" width="18.140625" customWidth="1"/>
    <col min="10246" max="10246" width="13.5703125" customWidth="1"/>
    <col min="10247" max="10247" width="15.140625" customWidth="1"/>
    <col min="10248" max="10248" width="13.7109375" customWidth="1"/>
    <col min="10249" max="10249" width="16.42578125" customWidth="1"/>
    <col min="10250" max="10250" width="0.7109375" customWidth="1"/>
    <col min="10252" max="10253" width="11.5703125" bestFit="1" customWidth="1"/>
    <col min="10497" max="10497" width="4.42578125" customWidth="1"/>
    <col min="10498" max="10498" width="0.140625" customWidth="1"/>
    <col min="10499" max="10499" width="25.85546875" customWidth="1"/>
    <col min="10500" max="10500" width="22.5703125" customWidth="1"/>
    <col min="10501" max="10501" width="18.140625" customWidth="1"/>
    <col min="10502" max="10502" width="13.5703125" customWidth="1"/>
    <col min="10503" max="10503" width="15.140625" customWidth="1"/>
    <col min="10504" max="10504" width="13.7109375" customWidth="1"/>
    <col min="10505" max="10505" width="16.42578125" customWidth="1"/>
    <col min="10506" max="10506" width="0.7109375" customWidth="1"/>
    <col min="10508" max="10509" width="11.5703125" bestFit="1" customWidth="1"/>
    <col min="10753" max="10753" width="4.42578125" customWidth="1"/>
    <col min="10754" max="10754" width="0.140625" customWidth="1"/>
    <col min="10755" max="10755" width="25.85546875" customWidth="1"/>
    <col min="10756" max="10756" width="22.5703125" customWidth="1"/>
    <col min="10757" max="10757" width="18.140625" customWidth="1"/>
    <col min="10758" max="10758" width="13.5703125" customWidth="1"/>
    <col min="10759" max="10759" width="15.140625" customWidth="1"/>
    <col min="10760" max="10760" width="13.7109375" customWidth="1"/>
    <col min="10761" max="10761" width="16.42578125" customWidth="1"/>
    <col min="10762" max="10762" width="0.7109375" customWidth="1"/>
    <col min="10764" max="10765" width="11.5703125" bestFit="1" customWidth="1"/>
    <col min="11009" max="11009" width="4.42578125" customWidth="1"/>
    <col min="11010" max="11010" width="0.140625" customWidth="1"/>
    <col min="11011" max="11011" width="25.85546875" customWidth="1"/>
    <col min="11012" max="11012" width="22.5703125" customWidth="1"/>
    <col min="11013" max="11013" width="18.140625" customWidth="1"/>
    <col min="11014" max="11014" width="13.5703125" customWidth="1"/>
    <col min="11015" max="11015" width="15.140625" customWidth="1"/>
    <col min="11016" max="11016" width="13.7109375" customWidth="1"/>
    <col min="11017" max="11017" width="16.42578125" customWidth="1"/>
    <col min="11018" max="11018" width="0.7109375" customWidth="1"/>
    <col min="11020" max="11021" width="11.5703125" bestFit="1" customWidth="1"/>
    <col min="11265" max="11265" width="4.42578125" customWidth="1"/>
    <col min="11266" max="11266" width="0.140625" customWidth="1"/>
    <col min="11267" max="11267" width="25.85546875" customWidth="1"/>
    <col min="11268" max="11268" width="22.5703125" customWidth="1"/>
    <col min="11269" max="11269" width="18.140625" customWidth="1"/>
    <col min="11270" max="11270" width="13.5703125" customWidth="1"/>
    <col min="11271" max="11271" width="15.140625" customWidth="1"/>
    <col min="11272" max="11272" width="13.7109375" customWidth="1"/>
    <col min="11273" max="11273" width="16.42578125" customWidth="1"/>
    <col min="11274" max="11274" width="0.7109375" customWidth="1"/>
    <col min="11276" max="11277" width="11.5703125" bestFit="1" customWidth="1"/>
    <col min="11521" max="11521" width="4.42578125" customWidth="1"/>
    <col min="11522" max="11522" width="0.140625" customWidth="1"/>
    <col min="11523" max="11523" width="25.85546875" customWidth="1"/>
    <col min="11524" max="11524" width="22.5703125" customWidth="1"/>
    <col min="11525" max="11525" width="18.140625" customWidth="1"/>
    <col min="11526" max="11526" width="13.5703125" customWidth="1"/>
    <col min="11527" max="11527" width="15.140625" customWidth="1"/>
    <col min="11528" max="11528" width="13.7109375" customWidth="1"/>
    <col min="11529" max="11529" width="16.42578125" customWidth="1"/>
    <col min="11530" max="11530" width="0.7109375" customWidth="1"/>
    <col min="11532" max="11533" width="11.5703125" bestFit="1" customWidth="1"/>
    <col min="11777" max="11777" width="4.42578125" customWidth="1"/>
    <col min="11778" max="11778" width="0.140625" customWidth="1"/>
    <col min="11779" max="11779" width="25.85546875" customWidth="1"/>
    <col min="11780" max="11780" width="22.5703125" customWidth="1"/>
    <col min="11781" max="11781" width="18.140625" customWidth="1"/>
    <col min="11782" max="11782" width="13.5703125" customWidth="1"/>
    <col min="11783" max="11783" width="15.140625" customWidth="1"/>
    <col min="11784" max="11784" width="13.7109375" customWidth="1"/>
    <col min="11785" max="11785" width="16.42578125" customWidth="1"/>
    <col min="11786" max="11786" width="0.7109375" customWidth="1"/>
    <col min="11788" max="11789" width="11.5703125" bestFit="1" customWidth="1"/>
    <col min="12033" max="12033" width="4.42578125" customWidth="1"/>
    <col min="12034" max="12034" width="0.140625" customWidth="1"/>
    <col min="12035" max="12035" width="25.85546875" customWidth="1"/>
    <col min="12036" max="12036" width="22.5703125" customWidth="1"/>
    <col min="12037" max="12037" width="18.140625" customWidth="1"/>
    <col min="12038" max="12038" width="13.5703125" customWidth="1"/>
    <col min="12039" max="12039" width="15.140625" customWidth="1"/>
    <col min="12040" max="12040" width="13.7109375" customWidth="1"/>
    <col min="12041" max="12041" width="16.42578125" customWidth="1"/>
    <col min="12042" max="12042" width="0.7109375" customWidth="1"/>
    <col min="12044" max="12045" width="11.5703125" bestFit="1" customWidth="1"/>
    <col min="12289" max="12289" width="4.42578125" customWidth="1"/>
    <col min="12290" max="12290" width="0.140625" customWidth="1"/>
    <col min="12291" max="12291" width="25.85546875" customWidth="1"/>
    <col min="12292" max="12292" width="22.5703125" customWidth="1"/>
    <col min="12293" max="12293" width="18.140625" customWidth="1"/>
    <col min="12294" max="12294" width="13.5703125" customWidth="1"/>
    <col min="12295" max="12295" width="15.140625" customWidth="1"/>
    <col min="12296" max="12296" width="13.7109375" customWidth="1"/>
    <col min="12297" max="12297" width="16.42578125" customWidth="1"/>
    <col min="12298" max="12298" width="0.7109375" customWidth="1"/>
    <col min="12300" max="12301" width="11.5703125" bestFit="1" customWidth="1"/>
    <col min="12545" max="12545" width="4.42578125" customWidth="1"/>
    <col min="12546" max="12546" width="0.140625" customWidth="1"/>
    <col min="12547" max="12547" width="25.85546875" customWidth="1"/>
    <col min="12548" max="12548" width="22.5703125" customWidth="1"/>
    <col min="12549" max="12549" width="18.140625" customWidth="1"/>
    <col min="12550" max="12550" width="13.5703125" customWidth="1"/>
    <col min="12551" max="12551" width="15.140625" customWidth="1"/>
    <col min="12552" max="12552" width="13.7109375" customWidth="1"/>
    <col min="12553" max="12553" width="16.42578125" customWidth="1"/>
    <col min="12554" max="12554" width="0.7109375" customWidth="1"/>
    <col min="12556" max="12557" width="11.5703125" bestFit="1" customWidth="1"/>
    <col min="12801" max="12801" width="4.42578125" customWidth="1"/>
    <col min="12802" max="12802" width="0.140625" customWidth="1"/>
    <col min="12803" max="12803" width="25.85546875" customWidth="1"/>
    <col min="12804" max="12804" width="22.5703125" customWidth="1"/>
    <col min="12805" max="12805" width="18.140625" customWidth="1"/>
    <col min="12806" max="12806" width="13.5703125" customWidth="1"/>
    <col min="12807" max="12807" width="15.140625" customWidth="1"/>
    <col min="12808" max="12808" width="13.7109375" customWidth="1"/>
    <col min="12809" max="12809" width="16.42578125" customWidth="1"/>
    <col min="12810" max="12810" width="0.7109375" customWidth="1"/>
    <col min="12812" max="12813" width="11.5703125" bestFit="1" customWidth="1"/>
    <col min="13057" max="13057" width="4.42578125" customWidth="1"/>
    <col min="13058" max="13058" width="0.140625" customWidth="1"/>
    <col min="13059" max="13059" width="25.85546875" customWidth="1"/>
    <col min="13060" max="13060" width="22.5703125" customWidth="1"/>
    <col min="13061" max="13061" width="18.140625" customWidth="1"/>
    <col min="13062" max="13062" width="13.5703125" customWidth="1"/>
    <col min="13063" max="13063" width="15.140625" customWidth="1"/>
    <col min="13064" max="13064" width="13.7109375" customWidth="1"/>
    <col min="13065" max="13065" width="16.42578125" customWidth="1"/>
    <col min="13066" max="13066" width="0.7109375" customWidth="1"/>
    <col min="13068" max="13069" width="11.5703125" bestFit="1" customWidth="1"/>
    <col min="13313" max="13313" width="4.42578125" customWidth="1"/>
    <col min="13314" max="13314" width="0.140625" customWidth="1"/>
    <col min="13315" max="13315" width="25.85546875" customWidth="1"/>
    <col min="13316" max="13316" width="22.5703125" customWidth="1"/>
    <col min="13317" max="13317" width="18.140625" customWidth="1"/>
    <col min="13318" max="13318" width="13.5703125" customWidth="1"/>
    <col min="13319" max="13319" width="15.140625" customWidth="1"/>
    <col min="13320" max="13320" width="13.7109375" customWidth="1"/>
    <col min="13321" max="13321" width="16.42578125" customWidth="1"/>
    <col min="13322" max="13322" width="0.7109375" customWidth="1"/>
    <col min="13324" max="13325" width="11.5703125" bestFit="1" customWidth="1"/>
    <col min="13569" max="13569" width="4.42578125" customWidth="1"/>
    <col min="13570" max="13570" width="0.140625" customWidth="1"/>
    <col min="13571" max="13571" width="25.85546875" customWidth="1"/>
    <col min="13572" max="13572" width="22.5703125" customWidth="1"/>
    <col min="13573" max="13573" width="18.140625" customWidth="1"/>
    <col min="13574" max="13574" width="13.5703125" customWidth="1"/>
    <col min="13575" max="13575" width="15.140625" customWidth="1"/>
    <col min="13576" max="13576" width="13.7109375" customWidth="1"/>
    <col min="13577" max="13577" width="16.42578125" customWidth="1"/>
    <col min="13578" max="13578" width="0.7109375" customWidth="1"/>
    <col min="13580" max="13581" width="11.5703125" bestFit="1" customWidth="1"/>
    <col min="13825" max="13825" width="4.42578125" customWidth="1"/>
    <col min="13826" max="13826" width="0.140625" customWidth="1"/>
    <col min="13827" max="13827" width="25.85546875" customWidth="1"/>
    <col min="13828" max="13828" width="22.5703125" customWidth="1"/>
    <col min="13829" max="13829" width="18.140625" customWidth="1"/>
    <col min="13830" max="13830" width="13.5703125" customWidth="1"/>
    <col min="13831" max="13831" width="15.140625" customWidth="1"/>
    <col min="13832" max="13832" width="13.7109375" customWidth="1"/>
    <col min="13833" max="13833" width="16.42578125" customWidth="1"/>
    <col min="13834" max="13834" width="0.7109375" customWidth="1"/>
    <col min="13836" max="13837" width="11.5703125" bestFit="1" customWidth="1"/>
    <col min="14081" max="14081" width="4.42578125" customWidth="1"/>
    <col min="14082" max="14082" width="0.140625" customWidth="1"/>
    <col min="14083" max="14083" width="25.85546875" customWidth="1"/>
    <col min="14084" max="14084" width="22.5703125" customWidth="1"/>
    <col min="14085" max="14085" width="18.140625" customWidth="1"/>
    <col min="14086" max="14086" width="13.5703125" customWidth="1"/>
    <col min="14087" max="14087" width="15.140625" customWidth="1"/>
    <col min="14088" max="14088" width="13.7109375" customWidth="1"/>
    <col min="14089" max="14089" width="16.42578125" customWidth="1"/>
    <col min="14090" max="14090" width="0.7109375" customWidth="1"/>
    <col min="14092" max="14093" width="11.5703125" bestFit="1" customWidth="1"/>
    <col min="14337" max="14337" width="4.42578125" customWidth="1"/>
    <col min="14338" max="14338" width="0.140625" customWidth="1"/>
    <col min="14339" max="14339" width="25.85546875" customWidth="1"/>
    <col min="14340" max="14340" width="22.5703125" customWidth="1"/>
    <col min="14341" max="14341" width="18.140625" customWidth="1"/>
    <col min="14342" max="14342" width="13.5703125" customWidth="1"/>
    <col min="14343" max="14343" width="15.140625" customWidth="1"/>
    <col min="14344" max="14344" width="13.7109375" customWidth="1"/>
    <col min="14345" max="14345" width="16.42578125" customWidth="1"/>
    <col min="14346" max="14346" width="0.7109375" customWidth="1"/>
    <col min="14348" max="14349" width="11.5703125" bestFit="1" customWidth="1"/>
    <col min="14593" max="14593" width="4.42578125" customWidth="1"/>
    <col min="14594" max="14594" width="0.140625" customWidth="1"/>
    <col min="14595" max="14595" width="25.85546875" customWidth="1"/>
    <col min="14596" max="14596" width="22.5703125" customWidth="1"/>
    <col min="14597" max="14597" width="18.140625" customWidth="1"/>
    <col min="14598" max="14598" width="13.5703125" customWidth="1"/>
    <col min="14599" max="14599" width="15.140625" customWidth="1"/>
    <col min="14600" max="14600" width="13.7109375" customWidth="1"/>
    <col min="14601" max="14601" width="16.42578125" customWidth="1"/>
    <col min="14602" max="14602" width="0.7109375" customWidth="1"/>
    <col min="14604" max="14605" width="11.5703125" bestFit="1" customWidth="1"/>
    <col min="14849" max="14849" width="4.42578125" customWidth="1"/>
    <col min="14850" max="14850" width="0.140625" customWidth="1"/>
    <col min="14851" max="14851" width="25.85546875" customWidth="1"/>
    <col min="14852" max="14852" width="22.5703125" customWidth="1"/>
    <col min="14853" max="14853" width="18.140625" customWidth="1"/>
    <col min="14854" max="14854" width="13.5703125" customWidth="1"/>
    <col min="14855" max="14855" width="15.140625" customWidth="1"/>
    <col min="14856" max="14856" width="13.7109375" customWidth="1"/>
    <col min="14857" max="14857" width="16.42578125" customWidth="1"/>
    <col min="14858" max="14858" width="0.7109375" customWidth="1"/>
    <col min="14860" max="14861" width="11.5703125" bestFit="1" customWidth="1"/>
    <col min="15105" max="15105" width="4.42578125" customWidth="1"/>
    <col min="15106" max="15106" width="0.140625" customWidth="1"/>
    <col min="15107" max="15107" width="25.85546875" customWidth="1"/>
    <col min="15108" max="15108" width="22.5703125" customWidth="1"/>
    <col min="15109" max="15109" width="18.140625" customWidth="1"/>
    <col min="15110" max="15110" width="13.5703125" customWidth="1"/>
    <col min="15111" max="15111" width="15.140625" customWidth="1"/>
    <col min="15112" max="15112" width="13.7109375" customWidth="1"/>
    <col min="15113" max="15113" width="16.42578125" customWidth="1"/>
    <col min="15114" max="15114" width="0.7109375" customWidth="1"/>
    <col min="15116" max="15117" width="11.5703125" bestFit="1" customWidth="1"/>
    <col min="15361" max="15361" width="4.42578125" customWidth="1"/>
    <col min="15362" max="15362" width="0.140625" customWidth="1"/>
    <col min="15363" max="15363" width="25.85546875" customWidth="1"/>
    <col min="15364" max="15364" width="22.5703125" customWidth="1"/>
    <col min="15365" max="15365" width="18.140625" customWidth="1"/>
    <col min="15366" max="15366" width="13.5703125" customWidth="1"/>
    <col min="15367" max="15367" width="15.140625" customWidth="1"/>
    <col min="15368" max="15368" width="13.7109375" customWidth="1"/>
    <col min="15369" max="15369" width="16.42578125" customWidth="1"/>
    <col min="15370" max="15370" width="0.7109375" customWidth="1"/>
    <col min="15372" max="15373" width="11.5703125" bestFit="1" customWidth="1"/>
    <col min="15617" max="15617" width="4.42578125" customWidth="1"/>
    <col min="15618" max="15618" width="0.140625" customWidth="1"/>
    <col min="15619" max="15619" width="25.85546875" customWidth="1"/>
    <col min="15620" max="15620" width="22.5703125" customWidth="1"/>
    <col min="15621" max="15621" width="18.140625" customWidth="1"/>
    <col min="15622" max="15622" width="13.5703125" customWidth="1"/>
    <col min="15623" max="15623" width="15.140625" customWidth="1"/>
    <col min="15624" max="15624" width="13.7109375" customWidth="1"/>
    <col min="15625" max="15625" width="16.42578125" customWidth="1"/>
    <col min="15626" max="15626" width="0.7109375" customWidth="1"/>
    <col min="15628" max="15629" width="11.5703125" bestFit="1" customWidth="1"/>
    <col min="15873" max="15873" width="4.42578125" customWidth="1"/>
    <col min="15874" max="15874" width="0.140625" customWidth="1"/>
    <col min="15875" max="15875" width="25.85546875" customWidth="1"/>
    <col min="15876" max="15876" width="22.5703125" customWidth="1"/>
    <col min="15877" max="15877" width="18.140625" customWidth="1"/>
    <col min="15878" max="15878" width="13.5703125" customWidth="1"/>
    <col min="15879" max="15879" width="15.140625" customWidth="1"/>
    <col min="15880" max="15880" width="13.7109375" customWidth="1"/>
    <col min="15881" max="15881" width="16.42578125" customWidth="1"/>
    <col min="15882" max="15882" width="0.7109375" customWidth="1"/>
    <col min="15884" max="15885" width="11.5703125" bestFit="1" customWidth="1"/>
    <col min="16129" max="16129" width="4.42578125" customWidth="1"/>
    <col min="16130" max="16130" width="0.140625" customWidth="1"/>
    <col min="16131" max="16131" width="25.85546875" customWidth="1"/>
    <col min="16132" max="16132" width="22.5703125" customWidth="1"/>
    <col min="16133" max="16133" width="18.140625" customWidth="1"/>
    <col min="16134" max="16134" width="13.5703125" customWidth="1"/>
    <col min="16135" max="16135" width="15.140625" customWidth="1"/>
    <col min="16136" max="16136" width="13.7109375" customWidth="1"/>
    <col min="16137" max="16137" width="16.42578125" customWidth="1"/>
    <col min="16138" max="16138" width="0.7109375" customWidth="1"/>
    <col min="16140" max="16141" width="11.5703125" bestFit="1" customWidth="1"/>
  </cols>
  <sheetData>
    <row r="1" spans="1:17" s="53" customFormat="1" ht="16.149999999999999" customHeight="1" x14ac:dyDescent="0.25">
      <c r="A1" s="328" t="s">
        <v>148</v>
      </c>
      <c r="B1" s="323"/>
      <c r="C1" s="323"/>
      <c r="D1" s="323"/>
      <c r="E1" s="323"/>
      <c r="F1" s="323"/>
      <c r="G1" s="329" t="s">
        <v>1</v>
      </c>
      <c r="H1" s="323"/>
      <c r="I1" s="323"/>
    </row>
    <row r="2" spans="1:17" s="53" customFormat="1" ht="16.149999999999999" customHeight="1" x14ac:dyDescent="0.25">
      <c r="A2" s="327"/>
      <c r="B2" s="323"/>
      <c r="C2" s="323"/>
      <c r="D2" s="323"/>
      <c r="E2" s="323"/>
      <c r="F2" s="323"/>
      <c r="G2" s="323"/>
      <c r="H2" s="323"/>
      <c r="I2" s="323"/>
    </row>
    <row r="3" spans="1:17" s="53" customFormat="1" ht="17.25" customHeight="1" x14ac:dyDescent="0.25">
      <c r="A3" s="327" t="s">
        <v>115</v>
      </c>
      <c r="B3" s="323"/>
      <c r="C3" s="323"/>
      <c r="D3" s="323"/>
      <c r="E3" s="323"/>
      <c r="F3" s="323"/>
      <c r="G3" s="323"/>
      <c r="H3" s="323"/>
      <c r="I3" s="323"/>
    </row>
    <row r="4" spans="1:17" s="53" customFormat="1" ht="13.9" customHeight="1" x14ac:dyDescent="0.25">
      <c r="A4" s="325" t="s">
        <v>4</v>
      </c>
      <c r="B4" s="323"/>
      <c r="C4" s="323"/>
      <c r="D4" s="323"/>
      <c r="E4" s="323"/>
      <c r="F4" s="323"/>
      <c r="G4" s="323"/>
      <c r="H4" s="323"/>
      <c r="I4" s="323"/>
    </row>
    <row r="5" spans="1:17" s="53" customFormat="1" ht="13.9" customHeight="1" x14ac:dyDescent="0.25">
      <c r="A5" s="330" t="s">
        <v>149</v>
      </c>
      <c r="B5" s="323"/>
      <c r="C5" s="323"/>
      <c r="D5" s="323"/>
      <c r="E5" s="323"/>
      <c r="F5" s="323"/>
      <c r="G5" s="323"/>
      <c r="H5" s="323"/>
      <c r="I5" s="323"/>
    </row>
    <row r="6" spans="1:17" s="53" customFormat="1" ht="12" customHeight="1" x14ac:dyDescent="0.25">
      <c r="A6" s="322" t="s">
        <v>6</v>
      </c>
      <c r="B6" s="323"/>
      <c r="C6" s="323"/>
      <c r="D6" s="323"/>
      <c r="E6" s="323"/>
      <c r="F6" s="323"/>
      <c r="G6" s="323"/>
      <c r="H6" s="323"/>
      <c r="I6" s="323"/>
    </row>
    <row r="7" spans="1:17" s="53" customFormat="1" ht="45" customHeight="1" x14ac:dyDescent="0.25">
      <c r="A7" s="324" t="s">
        <v>7</v>
      </c>
      <c r="B7" s="323"/>
      <c r="C7" s="323"/>
      <c r="D7" s="325"/>
      <c r="E7" s="323"/>
      <c r="F7" s="323"/>
      <c r="G7" s="323"/>
      <c r="H7" s="323"/>
      <c r="I7" s="323"/>
    </row>
    <row r="8" spans="1:17" s="53" customFormat="1" ht="17.25" customHeight="1" x14ac:dyDescent="0.25">
      <c r="A8" s="324" t="s">
        <v>8</v>
      </c>
      <c r="B8" s="323"/>
      <c r="C8" s="323"/>
      <c r="D8" s="325"/>
      <c r="E8" s="323"/>
      <c r="F8" s="323"/>
      <c r="G8" s="323"/>
      <c r="H8" s="323"/>
      <c r="I8" s="323"/>
    </row>
    <row r="9" spans="1:17" s="53" customFormat="1" ht="26.65" customHeight="1" x14ac:dyDescent="0.25">
      <c r="A9" s="326" t="s">
        <v>117</v>
      </c>
      <c r="B9" s="323"/>
      <c r="C9" s="323"/>
      <c r="D9" s="327"/>
      <c r="E9" s="323"/>
      <c r="F9" s="323"/>
      <c r="G9" s="323"/>
      <c r="H9" s="323"/>
      <c r="I9" s="323"/>
    </row>
    <row r="10" spans="1:17" s="53" customFormat="1" ht="26.65" customHeight="1" x14ac:dyDescent="0.25">
      <c r="A10" s="324" t="s">
        <v>10</v>
      </c>
      <c r="B10" s="323"/>
      <c r="C10" s="323"/>
      <c r="D10" s="325"/>
      <c r="E10" s="323"/>
      <c r="F10" s="323"/>
      <c r="G10" s="323"/>
      <c r="H10" s="323"/>
      <c r="I10" s="323"/>
    </row>
    <row r="11" spans="1:17" s="53" customFormat="1" ht="26.65" customHeight="1" x14ac:dyDescent="0.25">
      <c r="A11" s="324" t="s">
        <v>150</v>
      </c>
      <c r="B11" s="323"/>
      <c r="C11" s="323"/>
      <c r="D11" s="325" t="s">
        <v>113</v>
      </c>
      <c r="E11" s="323"/>
      <c r="F11" s="323"/>
      <c r="G11" s="323"/>
      <c r="H11" s="323"/>
      <c r="I11" s="323"/>
    </row>
    <row r="12" spans="1:17" s="53" customFormat="1" ht="42.75" customHeight="1" x14ac:dyDescent="0.25">
      <c r="A12" s="324" t="s">
        <v>119</v>
      </c>
      <c r="B12" s="323"/>
      <c r="C12" s="323"/>
      <c r="D12" s="325" t="s">
        <v>151</v>
      </c>
      <c r="E12" s="323"/>
      <c r="F12" s="323"/>
      <c r="G12" s="323"/>
      <c r="H12" s="323"/>
      <c r="I12" s="323"/>
    </row>
    <row r="13" spans="1:17" s="53" customFormat="1" ht="72.400000000000006" customHeight="1" x14ac:dyDescent="0.25">
      <c r="A13" s="331" t="s">
        <v>16</v>
      </c>
      <c r="B13" s="332"/>
      <c r="C13" s="54" t="s">
        <v>17</v>
      </c>
      <c r="D13" s="331" t="s">
        <v>18</v>
      </c>
      <c r="E13" s="332"/>
      <c r="F13" s="54" t="s">
        <v>19</v>
      </c>
      <c r="G13" s="331" t="s">
        <v>20</v>
      </c>
      <c r="H13" s="332"/>
      <c r="I13" s="54" t="s">
        <v>152</v>
      </c>
    </row>
    <row r="14" spans="1:17" s="53" customFormat="1" ht="16.149999999999999" customHeight="1" x14ac:dyDescent="0.25">
      <c r="A14" s="333" t="s">
        <v>153</v>
      </c>
      <c r="B14" s="334"/>
      <c r="C14" s="334"/>
      <c r="D14" s="334"/>
      <c r="E14" s="334"/>
      <c r="F14" s="334"/>
      <c r="G14" s="334"/>
      <c r="H14" s="334"/>
      <c r="I14" s="335"/>
    </row>
    <row r="15" spans="1:17" s="53" customFormat="1" ht="143.25" customHeight="1" x14ac:dyDescent="0.25">
      <c r="A15" s="336" t="s">
        <v>123</v>
      </c>
      <c r="B15" s="335"/>
      <c r="C15" s="55" t="s">
        <v>154</v>
      </c>
      <c r="D15" s="336" t="s">
        <v>155</v>
      </c>
      <c r="E15" s="335"/>
      <c r="F15" s="55" t="s">
        <v>156</v>
      </c>
      <c r="G15" s="336" t="s">
        <v>157</v>
      </c>
      <c r="H15" s="335"/>
      <c r="I15" s="56">
        <f>23.3 * (0.85 * 1.3) * 0.3</f>
        <v>7.7239500000000003</v>
      </c>
      <c r="Q15" s="57"/>
    </row>
    <row r="16" spans="1:17" s="53" customFormat="1" ht="157.5" customHeight="1" x14ac:dyDescent="0.25">
      <c r="A16" s="336" t="s">
        <v>158</v>
      </c>
      <c r="B16" s="335"/>
      <c r="C16" s="55" t="s">
        <v>159</v>
      </c>
      <c r="D16" s="336" t="s">
        <v>160</v>
      </c>
      <c r="E16" s="335"/>
      <c r="F16" s="55" t="s">
        <v>156</v>
      </c>
      <c r="G16" s="336" t="s">
        <v>161</v>
      </c>
      <c r="H16" s="335"/>
      <c r="I16" s="56">
        <f>23.3 * (1.1*0.85 * 1.3) * 0.3</f>
        <v>8.4963449999999998</v>
      </c>
      <c r="Q16" s="57"/>
    </row>
    <row r="17" spans="1:17" s="53" customFormat="1" ht="189" customHeight="1" x14ac:dyDescent="0.25">
      <c r="A17" s="336" t="s">
        <v>162</v>
      </c>
      <c r="B17" s="335"/>
      <c r="C17" s="55" t="s">
        <v>163</v>
      </c>
      <c r="D17" s="336" t="s">
        <v>164</v>
      </c>
      <c r="E17" s="335"/>
      <c r="F17" s="55" t="s">
        <v>156</v>
      </c>
      <c r="G17" s="336" t="s">
        <v>165</v>
      </c>
      <c r="H17" s="335"/>
      <c r="I17" s="56">
        <f>13.3 * (0.85 * 1.3 * 0.8) * 0.3</f>
        <v>3.5271600000000003</v>
      </c>
      <c r="Q17" s="57"/>
    </row>
    <row r="18" spans="1:17" s="53" customFormat="1" ht="145.9" customHeight="1" x14ac:dyDescent="0.25">
      <c r="A18" s="336" t="s">
        <v>166</v>
      </c>
      <c r="B18" s="335"/>
      <c r="C18" s="55" t="s">
        <v>167</v>
      </c>
      <c r="D18" s="336" t="s">
        <v>168</v>
      </c>
      <c r="E18" s="337"/>
      <c r="F18" s="55" t="s">
        <v>169</v>
      </c>
      <c r="G18" s="336" t="s">
        <v>170</v>
      </c>
      <c r="H18" s="337"/>
      <c r="I18" s="56">
        <f>11.7 * (0.85 * 1.3) * 8</f>
        <v>103.428</v>
      </c>
      <c r="Q18" s="57"/>
    </row>
    <row r="19" spans="1:17" s="53" customFormat="1" ht="148.15" customHeight="1" x14ac:dyDescent="0.25">
      <c r="A19" s="336" t="s">
        <v>171</v>
      </c>
      <c r="B19" s="337"/>
      <c r="C19" s="55" t="s">
        <v>172</v>
      </c>
      <c r="D19" s="336" t="s">
        <v>173</v>
      </c>
      <c r="E19" s="337"/>
      <c r="F19" s="55" t="s">
        <v>174</v>
      </c>
      <c r="G19" s="336" t="s">
        <v>175</v>
      </c>
      <c r="H19" s="337"/>
      <c r="I19" s="56">
        <f>10.4 * (0.85 * 1.3) * 6.4</f>
        <v>73.548800000000014</v>
      </c>
      <c r="Q19" s="57"/>
    </row>
    <row r="20" spans="1:17" s="53" customFormat="1" ht="150.4" customHeight="1" x14ac:dyDescent="0.25">
      <c r="A20" s="336" t="s">
        <v>176</v>
      </c>
      <c r="B20" s="337"/>
      <c r="C20" s="55" t="s">
        <v>177</v>
      </c>
      <c r="D20" s="336" t="s">
        <v>178</v>
      </c>
      <c r="E20" s="337"/>
      <c r="F20" s="55" t="s">
        <v>174</v>
      </c>
      <c r="G20" s="336" t="s">
        <v>179</v>
      </c>
      <c r="H20" s="337"/>
      <c r="I20" s="56">
        <f>5.2 * (0.85 * 1.3) * 6.4</f>
        <v>36.774400000000007</v>
      </c>
      <c r="Q20" s="57"/>
    </row>
    <row r="21" spans="1:17" s="53" customFormat="1" ht="203.25" customHeight="1" x14ac:dyDescent="0.25">
      <c r="A21" s="336" t="s">
        <v>180</v>
      </c>
      <c r="B21" s="337"/>
      <c r="C21" s="55" t="s">
        <v>181</v>
      </c>
      <c r="D21" s="336" t="s">
        <v>182</v>
      </c>
      <c r="E21" s="337"/>
      <c r="F21" s="55" t="s">
        <v>183</v>
      </c>
      <c r="G21" s="336" t="s">
        <v>184</v>
      </c>
      <c r="H21" s="337"/>
      <c r="I21" s="56">
        <f>8.5 * (0.5 * 0.85 * 1.3) * 8</f>
        <v>37.57</v>
      </c>
      <c r="Q21" s="57"/>
    </row>
    <row r="22" spans="1:17" s="53" customFormat="1" ht="141" customHeight="1" x14ac:dyDescent="0.25">
      <c r="A22" s="336" t="s">
        <v>185</v>
      </c>
      <c r="B22" s="337"/>
      <c r="C22" s="55" t="s">
        <v>186</v>
      </c>
      <c r="D22" s="336" t="s">
        <v>187</v>
      </c>
      <c r="E22" s="337"/>
      <c r="F22" s="55" t="s">
        <v>188</v>
      </c>
      <c r="G22" s="336" t="s">
        <v>189</v>
      </c>
      <c r="H22" s="337"/>
      <c r="I22" s="56">
        <f>60 * (0.85 * 1.3) * 0.7267</f>
        <v>48.180209999999995</v>
      </c>
      <c r="Q22" s="57"/>
    </row>
    <row r="23" spans="1:17" s="53" customFormat="1" ht="150.4" customHeight="1" x14ac:dyDescent="0.25">
      <c r="A23" s="336" t="s">
        <v>190</v>
      </c>
      <c r="B23" s="337"/>
      <c r="C23" s="55" t="s">
        <v>191</v>
      </c>
      <c r="D23" s="336" t="s">
        <v>192</v>
      </c>
      <c r="E23" s="337"/>
      <c r="F23" s="55" t="s">
        <v>193</v>
      </c>
      <c r="G23" s="336" t="s">
        <v>194</v>
      </c>
      <c r="H23" s="337"/>
      <c r="I23" s="56">
        <f>535 * (0.85 * 1.3) * 0.35</f>
        <v>206.91124999999997</v>
      </c>
      <c r="Q23" s="57"/>
    </row>
    <row r="24" spans="1:17" s="53" customFormat="1" ht="150" customHeight="1" x14ac:dyDescent="0.25">
      <c r="A24" s="336" t="s">
        <v>195</v>
      </c>
      <c r="B24" s="337"/>
      <c r="C24" s="55" t="s">
        <v>196</v>
      </c>
      <c r="D24" s="336" t="s">
        <v>197</v>
      </c>
      <c r="E24" s="337"/>
      <c r="F24" s="55" t="s">
        <v>198</v>
      </c>
      <c r="G24" s="336" t="s">
        <v>199</v>
      </c>
      <c r="H24" s="337"/>
      <c r="I24" s="56">
        <f>13.2 * (1.3 * 0.85) * 16</f>
        <v>233.37599999999998</v>
      </c>
      <c r="Q24" s="57"/>
    </row>
    <row r="25" spans="1:17" s="53" customFormat="1" ht="172.5" customHeight="1" x14ac:dyDescent="0.25">
      <c r="A25" s="336" t="s">
        <v>200</v>
      </c>
      <c r="B25" s="337"/>
      <c r="C25" s="55" t="s">
        <v>201</v>
      </c>
      <c r="D25" s="336" t="s">
        <v>202</v>
      </c>
      <c r="E25" s="337"/>
      <c r="F25" s="55" t="s">
        <v>198</v>
      </c>
      <c r="G25" s="336" t="s">
        <v>203</v>
      </c>
      <c r="H25" s="337"/>
      <c r="I25" s="56">
        <f>6.9 * (0.9 * 1.3 * 0.85) * 16</f>
        <v>109.79280000000001</v>
      </c>
      <c r="Q25" s="57"/>
    </row>
    <row r="26" spans="1:17" s="53" customFormat="1" ht="195.4" customHeight="1" x14ac:dyDescent="0.25">
      <c r="A26" s="336" t="s">
        <v>204</v>
      </c>
      <c r="B26" s="337"/>
      <c r="C26" s="55" t="s">
        <v>205</v>
      </c>
      <c r="D26" s="336" t="s">
        <v>206</v>
      </c>
      <c r="E26" s="337"/>
      <c r="F26" s="55" t="s">
        <v>198</v>
      </c>
      <c r="G26" s="336" t="s">
        <v>207</v>
      </c>
      <c r="H26" s="337"/>
      <c r="I26" s="56">
        <f>6.9 * (1.2 * 1.3 * 0.85) * 16</f>
        <v>146.39040000000003</v>
      </c>
      <c r="Q26" s="57"/>
    </row>
    <row r="27" spans="1:17" s="53" customFormat="1" ht="129.75" customHeight="1" x14ac:dyDescent="0.25">
      <c r="A27" s="336" t="s">
        <v>208</v>
      </c>
      <c r="B27" s="337"/>
      <c r="C27" s="55" t="s">
        <v>209</v>
      </c>
      <c r="D27" s="336" t="s">
        <v>210</v>
      </c>
      <c r="E27" s="337"/>
      <c r="F27" s="55" t="s">
        <v>198</v>
      </c>
      <c r="G27" s="336" t="s">
        <v>211</v>
      </c>
      <c r="H27" s="337"/>
      <c r="I27" s="56">
        <f>37.7 * (1.3 * 0.85) * 16</f>
        <v>666.53600000000006</v>
      </c>
      <c r="Q27" s="57"/>
    </row>
    <row r="28" spans="1:17" s="53" customFormat="1" ht="156" customHeight="1" x14ac:dyDescent="0.25">
      <c r="A28" s="336" t="s">
        <v>212</v>
      </c>
      <c r="B28" s="337"/>
      <c r="C28" s="55" t="s">
        <v>213</v>
      </c>
      <c r="D28" s="336" t="s">
        <v>214</v>
      </c>
      <c r="E28" s="337"/>
      <c r="F28" s="55" t="s">
        <v>198</v>
      </c>
      <c r="G28" s="336" t="s">
        <v>215</v>
      </c>
      <c r="H28" s="337"/>
      <c r="I28" s="56">
        <f>37.7 * (0.9*1.3 * 0.85) * 16</f>
        <v>599.88240000000008</v>
      </c>
      <c r="Q28" s="57"/>
    </row>
    <row r="29" spans="1:17" s="53" customFormat="1" ht="130.5" customHeight="1" x14ac:dyDescent="0.25">
      <c r="A29" s="336" t="s">
        <v>216</v>
      </c>
      <c r="B29" s="337"/>
      <c r="C29" s="55" t="s">
        <v>217</v>
      </c>
      <c r="D29" s="336" t="s">
        <v>218</v>
      </c>
      <c r="E29" s="335"/>
      <c r="F29" s="55" t="s">
        <v>198</v>
      </c>
      <c r="G29" s="336" t="s">
        <v>219</v>
      </c>
      <c r="H29" s="335"/>
      <c r="I29" s="56">
        <f>18.8* (1.3 * 0.85) * 16</f>
        <v>332.38400000000001</v>
      </c>
      <c r="Q29" s="57"/>
    </row>
    <row r="30" spans="1:17" s="53" customFormat="1" ht="131.25" customHeight="1" x14ac:dyDescent="0.25">
      <c r="A30" s="336" t="s">
        <v>220</v>
      </c>
      <c r="B30" s="337"/>
      <c r="C30" s="55" t="s">
        <v>31</v>
      </c>
      <c r="D30" s="336" t="s">
        <v>221</v>
      </c>
      <c r="E30" s="335"/>
      <c r="F30" s="55" t="s">
        <v>32</v>
      </c>
      <c r="G30" s="336" t="s">
        <v>222</v>
      </c>
      <c r="H30" s="335"/>
      <c r="I30" s="56">
        <f>(2.615 * 8.75%) * 1000</f>
        <v>228.8125</v>
      </c>
      <c r="L30" s="57"/>
      <c r="Q30" s="57"/>
    </row>
    <row r="31" spans="1:17" s="53" customFormat="1" ht="180.75" customHeight="1" x14ac:dyDescent="0.25">
      <c r="A31" s="336" t="s">
        <v>223</v>
      </c>
      <c r="B31" s="337"/>
      <c r="C31" s="55" t="s">
        <v>36</v>
      </c>
      <c r="D31" s="336" t="s">
        <v>350</v>
      </c>
      <c r="E31" s="335"/>
      <c r="F31" s="55" t="s">
        <v>32</v>
      </c>
      <c r="G31" s="336" t="s">
        <v>224</v>
      </c>
      <c r="H31" s="335"/>
      <c r="I31" s="56">
        <f>(2843.33 * 6%) * 2</f>
        <v>341.19959999999998</v>
      </c>
    </row>
    <row r="32" spans="1:17" s="53" customFormat="1" ht="16.149999999999999" customHeight="1" x14ac:dyDescent="0.25">
      <c r="A32" s="338" t="s">
        <v>225</v>
      </c>
      <c r="B32" s="334"/>
      <c r="C32" s="334"/>
      <c r="D32" s="334"/>
      <c r="E32" s="334"/>
      <c r="F32" s="334"/>
      <c r="G32" s="334"/>
      <c r="H32" s="334"/>
      <c r="I32" s="58">
        <f>SUM(I15:I31)</f>
        <v>3184.5338150000002</v>
      </c>
    </row>
    <row r="33" spans="1:17" s="53" customFormat="1" ht="16.149999999999999" customHeight="1" x14ac:dyDescent="0.25">
      <c r="A33" s="339" t="s">
        <v>226</v>
      </c>
      <c r="B33" s="335"/>
      <c r="C33" s="339" t="s">
        <v>227</v>
      </c>
      <c r="D33" s="334"/>
      <c r="E33" s="334"/>
      <c r="F33" s="334"/>
      <c r="G33" s="335"/>
      <c r="H33" s="59" t="s">
        <v>48</v>
      </c>
      <c r="I33" s="59" t="s">
        <v>49</v>
      </c>
    </row>
    <row r="34" spans="1:17" s="53" customFormat="1" ht="27.4" customHeight="1" x14ac:dyDescent="0.25">
      <c r="A34" s="340" t="s">
        <v>127</v>
      </c>
      <c r="B34" s="335"/>
      <c r="C34" s="340" t="s">
        <v>349</v>
      </c>
      <c r="D34" s="334"/>
      <c r="E34" s="334"/>
      <c r="F34" s="334"/>
      <c r="G34" s="335"/>
      <c r="H34" s="60">
        <v>42.58</v>
      </c>
      <c r="I34" s="61">
        <f>I32*H34</f>
        <v>135597.44984270001</v>
      </c>
    </row>
    <row r="35" spans="1:17" s="53" customFormat="1" ht="16.149999999999999" customHeight="1" x14ac:dyDescent="0.25">
      <c r="A35" s="333" t="s">
        <v>228</v>
      </c>
      <c r="B35" s="334"/>
      <c r="C35" s="334"/>
      <c r="D35" s="334"/>
      <c r="E35" s="334"/>
      <c r="F35" s="334"/>
      <c r="G35" s="334"/>
      <c r="H35" s="334"/>
      <c r="I35" s="335"/>
    </row>
    <row r="36" spans="1:17" s="53" customFormat="1" ht="49.5" customHeight="1" x14ac:dyDescent="0.25">
      <c r="A36" s="336" t="s">
        <v>54</v>
      </c>
      <c r="B36" s="335"/>
      <c r="C36" s="55" t="s">
        <v>229</v>
      </c>
      <c r="D36" s="336" t="s">
        <v>230</v>
      </c>
      <c r="E36" s="335"/>
      <c r="F36" s="55" t="s">
        <v>231</v>
      </c>
      <c r="G36" s="336" t="s">
        <v>232</v>
      </c>
      <c r="H36" s="335"/>
      <c r="I36" s="56">
        <f>48.8*16</f>
        <v>780.8</v>
      </c>
    </row>
    <row r="37" spans="1:17" s="53" customFormat="1" ht="49.5" customHeight="1" x14ac:dyDescent="0.25">
      <c r="A37" s="336" t="s">
        <v>55</v>
      </c>
      <c r="B37" s="335"/>
      <c r="C37" s="55" t="s">
        <v>233</v>
      </c>
      <c r="D37" s="336" t="s">
        <v>234</v>
      </c>
      <c r="E37" s="335"/>
      <c r="F37" s="55" t="s">
        <v>231</v>
      </c>
      <c r="G37" s="336" t="s">
        <v>235</v>
      </c>
      <c r="H37" s="335"/>
      <c r="I37" s="56">
        <f>50.8*16</f>
        <v>812.8</v>
      </c>
    </row>
    <row r="38" spans="1:17" s="53" customFormat="1" ht="69" customHeight="1" x14ac:dyDescent="0.25">
      <c r="A38" s="336" t="s">
        <v>56</v>
      </c>
      <c r="B38" s="335"/>
      <c r="C38" s="55" t="s">
        <v>236</v>
      </c>
      <c r="D38" s="336" t="s">
        <v>237</v>
      </c>
      <c r="E38" s="335"/>
      <c r="F38" s="55" t="s">
        <v>231</v>
      </c>
      <c r="G38" s="336" t="s">
        <v>238</v>
      </c>
      <c r="H38" s="335"/>
      <c r="I38" s="56">
        <f>90*16</f>
        <v>1440</v>
      </c>
    </row>
    <row r="39" spans="1:17" s="53" customFormat="1" ht="49.5" customHeight="1" x14ac:dyDescent="0.25">
      <c r="A39" s="336" t="s">
        <v>57</v>
      </c>
      <c r="B39" s="335"/>
      <c r="C39" s="55" t="s">
        <v>239</v>
      </c>
      <c r="D39" s="336" t="s">
        <v>240</v>
      </c>
      <c r="E39" s="335"/>
      <c r="F39" s="55" t="s">
        <v>231</v>
      </c>
      <c r="G39" s="336" t="s">
        <v>241</v>
      </c>
      <c r="H39" s="335"/>
      <c r="I39" s="56">
        <f>27.1*16</f>
        <v>433.6</v>
      </c>
      <c r="L39" s="57"/>
    </row>
    <row r="40" spans="1:17" s="53" customFormat="1" ht="49.5" customHeight="1" x14ac:dyDescent="0.25">
      <c r="A40" s="336" t="s">
        <v>58</v>
      </c>
      <c r="B40" s="335"/>
      <c r="C40" s="55" t="s">
        <v>242</v>
      </c>
      <c r="D40" s="336" t="s">
        <v>243</v>
      </c>
      <c r="E40" s="335"/>
      <c r="F40" s="55" t="s">
        <v>231</v>
      </c>
      <c r="G40" s="336" t="s">
        <v>244</v>
      </c>
      <c r="H40" s="335"/>
      <c r="I40" s="56">
        <f>26.3*16</f>
        <v>420.8</v>
      </c>
    </row>
    <row r="41" spans="1:17" s="53" customFormat="1" ht="41.25" customHeight="1" x14ac:dyDescent="0.25">
      <c r="A41" s="336" t="s">
        <v>59</v>
      </c>
      <c r="B41" s="335"/>
      <c r="C41" s="55" t="s">
        <v>245</v>
      </c>
      <c r="D41" s="336" t="s">
        <v>246</v>
      </c>
      <c r="E41" s="335"/>
      <c r="F41" s="55" t="s">
        <v>198</v>
      </c>
      <c r="G41" s="336" t="s">
        <v>247</v>
      </c>
      <c r="H41" s="335"/>
      <c r="I41" s="56">
        <f>67.3*16</f>
        <v>1076.8</v>
      </c>
    </row>
    <row r="42" spans="1:17" s="53" customFormat="1" ht="107.25" customHeight="1" x14ac:dyDescent="0.25">
      <c r="A42" s="336" t="s">
        <v>248</v>
      </c>
      <c r="B42" s="335"/>
      <c r="C42" s="55" t="s">
        <v>249</v>
      </c>
      <c r="D42" s="336" t="s">
        <v>351</v>
      </c>
      <c r="E42" s="335"/>
      <c r="F42" s="55" t="s">
        <v>231</v>
      </c>
      <c r="G42" s="336" t="s">
        <v>250</v>
      </c>
      <c r="H42" s="335"/>
      <c r="I42" s="56">
        <f>(8500/1.18/42.58) * 16</f>
        <v>2706.7693116048754</v>
      </c>
    </row>
    <row r="43" spans="1:17" s="53" customFormat="1" ht="16.149999999999999" customHeight="1" x14ac:dyDescent="0.25">
      <c r="A43" s="338" t="s">
        <v>251</v>
      </c>
      <c r="B43" s="334"/>
      <c r="C43" s="334"/>
      <c r="D43" s="334"/>
      <c r="E43" s="334"/>
      <c r="F43" s="334"/>
      <c r="G43" s="334"/>
      <c r="H43" s="334"/>
      <c r="I43" s="58">
        <f>SUM(I36:I42)</f>
        <v>7671.5693116048751</v>
      </c>
    </row>
    <row r="44" spans="1:17" s="53" customFormat="1" ht="16.149999999999999" customHeight="1" x14ac:dyDescent="0.25">
      <c r="A44" s="339" t="s">
        <v>226</v>
      </c>
      <c r="B44" s="335"/>
      <c r="C44" s="339" t="s">
        <v>252</v>
      </c>
      <c r="D44" s="334"/>
      <c r="E44" s="334"/>
      <c r="F44" s="334"/>
      <c r="G44" s="335"/>
      <c r="H44" s="59" t="s">
        <v>48</v>
      </c>
      <c r="I44" s="59" t="s">
        <v>49</v>
      </c>
    </row>
    <row r="45" spans="1:17" s="53" customFormat="1" ht="27.4" customHeight="1" x14ac:dyDescent="0.25">
      <c r="A45" s="340" t="s">
        <v>127</v>
      </c>
      <c r="B45" s="335"/>
      <c r="C45" s="340" t="s">
        <v>349</v>
      </c>
      <c r="D45" s="334"/>
      <c r="E45" s="334"/>
      <c r="F45" s="334"/>
      <c r="G45" s="335"/>
      <c r="H45" s="60">
        <v>42.58</v>
      </c>
      <c r="I45" s="62">
        <f>I43*H45</f>
        <v>326655.42128813558</v>
      </c>
    </row>
    <row r="46" spans="1:17" s="53" customFormat="1" ht="16.149999999999999" customHeight="1" x14ac:dyDescent="0.25">
      <c r="A46" s="333" t="s">
        <v>253</v>
      </c>
      <c r="B46" s="334"/>
      <c r="C46" s="334"/>
      <c r="D46" s="334"/>
      <c r="E46" s="334"/>
      <c r="F46" s="334"/>
      <c r="G46" s="334"/>
      <c r="H46" s="334"/>
      <c r="I46" s="335"/>
    </row>
    <row r="47" spans="1:17" s="53" customFormat="1" ht="60.75" customHeight="1" x14ac:dyDescent="0.25">
      <c r="A47" s="336" t="s">
        <v>60</v>
      </c>
      <c r="B47" s="335"/>
      <c r="C47" s="55" t="s">
        <v>154</v>
      </c>
      <c r="D47" s="336" t="s">
        <v>254</v>
      </c>
      <c r="E47" s="335"/>
      <c r="F47" s="55" t="s">
        <v>156</v>
      </c>
      <c r="G47" s="336" t="s">
        <v>255</v>
      </c>
      <c r="H47" s="335"/>
      <c r="I47" s="56">
        <f>18.5*0.3</f>
        <v>5.55</v>
      </c>
    </row>
    <row r="48" spans="1:17" s="53" customFormat="1" ht="61.5" customHeight="1" x14ac:dyDescent="0.25">
      <c r="A48" s="336" t="s">
        <v>61</v>
      </c>
      <c r="B48" s="335"/>
      <c r="C48" s="55" t="s">
        <v>159</v>
      </c>
      <c r="D48" s="336" t="s">
        <v>256</v>
      </c>
      <c r="E48" s="335"/>
      <c r="F48" s="55" t="s">
        <v>156</v>
      </c>
      <c r="G48" s="336" t="s">
        <v>257</v>
      </c>
      <c r="H48" s="335"/>
      <c r="I48" s="56">
        <f>18.5*1.1*0.3</f>
        <v>6.1050000000000004</v>
      </c>
      <c r="Q48" s="57"/>
    </row>
    <row r="49" spans="1:13" s="53" customFormat="1" ht="102" customHeight="1" x14ac:dyDescent="0.25">
      <c r="A49" s="336" t="s">
        <v>258</v>
      </c>
      <c r="B49" s="335"/>
      <c r="C49" s="55" t="s">
        <v>163</v>
      </c>
      <c r="D49" s="336" t="s">
        <v>259</v>
      </c>
      <c r="E49" s="335"/>
      <c r="F49" s="55" t="s">
        <v>156</v>
      </c>
      <c r="G49" s="336" t="s">
        <v>260</v>
      </c>
      <c r="H49" s="335"/>
      <c r="I49" s="56">
        <f>1.3*0.8*0.3</f>
        <v>0.312</v>
      </c>
    </row>
    <row r="50" spans="1:13" s="53" customFormat="1" ht="122.25" customHeight="1" x14ac:dyDescent="0.25">
      <c r="A50" s="336" t="s">
        <v>261</v>
      </c>
      <c r="B50" s="335"/>
      <c r="C50" s="55" t="s">
        <v>167</v>
      </c>
      <c r="D50" s="336" t="s">
        <v>262</v>
      </c>
      <c r="E50" s="335"/>
      <c r="F50" s="55" t="s">
        <v>169</v>
      </c>
      <c r="G50" s="336" t="s">
        <v>263</v>
      </c>
      <c r="H50" s="335"/>
      <c r="I50" s="56">
        <f>7.5*1.15*8</f>
        <v>69</v>
      </c>
    </row>
    <row r="51" spans="1:13" s="53" customFormat="1" ht="72.400000000000006" customHeight="1" x14ac:dyDescent="0.25">
      <c r="A51" s="336" t="s">
        <v>264</v>
      </c>
      <c r="B51" s="335"/>
      <c r="C51" s="55" t="s">
        <v>265</v>
      </c>
      <c r="D51" s="336" t="s">
        <v>266</v>
      </c>
      <c r="E51" s="335"/>
      <c r="F51" s="55" t="s">
        <v>267</v>
      </c>
      <c r="G51" s="336" t="s">
        <v>268</v>
      </c>
      <c r="H51" s="335"/>
      <c r="I51" s="56">
        <f>8.2*6.4</f>
        <v>52.48</v>
      </c>
    </row>
    <row r="52" spans="1:13" s="53" customFormat="1" ht="60.75" customHeight="1" x14ac:dyDescent="0.25">
      <c r="A52" s="336" t="s">
        <v>269</v>
      </c>
      <c r="B52" s="335"/>
      <c r="C52" s="55" t="s">
        <v>186</v>
      </c>
      <c r="D52" s="336" t="s">
        <v>270</v>
      </c>
      <c r="E52" s="335"/>
      <c r="F52" s="55" t="s">
        <v>188</v>
      </c>
      <c r="G52" s="336" t="s">
        <v>271</v>
      </c>
      <c r="H52" s="335"/>
      <c r="I52" s="56">
        <v>129.35</v>
      </c>
    </row>
    <row r="53" spans="1:13" s="53" customFormat="1" ht="49.5" customHeight="1" x14ac:dyDescent="0.25">
      <c r="A53" s="336" t="s">
        <v>272</v>
      </c>
      <c r="B53" s="335"/>
      <c r="C53" s="55" t="s">
        <v>191</v>
      </c>
      <c r="D53" s="336" t="s">
        <v>273</v>
      </c>
      <c r="E53" s="335"/>
      <c r="F53" s="55" t="s">
        <v>193</v>
      </c>
      <c r="G53" s="336" t="s">
        <v>274</v>
      </c>
      <c r="H53" s="335"/>
      <c r="I53" s="56">
        <f>161*0.35</f>
        <v>56.349999999999994</v>
      </c>
      <c r="M53" s="57"/>
    </row>
    <row r="54" spans="1:13" s="53" customFormat="1" ht="64.5" customHeight="1" x14ac:dyDescent="0.25">
      <c r="A54" s="336" t="s">
        <v>275</v>
      </c>
      <c r="B54" s="335"/>
      <c r="C54" s="55" t="s">
        <v>276</v>
      </c>
      <c r="D54" s="336" t="s">
        <v>277</v>
      </c>
      <c r="E54" s="341"/>
      <c r="F54" s="63" t="s">
        <v>32</v>
      </c>
      <c r="G54" s="336" t="s">
        <v>278</v>
      </c>
      <c r="H54" s="341"/>
      <c r="I54" s="56">
        <f>3467.2*12%</f>
        <v>416.06399999999996</v>
      </c>
      <c r="L54" s="57"/>
    </row>
    <row r="55" spans="1:13" s="53" customFormat="1" ht="67.5" customHeight="1" x14ac:dyDescent="0.25">
      <c r="A55" s="336" t="s">
        <v>279</v>
      </c>
      <c r="B55" s="335"/>
      <c r="C55" s="55" t="s">
        <v>276</v>
      </c>
      <c r="D55" s="336" t="s">
        <v>280</v>
      </c>
      <c r="E55" s="335"/>
      <c r="F55" s="55" t="s">
        <v>32</v>
      </c>
      <c r="G55" s="336" t="s">
        <v>281</v>
      </c>
      <c r="H55" s="335"/>
      <c r="I55" s="56">
        <f>420.8*12%</f>
        <v>50.496000000000002</v>
      </c>
    </row>
    <row r="56" spans="1:13" s="53" customFormat="1" ht="74.25" customHeight="1" x14ac:dyDescent="0.25">
      <c r="A56" s="336" t="s">
        <v>282</v>
      </c>
      <c r="B56" s="335"/>
      <c r="C56" s="55" t="s">
        <v>283</v>
      </c>
      <c r="D56" s="336" t="s">
        <v>284</v>
      </c>
      <c r="E56" s="335"/>
      <c r="F56" s="55" t="s">
        <v>32</v>
      </c>
      <c r="G56" s="336" t="s">
        <v>285</v>
      </c>
      <c r="H56" s="335"/>
      <c r="I56" s="56">
        <f>1076.8 * 15%</f>
        <v>161.51999999999998</v>
      </c>
    </row>
    <row r="57" spans="1:13" s="53" customFormat="1" ht="103.5" customHeight="1" x14ac:dyDescent="0.25">
      <c r="A57" s="336" t="s">
        <v>286</v>
      </c>
      <c r="B57" s="335"/>
      <c r="C57" s="55" t="s">
        <v>287</v>
      </c>
      <c r="D57" s="336" t="s">
        <v>288</v>
      </c>
      <c r="E57" s="335"/>
      <c r="F57" s="55" t="s">
        <v>32</v>
      </c>
      <c r="G57" s="336" t="s">
        <v>289</v>
      </c>
      <c r="H57" s="335"/>
      <c r="I57" s="56">
        <f>1076.8*20%</f>
        <v>215.36</v>
      </c>
    </row>
    <row r="58" spans="1:13" s="53" customFormat="1" ht="156" customHeight="1" x14ac:dyDescent="0.25">
      <c r="A58" s="336" t="s">
        <v>290</v>
      </c>
      <c r="B58" s="335"/>
      <c r="C58" s="55" t="s">
        <v>291</v>
      </c>
      <c r="D58" s="336" t="s">
        <v>352</v>
      </c>
      <c r="E58" s="335"/>
      <c r="F58" s="55" t="s">
        <v>292</v>
      </c>
      <c r="G58" s="336" t="s">
        <v>293</v>
      </c>
      <c r="H58" s="335"/>
      <c r="I58" s="56">
        <f>200*1.25*0.5</f>
        <v>125</v>
      </c>
    </row>
    <row r="59" spans="1:13" s="53" customFormat="1" ht="144.75" customHeight="1" x14ac:dyDescent="0.25">
      <c r="A59" s="336" t="s">
        <v>294</v>
      </c>
      <c r="B59" s="335"/>
      <c r="C59" s="55" t="s">
        <v>295</v>
      </c>
      <c r="D59" s="336" t="s">
        <v>296</v>
      </c>
      <c r="E59" s="335"/>
      <c r="F59" s="55"/>
      <c r="G59" s="336" t="s">
        <v>297</v>
      </c>
      <c r="H59" s="335"/>
      <c r="I59" s="56">
        <f>(1.287587*21%)*1000*1.3</f>
        <v>351.51125100000007</v>
      </c>
      <c r="M59" s="57"/>
    </row>
    <row r="60" spans="1:13" s="53" customFormat="1" ht="16.149999999999999" customHeight="1" x14ac:dyDescent="0.25">
      <c r="A60" s="338" t="s">
        <v>298</v>
      </c>
      <c r="B60" s="334"/>
      <c r="C60" s="334"/>
      <c r="D60" s="334"/>
      <c r="E60" s="334"/>
      <c r="F60" s="334"/>
      <c r="G60" s="334"/>
      <c r="H60" s="334"/>
      <c r="I60" s="58">
        <f>SUM(I47:I59)</f>
        <v>1639.0982510000001</v>
      </c>
    </row>
    <row r="61" spans="1:13" s="53" customFormat="1" ht="16.149999999999999" customHeight="1" x14ac:dyDescent="0.25">
      <c r="A61" s="339" t="s">
        <v>226</v>
      </c>
      <c r="B61" s="335"/>
      <c r="C61" s="339" t="s">
        <v>299</v>
      </c>
      <c r="D61" s="334"/>
      <c r="E61" s="334"/>
      <c r="F61" s="334"/>
      <c r="G61" s="335"/>
      <c r="H61" s="59" t="s">
        <v>48</v>
      </c>
      <c r="I61" s="59" t="s">
        <v>49</v>
      </c>
    </row>
    <row r="62" spans="1:13" s="53" customFormat="1" ht="39.75" customHeight="1" x14ac:dyDescent="0.25">
      <c r="A62" s="340" t="s">
        <v>127</v>
      </c>
      <c r="B62" s="335"/>
      <c r="C62" s="340" t="s">
        <v>353</v>
      </c>
      <c r="D62" s="334"/>
      <c r="E62" s="334"/>
      <c r="F62" s="334"/>
      <c r="G62" s="335"/>
      <c r="H62" s="60">
        <v>42.58</v>
      </c>
      <c r="I62" s="62">
        <f>I60*H62</f>
        <v>69792.803527580007</v>
      </c>
    </row>
    <row r="63" spans="1:13" s="53" customFormat="1" ht="16.149999999999999" customHeight="1" x14ac:dyDescent="0.25">
      <c r="A63" s="333" t="s">
        <v>300</v>
      </c>
      <c r="B63" s="334"/>
      <c r="C63" s="334"/>
      <c r="D63" s="334"/>
      <c r="E63" s="334"/>
      <c r="F63" s="334"/>
      <c r="G63" s="334"/>
      <c r="H63" s="334"/>
      <c r="I63" s="335"/>
    </row>
    <row r="64" spans="1:13" s="53" customFormat="1" ht="57.75" customHeight="1" x14ac:dyDescent="0.25">
      <c r="A64" s="336" t="s">
        <v>301</v>
      </c>
      <c r="B64" s="335"/>
      <c r="C64" s="55" t="s">
        <v>302</v>
      </c>
      <c r="D64" s="336" t="s">
        <v>411</v>
      </c>
      <c r="E64" s="335"/>
      <c r="F64" s="55" t="s">
        <v>303</v>
      </c>
      <c r="G64" s="336" t="s">
        <v>304</v>
      </c>
      <c r="H64" s="335"/>
      <c r="I64" s="56">
        <f>800/1.18/42.58*5</f>
        <v>79.610862106025763</v>
      </c>
    </row>
    <row r="65" spans="1:10" s="53" customFormat="1" ht="57.75" customHeight="1" x14ac:dyDescent="0.25">
      <c r="A65" s="336" t="s">
        <v>305</v>
      </c>
      <c r="B65" s="335"/>
      <c r="C65" s="55" t="s">
        <v>306</v>
      </c>
      <c r="D65" s="336" t="s">
        <v>411</v>
      </c>
      <c r="E65" s="335"/>
      <c r="F65" s="55" t="s">
        <v>303</v>
      </c>
      <c r="G65" s="336" t="s">
        <v>307</v>
      </c>
      <c r="H65" s="335"/>
      <c r="I65" s="56">
        <f>600/1.18/42.58*5</f>
        <v>59.708146579519322</v>
      </c>
    </row>
    <row r="66" spans="1:10" s="53" customFormat="1" ht="57.75" customHeight="1" x14ac:dyDescent="0.25">
      <c r="A66" s="336" t="s">
        <v>308</v>
      </c>
      <c r="B66" s="335"/>
      <c r="C66" s="55" t="s">
        <v>309</v>
      </c>
      <c r="D66" s="336" t="s">
        <v>411</v>
      </c>
      <c r="E66" s="335"/>
      <c r="F66" s="55" t="s">
        <v>303</v>
      </c>
      <c r="G66" s="336" t="s">
        <v>310</v>
      </c>
      <c r="H66" s="335"/>
      <c r="I66" s="56">
        <f>900/1.18/42.58*5</f>
        <v>89.562219869278977</v>
      </c>
    </row>
    <row r="67" spans="1:10" s="53" customFormat="1" ht="57.75" customHeight="1" x14ac:dyDescent="0.25">
      <c r="A67" s="336" t="s">
        <v>311</v>
      </c>
      <c r="B67" s="335"/>
      <c r="C67" s="55" t="s">
        <v>312</v>
      </c>
      <c r="D67" s="336" t="s">
        <v>411</v>
      </c>
      <c r="E67" s="335"/>
      <c r="F67" s="55" t="s">
        <v>303</v>
      </c>
      <c r="G67" s="336" t="s">
        <v>304</v>
      </c>
      <c r="H67" s="335"/>
      <c r="I67" s="56">
        <f>800/1.18/42.58*5</f>
        <v>79.610862106025763</v>
      </c>
    </row>
    <row r="68" spans="1:10" s="53" customFormat="1" ht="57.75" customHeight="1" x14ac:dyDescent="0.25">
      <c r="A68" s="336" t="s">
        <v>313</v>
      </c>
      <c r="B68" s="335"/>
      <c r="C68" s="55" t="s">
        <v>314</v>
      </c>
      <c r="D68" s="336" t="s">
        <v>411</v>
      </c>
      <c r="E68" s="335"/>
      <c r="F68" s="55" t="s">
        <v>315</v>
      </c>
      <c r="G68" s="336" t="s">
        <v>316</v>
      </c>
      <c r="H68" s="335"/>
      <c r="I68" s="56">
        <f>15000/1.18/42.58</f>
        <v>298.54073289759657</v>
      </c>
    </row>
    <row r="69" spans="1:10" s="53" customFormat="1" ht="30.75" customHeight="1" x14ac:dyDescent="0.25">
      <c r="A69" s="338" t="s">
        <v>317</v>
      </c>
      <c r="B69" s="334"/>
      <c r="C69" s="334"/>
      <c r="D69" s="334"/>
      <c r="E69" s="334"/>
      <c r="F69" s="334"/>
      <c r="G69" s="334"/>
      <c r="H69" s="334"/>
      <c r="I69" s="58">
        <f>SUM(I64:I68)</f>
        <v>607.03282355844635</v>
      </c>
    </row>
    <row r="70" spans="1:10" s="53" customFormat="1" ht="16.149999999999999" customHeight="1" x14ac:dyDescent="0.25">
      <c r="A70" s="339" t="s">
        <v>226</v>
      </c>
      <c r="B70" s="335"/>
      <c r="C70" s="339" t="s">
        <v>318</v>
      </c>
      <c r="D70" s="334"/>
      <c r="E70" s="334"/>
      <c r="F70" s="334"/>
      <c r="G70" s="335"/>
      <c r="H70" s="59" t="s">
        <v>48</v>
      </c>
      <c r="I70" s="59" t="s">
        <v>49</v>
      </c>
    </row>
    <row r="71" spans="1:10" s="53" customFormat="1" ht="27.4" customHeight="1" x14ac:dyDescent="0.25">
      <c r="A71" s="340" t="s">
        <v>127</v>
      </c>
      <c r="B71" s="335"/>
      <c r="C71" s="340" t="s">
        <v>349</v>
      </c>
      <c r="D71" s="334"/>
      <c r="E71" s="334"/>
      <c r="F71" s="334"/>
      <c r="G71" s="335"/>
      <c r="H71" s="60">
        <v>42.58</v>
      </c>
      <c r="I71" s="62">
        <f>I69*H71</f>
        <v>25847.457627118645</v>
      </c>
    </row>
    <row r="72" spans="1:10" s="53" customFormat="1" ht="16.149999999999999" customHeight="1" x14ac:dyDescent="0.25">
      <c r="A72" s="338" t="s">
        <v>319</v>
      </c>
      <c r="B72" s="334"/>
      <c r="C72" s="334"/>
      <c r="D72" s="334"/>
      <c r="E72" s="334"/>
      <c r="F72" s="334"/>
      <c r="G72" s="334"/>
      <c r="H72" s="334"/>
      <c r="I72" s="64">
        <f>I71+I62+I45+I34</f>
        <v>557893.13228553429</v>
      </c>
      <c r="J72" s="65"/>
    </row>
    <row r="73" spans="1:10" s="53" customFormat="1" ht="16.149999999999999" customHeight="1" x14ac:dyDescent="0.25">
      <c r="A73" s="339" t="s">
        <v>226</v>
      </c>
      <c r="B73" s="335"/>
      <c r="C73" s="339" t="s">
        <v>320</v>
      </c>
      <c r="D73" s="334"/>
      <c r="E73" s="334"/>
      <c r="F73" s="334"/>
      <c r="G73" s="335"/>
      <c r="H73" s="59" t="s">
        <v>48</v>
      </c>
      <c r="I73" s="59" t="s">
        <v>49</v>
      </c>
    </row>
    <row r="74" spans="1:10" s="53" customFormat="1" ht="16.149999999999999" customHeight="1" x14ac:dyDescent="0.25">
      <c r="A74" s="340" t="s">
        <v>127</v>
      </c>
      <c r="B74" s="335"/>
      <c r="C74" s="340" t="s">
        <v>321</v>
      </c>
      <c r="D74" s="334"/>
      <c r="E74" s="334"/>
      <c r="F74" s="334"/>
      <c r="G74" s="335"/>
      <c r="H74" s="60" t="s">
        <v>113</v>
      </c>
      <c r="I74" s="62">
        <v>557893.13</v>
      </c>
    </row>
    <row r="75" spans="1:10" s="53" customFormat="1" ht="22.15" customHeight="1" x14ac:dyDescent="0.25">
      <c r="A75" s="66"/>
      <c r="B75" s="66"/>
      <c r="C75" s="66"/>
      <c r="D75" s="66"/>
      <c r="E75" s="66"/>
      <c r="F75" s="66"/>
      <c r="G75" s="66"/>
      <c r="H75" s="66"/>
      <c r="I75" s="66"/>
    </row>
    <row r="76" spans="1:10" s="53" customFormat="1" ht="14.65" customHeight="1" x14ac:dyDescent="0.25">
      <c r="A76" s="59" t="s">
        <v>226</v>
      </c>
      <c r="B76" s="339" t="s">
        <v>47</v>
      </c>
      <c r="C76" s="334"/>
      <c r="D76" s="334"/>
      <c r="E76" s="334"/>
      <c r="F76" s="334"/>
      <c r="G76" s="335"/>
      <c r="H76" s="59" t="s">
        <v>48</v>
      </c>
      <c r="I76" s="59" t="s">
        <v>49</v>
      </c>
    </row>
    <row r="77" spans="1:10" s="53" customFormat="1" ht="14.65" customHeight="1" x14ac:dyDescent="0.25">
      <c r="A77" s="55" t="s">
        <v>127</v>
      </c>
      <c r="B77" s="336" t="s">
        <v>322</v>
      </c>
      <c r="C77" s="334"/>
      <c r="D77" s="334"/>
      <c r="E77" s="334"/>
      <c r="F77" s="334"/>
      <c r="G77" s="335"/>
      <c r="H77" s="60" t="s">
        <v>113</v>
      </c>
      <c r="I77" s="56">
        <f>I74</f>
        <v>557893.13</v>
      </c>
    </row>
    <row r="78" spans="1:10" s="53" customFormat="1" ht="14.65" customHeight="1" x14ac:dyDescent="0.25">
      <c r="A78" s="55" t="s">
        <v>323</v>
      </c>
      <c r="B78" s="336" t="s">
        <v>324</v>
      </c>
      <c r="C78" s="334"/>
      <c r="D78" s="334"/>
      <c r="E78" s="334"/>
      <c r="F78" s="334"/>
      <c r="G78" s="335"/>
      <c r="H78" s="60" t="s">
        <v>325</v>
      </c>
      <c r="I78" s="56">
        <f>I77*0.18</f>
        <v>100420.7634</v>
      </c>
    </row>
    <row r="79" spans="1:10" s="53" customFormat="1" ht="14.65" customHeight="1" x14ac:dyDescent="0.25">
      <c r="A79" s="55" t="s">
        <v>326</v>
      </c>
      <c r="B79" s="336" t="s">
        <v>327</v>
      </c>
      <c r="C79" s="334"/>
      <c r="D79" s="334"/>
      <c r="E79" s="334"/>
      <c r="F79" s="334"/>
      <c r="G79" s="335"/>
      <c r="H79" s="60" t="s">
        <v>113</v>
      </c>
      <c r="I79" s="56">
        <f>I77+I78</f>
        <v>658313.89339999994</v>
      </c>
    </row>
    <row r="80" spans="1:10" s="53" customFormat="1" ht="15.4" customHeight="1" x14ac:dyDescent="0.25">
      <c r="A80" s="66"/>
      <c r="B80" s="66"/>
      <c r="C80" s="66"/>
      <c r="D80" s="66"/>
      <c r="E80" s="66"/>
      <c r="F80" s="66"/>
      <c r="G80" s="66"/>
      <c r="H80" s="66"/>
      <c r="I80" s="66"/>
    </row>
    <row r="81" spans="1:9" s="53" customFormat="1" ht="24.75" customHeight="1" x14ac:dyDescent="0.25">
      <c r="A81" s="342" t="s">
        <v>348</v>
      </c>
      <c r="B81" s="343"/>
      <c r="C81" s="343"/>
      <c r="D81" s="343"/>
      <c r="E81" s="343"/>
      <c r="F81" s="343"/>
      <c r="G81" s="343"/>
      <c r="H81" s="343"/>
      <c r="I81" s="343"/>
    </row>
    <row r="82" spans="1:9" s="53" customFormat="1" ht="19.5" customHeight="1" x14ac:dyDescent="0.25">
      <c r="A82" s="325" t="s">
        <v>328</v>
      </c>
      <c r="B82" s="325"/>
      <c r="C82" s="325"/>
      <c r="D82" s="325"/>
      <c r="E82" s="325"/>
      <c r="F82" s="66"/>
      <c r="G82" s="66"/>
      <c r="H82" s="66"/>
      <c r="I82" s="66"/>
    </row>
    <row r="83" spans="1:9" s="53" customFormat="1" ht="28.5" customHeight="1" x14ac:dyDescent="0.25">
      <c r="A83" s="325"/>
      <c r="B83" s="325"/>
      <c r="C83" s="325"/>
      <c r="D83" s="325"/>
      <c r="E83" s="325"/>
      <c r="F83" s="66"/>
      <c r="G83" s="66"/>
      <c r="H83" s="66"/>
      <c r="I83" s="66"/>
    </row>
    <row r="84" spans="1:9" s="53" customFormat="1" ht="42.75" customHeight="1" x14ac:dyDescent="0.25">
      <c r="A84" s="325" t="s">
        <v>329</v>
      </c>
      <c r="B84" s="325"/>
      <c r="C84" s="325"/>
      <c r="D84" s="325"/>
      <c r="E84" s="325"/>
      <c r="F84" s="66"/>
      <c r="G84" s="66"/>
      <c r="H84" s="66"/>
      <c r="I84" s="66"/>
    </row>
  </sheetData>
  <mergeCells count="184">
    <mergeCell ref="A84:E84"/>
    <mergeCell ref="B76:G76"/>
    <mergeCell ref="B77:G77"/>
    <mergeCell ref="B78:G78"/>
    <mergeCell ref="B79:G79"/>
    <mergeCell ref="A81:I81"/>
    <mergeCell ref="A82:E83"/>
    <mergeCell ref="A71:B71"/>
    <mergeCell ref="C71:G71"/>
    <mergeCell ref="A72:H72"/>
    <mergeCell ref="A73:B73"/>
    <mergeCell ref="C73:G73"/>
    <mergeCell ref="A74:B74"/>
    <mergeCell ref="C74:G74"/>
    <mergeCell ref="A68:B68"/>
    <mergeCell ref="D68:E68"/>
    <mergeCell ref="G68:H68"/>
    <mergeCell ref="A69:H69"/>
    <mergeCell ref="A70:B70"/>
    <mergeCell ref="C70:G70"/>
    <mergeCell ref="A66:B66"/>
    <mergeCell ref="D66:E66"/>
    <mergeCell ref="G66:H66"/>
    <mergeCell ref="A67:B67"/>
    <mergeCell ref="D67:E67"/>
    <mergeCell ref="G67:H67"/>
    <mergeCell ref="A64:B64"/>
    <mergeCell ref="D64:E64"/>
    <mergeCell ref="G64:H64"/>
    <mergeCell ref="A65:B65"/>
    <mergeCell ref="D65:E65"/>
    <mergeCell ref="G65:H65"/>
    <mergeCell ref="A60:H60"/>
    <mergeCell ref="A61:B61"/>
    <mergeCell ref="C61:G61"/>
    <mergeCell ref="A62:B62"/>
    <mergeCell ref="C62:G62"/>
    <mergeCell ref="A63:I63"/>
    <mergeCell ref="A58:B58"/>
    <mergeCell ref="D58:E58"/>
    <mergeCell ref="G58:H58"/>
    <mergeCell ref="A59:B59"/>
    <mergeCell ref="D59:E59"/>
    <mergeCell ref="G59:H59"/>
    <mergeCell ref="A56:B56"/>
    <mergeCell ref="D56:E56"/>
    <mergeCell ref="G56:H56"/>
    <mergeCell ref="A57:B57"/>
    <mergeCell ref="D57:E57"/>
    <mergeCell ref="G57:H57"/>
    <mergeCell ref="A54:B54"/>
    <mergeCell ref="D54:E54"/>
    <mergeCell ref="G54:H54"/>
    <mergeCell ref="A55:B55"/>
    <mergeCell ref="D55:E55"/>
    <mergeCell ref="G55:H55"/>
    <mergeCell ref="A52:B52"/>
    <mergeCell ref="D52:E52"/>
    <mergeCell ref="G52:H52"/>
    <mergeCell ref="A53:B53"/>
    <mergeCell ref="D53:E53"/>
    <mergeCell ref="G53:H53"/>
    <mergeCell ref="A50:B50"/>
    <mergeCell ref="D50:E50"/>
    <mergeCell ref="G50:H50"/>
    <mergeCell ref="A51:B51"/>
    <mergeCell ref="D51:E51"/>
    <mergeCell ref="G51:H51"/>
    <mergeCell ref="A48:B48"/>
    <mergeCell ref="D48:E48"/>
    <mergeCell ref="G48:H48"/>
    <mergeCell ref="A49:B49"/>
    <mergeCell ref="D49:E49"/>
    <mergeCell ref="G49:H49"/>
    <mergeCell ref="A45:B45"/>
    <mergeCell ref="C45:G45"/>
    <mergeCell ref="A46:I46"/>
    <mergeCell ref="A47:B47"/>
    <mergeCell ref="D47:E47"/>
    <mergeCell ref="G47:H47"/>
    <mergeCell ref="A42:B42"/>
    <mergeCell ref="D42:E42"/>
    <mergeCell ref="G42:H42"/>
    <mergeCell ref="A43:H43"/>
    <mergeCell ref="A44:B44"/>
    <mergeCell ref="C44:G44"/>
    <mergeCell ref="A40:B40"/>
    <mergeCell ref="D40:E40"/>
    <mergeCell ref="G40:H40"/>
    <mergeCell ref="A41:B41"/>
    <mergeCell ref="D41:E41"/>
    <mergeCell ref="G41:H41"/>
    <mergeCell ref="A38:B38"/>
    <mergeCell ref="D38:E38"/>
    <mergeCell ref="G38:H38"/>
    <mergeCell ref="A39:B39"/>
    <mergeCell ref="D39:E39"/>
    <mergeCell ref="G39:H39"/>
    <mergeCell ref="A36:B36"/>
    <mergeCell ref="D36:E36"/>
    <mergeCell ref="G36:H36"/>
    <mergeCell ref="A37:B37"/>
    <mergeCell ref="D37:E37"/>
    <mergeCell ref="G37:H37"/>
    <mergeCell ref="A32:H32"/>
    <mergeCell ref="A33:B33"/>
    <mergeCell ref="C33:G33"/>
    <mergeCell ref="A34:B34"/>
    <mergeCell ref="C34:G34"/>
    <mergeCell ref="A35:I35"/>
    <mergeCell ref="A30:B30"/>
    <mergeCell ref="D30:E30"/>
    <mergeCell ref="G30:H30"/>
    <mergeCell ref="A31:B31"/>
    <mergeCell ref="D31:E31"/>
    <mergeCell ref="G31:H31"/>
    <mergeCell ref="A28:B28"/>
    <mergeCell ref="D28:E28"/>
    <mergeCell ref="G28:H28"/>
    <mergeCell ref="A29:B29"/>
    <mergeCell ref="D29:E29"/>
    <mergeCell ref="G29:H29"/>
    <mergeCell ref="A26:B26"/>
    <mergeCell ref="D26:E26"/>
    <mergeCell ref="G26:H26"/>
    <mergeCell ref="A27:B27"/>
    <mergeCell ref="D27:E27"/>
    <mergeCell ref="G27:H27"/>
    <mergeCell ref="A24:B24"/>
    <mergeCell ref="D24:E24"/>
    <mergeCell ref="G24:H24"/>
    <mergeCell ref="A25:B25"/>
    <mergeCell ref="D25:E25"/>
    <mergeCell ref="G25:H25"/>
    <mergeCell ref="A22:B22"/>
    <mergeCell ref="D22:E22"/>
    <mergeCell ref="G22:H22"/>
    <mergeCell ref="A23:B23"/>
    <mergeCell ref="D23:E23"/>
    <mergeCell ref="G23:H23"/>
    <mergeCell ref="A20:B20"/>
    <mergeCell ref="D20:E20"/>
    <mergeCell ref="G20:H20"/>
    <mergeCell ref="A21:B21"/>
    <mergeCell ref="D21:E21"/>
    <mergeCell ref="G21:H21"/>
    <mergeCell ref="A18:B18"/>
    <mergeCell ref="D18:E18"/>
    <mergeCell ref="G18:H18"/>
    <mergeCell ref="A19:B19"/>
    <mergeCell ref="D19:E19"/>
    <mergeCell ref="G19:H19"/>
    <mergeCell ref="A16:B16"/>
    <mergeCell ref="D16:E16"/>
    <mergeCell ref="G16:H16"/>
    <mergeCell ref="A17:B17"/>
    <mergeCell ref="D17:E17"/>
    <mergeCell ref="G17:H17"/>
    <mergeCell ref="A13:B13"/>
    <mergeCell ref="D13:E13"/>
    <mergeCell ref="G13:H13"/>
    <mergeCell ref="A14:I14"/>
    <mergeCell ref="A15:B15"/>
    <mergeCell ref="D15:E15"/>
    <mergeCell ref="G15:H15"/>
    <mergeCell ref="A10:C10"/>
    <mergeCell ref="D10:I10"/>
    <mergeCell ref="A11:C11"/>
    <mergeCell ref="D11:I11"/>
    <mergeCell ref="A12:C12"/>
    <mergeCell ref="D12:I12"/>
    <mergeCell ref="A6:I6"/>
    <mergeCell ref="A7:C7"/>
    <mergeCell ref="D7:I7"/>
    <mergeCell ref="A8:C8"/>
    <mergeCell ref="D8:I8"/>
    <mergeCell ref="A9:C9"/>
    <mergeCell ref="D9:I9"/>
    <mergeCell ref="A1:F1"/>
    <mergeCell ref="G1:I1"/>
    <mergeCell ref="A2:I2"/>
    <mergeCell ref="A3:I3"/>
    <mergeCell ref="A4:I4"/>
    <mergeCell ref="A5:I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opLeftCell="A13" workbookViewId="0">
      <selection activeCell="C5" sqref="C5:G8"/>
    </sheetView>
  </sheetViews>
  <sheetFormatPr defaultRowHeight="15" x14ac:dyDescent="0.25"/>
  <cols>
    <col min="1" max="1" width="4.140625" customWidth="1"/>
    <col min="2" max="2" width="21.5703125" customWidth="1"/>
    <col min="3" max="3" width="26.28515625" customWidth="1"/>
    <col min="4" max="4" width="9.28515625" customWidth="1"/>
    <col min="5" max="5" width="8.7109375" customWidth="1"/>
    <col min="6" max="7" width="11.140625" customWidth="1"/>
    <col min="257" max="257" width="4.140625" customWidth="1"/>
    <col min="258" max="258" width="21.5703125" customWidth="1"/>
    <col min="259" max="259" width="26.28515625" customWidth="1"/>
    <col min="260" max="260" width="9.28515625" customWidth="1"/>
    <col min="261" max="261" width="8.7109375" customWidth="1"/>
    <col min="262" max="263" width="11.140625" customWidth="1"/>
    <col min="513" max="513" width="4.140625" customWidth="1"/>
    <col min="514" max="514" width="21.5703125" customWidth="1"/>
    <col min="515" max="515" width="26.28515625" customWidth="1"/>
    <col min="516" max="516" width="9.28515625" customWidth="1"/>
    <col min="517" max="517" width="8.7109375" customWidth="1"/>
    <col min="518" max="519" width="11.140625" customWidth="1"/>
    <col min="769" max="769" width="4.140625" customWidth="1"/>
    <col min="770" max="770" width="21.5703125" customWidth="1"/>
    <col min="771" max="771" width="26.28515625" customWidth="1"/>
    <col min="772" max="772" width="9.28515625" customWidth="1"/>
    <col min="773" max="773" width="8.7109375" customWidth="1"/>
    <col min="774" max="775" width="11.140625" customWidth="1"/>
    <col min="1025" max="1025" width="4.140625" customWidth="1"/>
    <col min="1026" max="1026" width="21.5703125" customWidth="1"/>
    <col min="1027" max="1027" width="26.28515625" customWidth="1"/>
    <col min="1028" max="1028" width="9.28515625" customWidth="1"/>
    <col min="1029" max="1029" width="8.7109375" customWidth="1"/>
    <col min="1030" max="1031" width="11.140625" customWidth="1"/>
    <col min="1281" max="1281" width="4.140625" customWidth="1"/>
    <col min="1282" max="1282" width="21.5703125" customWidth="1"/>
    <col min="1283" max="1283" width="26.28515625" customWidth="1"/>
    <col min="1284" max="1284" width="9.28515625" customWidth="1"/>
    <col min="1285" max="1285" width="8.7109375" customWidth="1"/>
    <col min="1286" max="1287" width="11.140625" customWidth="1"/>
    <col min="1537" max="1537" width="4.140625" customWidth="1"/>
    <col min="1538" max="1538" width="21.5703125" customWidth="1"/>
    <col min="1539" max="1539" width="26.28515625" customWidth="1"/>
    <col min="1540" max="1540" width="9.28515625" customWidth="1"/>
    <col min="1541" max="1541" width="8.7109375" customWidth="1"/>
    <col min="1542" max="1543" width="11.140625" customWidth="1"/>
    <col min="1793" max="1793" width="4.140625" customWidth="1"/>
    <col min="1794" max="1794" width="21.5703125" customWidth="1"/>
    <col min="1795" max="1795" width="26.28515625" customWidth="1"/>
    <col min="1796" max="1796" width="9.28515625" customWidth="1"/>
    <col min="1797" max="1797" width="8.7109375" customWidth="1"/>
    <col min="1798" max="1799" width="11.140625" customWidth="1"/>
    <col min="2049" max="2049" width="4.140625" customWidth="1"/>
    <col min="2050" max="2050" width="21.5703125" customWidth="1"/>
    <col min="2051" max="2051" width="26.28515625" customWidth="1"/>
    <col min="2052" max="2052" width="9.28515625" customWidth="1"/>
    <col min="2053" max="2053" width="8.7109375" customWidth="1"/>
    <col min="2054" max="2055" width="11.140625" customWidth="1"/>
    <col min="2305" max="2305" width="4.140625" customWidth="1"/>
    <col min="2306" max="2306" width="21.5703125" customWidth="1"/>
    <col min="2307" max="2307" width="26.28515625" customWidth="1"/>
    <col min="2308" max="2308" width="9.28515625" customWidth="1"/>
    <col min="2309" max="2309" width="8.7109375" customWidth="1"/>
    <col min="2310" max="2311" width="11.140625" customWidth="1"/>
    <col min="2561" max="2561" width="4.140625" customWidth="1"/>
    <col min="2562" max="2562" width="21.5703125" customWidth="1"/>
    <col min="2563" max="2563" width="26.28515625" customWidth="1"/>
    <col min="2564" max="2564" width="9.28515625" customWidth="1"/>
    <col min="2565" max="2565" width="8.7109375" customWidth="1"/>
    <col min="2566" max="2567" width="11.140625" customWidth="1"/>
    <col min="2817" max="2817" width="4.140625" customWidth="1"/>
    <col min="2818" max="2818" width="21.5703125" customWidth="1"/>
    <col min="2819" max="2819" width="26.28515625" customWidth="1"/>
    <col min="2820" max="2820" width="9.28515625" customWidth="1"/>
    <col min="2821" max="2821" width="8.7109375" customWidth="1"/>
    <col min="2822" max="2823" width="11.140625" customWidth="1"/>
    <col min="3073" max="3073" width="4.140625" customWidth="1"/>
    <col min="3074" max="3074" width="21.5703125" customWidth="1"/>
    <col min="3075" max="3075" width="26.28515625" customWidth="1"/>
    <col min="3076" max="3076" width="9.28515625" customWidth="1"/>
    <col min="3077" max="3077" width="8.7109375" customWidth="1"/>
    <col min="3078" max="3079" width="11.140625" customWidth="1"/>
    <col min="3329" max="3329" width="4.140625" customWidth="1"/>
    <col min="3330" max="3330" width="21.5703125" customWidth="1"/>
    <col min="3331" max="3331" width="26.28515625" customWidth="1"/>
    <col min="3332" max="3332" width="9.28515625" customWidth="1"/>
    <col min="3333" max="3333" width="8.7109375" customWidth="1"/>
    <col min="3334" max="3335" width="11.140625" customWidth="1"/>
    <col min="3585" max="3585" width="4.140625" customWidth="1"/>
    <col min="3586" max="3586" width="21.5703125" customWidth="1"/>
    <col min="3587" max="3587" width="26.28515625" customWidth="1"/>
    <col min="3588" max="3588" width="9.28515625" customWidth="1"/>
    <col min="3589" max="3589" width="8.7109375" customWidth="1"/>
    <col min="3590" max="3591" width="11.140625" customWidth="1"/>
    <col min="3841" max="3841" width="4.140625" customWidth="1"/>
    <col min="3842" max="3842" width="21.5703125" customWidth="1"/>
    <col min="3843" max="3843" width="26.28515625" customWidth="1"/>
    <col min="3844" max="3844" width="9.28515625" customWidth="1"/>
    <col min="3845" max="3845" width="8.7109375" customWidth="1"/>
    <col min="3846" max="3847" width="11.140625" customWidth="1"/>
    <col min="4097" max="4097" width="4.140625" customWidth="1"/>
    <col min="4098" max="4098" width="21.5703125" customWidth="1"/>
    <col min="4099" max="4099" width="26.28515625" customWidth="1"/>
    <col min="4100" max="4100" width="9.28515625" customWidth="1"/>
    <col min="4101" max="4101" width="8.7109375" customWidth="1"/>
    <col min="4102" max="4103" width="11.140625" customWidth="1"/>
    <col min="4353" max="4353" width="4.140625" customWidth="1"/>
    <col min="4354" max="4354" width="21.5703125" customWidth="1"/>
    <col min="4355" max="4355" width="26.28515625" customWidth="1"/>
    <col min="4356" max="4356" width="9.28515625" customWidth="1"/>
    <col min="4357" max="4357" width="8.7109375" customWidth="1"/>
    <col min="4358" max="4359" width="11.140625" customWidth="1"/>
    <col min="4609" max="4609" width="4.140625" customWidth="1"/>
    <col min="4610" max="4610" width="21.5703125" customWidth="1"/>
    <col min="4611" max="4611" width="26.28515625" customWidth="1"/>
    <col min="4612" max="4612" width="9.28515625" customWidth="1"/>
    <col min="4613" max="4613" width="8.7109375" customWidth="1"/>
    <col min="4614" max="4615" width="11.140625" customWidth="1"/>
    <col min="4865" max="4865" width="4.140625" customWidth="1"/>
    <col min="4866" max="4866" width="21.5703125" customWidth="1"/>
    <col min="4867" max="4867" width="26.28515625" customWidth="1"/>
    <col min="4868" max="4868" width="9.28515625" customWidth="1"/>
    <col min="4869" max="4869" width="8.7109375" customWidth="1"/>
    <col min="4870" max="4871" width="11.140625" customWidth="1"/>
    <col min="5121" max="5121" width="4.140625" customWidth="1"/>
    <col min="5122" max="5122" width="21.5703125" customWidth="1"/>
    <col min="5123" max="5123" width="26.28515625" customWidth="1"/>
    <col min="5124" max="5124" width="9.28515625" customWidth="1"/>
    <col min="5125" max="5125" width="8.7109375" customWidth="1"/>
    <col min="5126" max="5127" width="11.140625" customWidth="1"/>
    <col min="5377" max="5377" width="4.140625" customWidth="1"/>
    <col min="5378" max="5378" width="21.5703125" customWidth="1"/>
    <col min="5379" max="5379" width="26.28515625" customWidth="1"/>
    <col min="5380" max="5380" width="9.28515625" customWidth="1"/>
    <col min="5381" max="5381" width="8.7109375" customWidth="1"/>
    <col min="5382" max="5383" width="11.140625" customWidth="1"/>
    <col min="5633" max="5633" width="4.140625" customWidth="1"/>
    <col min="5634" max="5634" width="21.5703125" customWidth="1"/>
    <col min="5635" max="5635" width="26.28515625" customWidth="1"/>
    <col min="5636" max="5636" width="9.28515625" customWidth="1"/>
    <col min="5637" max="5637" width="8.7109375" customWidth="1"/>
    <col min="5638" max="5639" width="11.140625" customWidth="1"/>
    <col min="5889" max="5889" width="4.140625" customWidth="1"/>
    <col min="5890" max="5890" width="21.5703125" customWidth="1"/>
    <col min="5891" max="5891" width="26.28515625" customWidth="1"/>
    <col min="5892" max="5892" width="9.28515625" customWidth="1"/>
    <col min="5893" max="5893" width="8.7109375" customWidth="1"/>
    <col min="5894" max="5895" width="11.140625" customWidth="1"/>
    <col min="6145" max="6145" width="4.140625" customWidth="1"/>
    <col min="6146" max="6146" width="21.5703125" customWidth="1"/>
    <col min="6147" max="6147" width="26.28515625" customWidth="1"/>
    <col min="6148" max="6148" width="9.28515625" customWidth="1"/>
    <col min="6149" max="6149" width="8.7109375" customWidth="1"/>
    <col min="6150" max="6151" width="11.140625" customWidth="1"/>
    <col min="6401" max="6401" width="4.140625" customWidth="1"/>
    <col min="6402" max="6402" width="21.5703125" customWidth="1"/>
    <col min="6403" max="6403" width="26.28515625" customWidth="1"/>
    <col min="6404" max="6404" width="9.28515625" customWidth="1"/>
    <col min="6405" max="6405" width="8.7109375" customWidth="1"/>
    <col min="6406" max="6407" width="11.140625" customWidth="1"/>
    <col min="6657" max="6657" width="4.140625" customWidth="1"/>
    <col min="6658" max="6658" width="21.5703125" customWidth="1"/>
    <col min="6659" max="6659" width="26.28515625" customWidth="1"/>
    <col min="6660" max="6660" width="9.28515625" customWidth="1"/>
    <col min="6661" max="6661" width="8.7109375" customWidth="1"/>
    <col min="6662" max="6663" width="11.140625" customWidth="1"/>
    <col min="6913" max="6913" width="4.140625" customWidth="1"/>
    <col min="6914" max="6914" width="21.5703125" customWidth="1"/>
    <col min="6915" max="6915" width="26.28515625" customWidth="1"/>
    <col min="6916" max="6916" width="9.28515625" customWidth="1"/>
    <col min="6917" max="6917" width="8.7109375" customWidth="1"/>
    <col min="6918" max="6919" width="11.140625" customWidth="1"/>
    <col min="7169" max="7169" width="4.140625" customWidth="1"/>
    <col min="7170" max="7170" width="21.5703125" customWidth="1"/>
    <col min="7171" max="7171" width="26.28515625" customWidth="1"/>
    <col min="7172" max="7172" width="9.28515625" customWidth="1"/>
    <col min="7173" max="7173" width="8.7109375" customWidth="1"/>
    <col min="7174" max="7175" width="11.140625" customWidth="1"/>
    <col min="7425" max="7425" width="4.140625" customWidth="1"/>
    <col min="7426" max="7426" width="21.5703125" customWidth="1"/>
    <col min="7427" max="7427" width="26.28515625" customWidth="1"/>
    <col min="7428" max="7428" width="9.28515625" customWidth="1"/>
    <col min="7429" max="7429" width="8.7109375" customWidth="1"/>
    <col min="7430" max="7431" width="11.140625" customWidth="1"/>
    <col min="7681" max="7681" width="4.140625" customWidth="1"/>
    <col min="7682" max="7682" width="21.5703125" customWidth="1"/>
    <col min="7683" max="7683" width="26.28515625" customWidth="1"/>
    <col min="7684" max="7684" width="9.28515625" customWidth="1"/>
    <col min="7685" max="7685" width="8.7109375" customWidth="1"/>
    <col min="7686" max="7687" width="11.140625" customWidth="1"/>
    <col min="7937" max="7937" width="4.140625" customWidth="1"/>
    <col min="7938" max="7938" width="21.5703125" customWidth="1"/>
    <col min="7939" max="7939" width="26.28515625" customWidth="1"/>
    <col min="7940" max="7940" width="9.28515625" customWidth="1"/>
    <col min="7941" max="7941" width="8.7109375" customWidth="1"/>
    <col min="7942" max="7943" width="11.140625" customWidth="1"/>
    <col min="8193" max="8193" width="4.140625" customWidth="1"/>
    <col min="8194" max="8194" width="21.5703125" customWidth="1"/>
    <col min="8195" max="8195" width="26.28515625" customWidth="1"/>
    <col min="8196" max="8196" width="9.28515625" customWidth="1"/>
    <col min="8197" max="8197" width="8.7109375" customWidth="1"/>
    <col min="8198" max="8199" width="11.140625" customWidth="1"/>
    <col min="8449" max="8449" width="4.140625" customWidth="1"/>
    <col min="8450" max="8450" width="21.5703125" customWidth="1"/>
    <col min="8451" max="8451" width="26.28515625" customWidth="1"/>
    <col min="8452" max="8452" width="9.28515625" customWidth="1"/>
    <col min="8453" max="8453" width="8.7109375" customWidth="1"/>
    <col min="8454" max="8455" width="11.140625" customWidth="1"/>
    <col min="8705" max="8705" width="4.140625" customWidth="1"/>
    <col min="8706" max="8706" width="21.5703125" customWidth="1"/>
    <col min="8707" max="8707" width="26.28515625" customWidth="1"/>
    <col min="8708" max="8708" width="9.28515625" customWidth="1"/>
    <col min="8709" max="8709" width="8.7109375" customWidth="1"/>
    <col min="8710" max="8711" width="11.140625" customWidth="1"/>
    <col min="8961" max="8961" width="4.140625" customWidth="1"/>
    <col min="8962" max="8962" width="21.5703125" customWidth="1"/>
    <col min="8963" max="8963" width="26.28515625" customWidth="1"/>
    <col min="8964" max="8964" width="9.28515625" customWidth="1"/>
    <col min="8965" max="8965" width="8.7109375" customWidth="1"/>
    <col min="8966" max="8967" width="11.140625" customWidth="1"/>
    <col min="9217" max="9217" width="4.140625" customWidth="1"/>
    <col min="9218" max="9218" width="21.5703125" customWidth="1"/>
    <col min="9219" max="9219" width="26.28515625" customWidth="1"/>
    <col min="9220" max="9220" width="9.28515625" customWidth="1"/>
    <col min="9221" max="9221" width="8.7109375" customWidth="1"/>
    <col min="9222" max="9223" width="11.140625" customWidth="1"/>
    <col min="9473" max="9473" width="4.140625" customWidth="1"/>
    <col min="9474" max="9474" width="21.5703125" customWidth="1"/>
    <col min="9475" max="9475" width="26.28515625" customWidth="1"/>
    <col min="9476" max="9476" width="9.28515625" customWidth="1"/>
    <col min="9477" max="9477" width="8.7109375" customWidth="1"/>
    <col min="9478" max="9479" width="11.140625" customWidth="1"/>
    <col min="9729" max="9729" width="4.140625" customWidth="1"/>
    <col min="9730" max="9730" width="21.5703125" customWidth="1"/>
    <col min="9731" max="9731" width="26.28515625" customWidth="1"/>
    <col min="9732" max="9732" width="9.28515625" customWidth="1"/>
    <col min="9733" max="9733" width="8.7109375" customWidth="1"/>
    <col min="9734" max="9735" width="11.140625" customWidth="1"/>
    <col min="9985" max="9985" width="4.140625" customWidth="1"/>
    <col min="9986" max="9986" width="21.5703125" customWidth="1"/>
    <col min="9987" max="9987" width="26.28515625" customWidth="1"/>
    <col min="9988" max="9988" width="9.28515625" customWidth="1"/>
    <col min="9989" max="9989" width="8.7109375" customWidth="1"/>
    <col min="9990" max="9991" width="11.140625" customWidth="1"/>
    <col min="10241" max="10241" width="4.140625" customWidth="1"/>
    <col min="10242" max="10242" width="21.5703125" customWidth="1"/>
    <col min="10243" max="10243" width="26.28515625" customWidth="1"/>
    <col min="10244" max="10244" width="9.28515625" customWidth="1"/>
    <col min="10245" max="10245" width="8.7109375" customWidth="1"/>
    <col min="10246" max="10247" width="11.140625" customWidth="1"/>
    <col min="10497" max="10497" width="4.140625" customWidth="1"/>
    <col min="10498" max="10498" width="21.5703125" customWidth="1"/>
    <col min="10499" max="10499" width="26.28515625" customWidth="1"/>
    <col min="10500" max="10500" width="9.28515625" customWidth="1"/>
    <col min="10501" max="10501" width="8.7109375" customWidth="1"/>
    <col min="10502" max="10503" width="11.140625" customWidth="1"/>
    <col min="10753" max="10753" width="4.140625" customWidth="1"/>
    <col min="10754" max="10754" width="21.5703125" customWidth="1"/>
    <col min="10755" max="10755" width="26.28515625" customWidth="1"/>
    <col min="10756" max="10756" width="9.28515625" customWidth="1"/>
    <col min="10757" max="10757" width="8.7109375" customWidth="1"/>
    <col min="10758" max="10759" width="11.140625" customWidth="1"/>
    <col min="11009" max="11009" width="4.140625" customWidth="1"/>
    <col min="11010" max="11010" width="21.5703125" customWidth="1"/>
    <col min="11011" max="11011" width="26.28515625" customWidth="1"/>
    <col min="11012" max="11012" width="9.28515625" customWidth="1"/>
    <col min="11013" max="11013" width="8.7109375" customWidth="1"/>
    <col min="11014" max="11015" width="11.140625" customWidth="1"/>
    <col min="11265" max="11265" width="4.140625" customWidth="1"/>
    <col min="11266" max="11266" width="21.5703125" customWidth="1"/>
    <col min="11267" max="11267" width="26.28515625" customWidth="1"/>
    <col min="11268" max="11268" width="9.28515625" customWidth="1"/>
    <col min="11269" max="11269" width="8.7109375" customWidth="1"/>
    <col min="11270" max="11271" width="11.140625" customWidth="1"/>
    <col min="11521" max="11521" width="4.140625" customWidth="1"/>
    <col min="11522" max="11522" width="21.5703125" customWidth="1"/>
    <col min="11523" max="11523" width="26.28515625" customWidth="1"/>
    <col min="11524" max="11524" width="9.28515625" customWidth="1"/>
    <col min="11525" max="11525" width="8.7109375" customWidth="1"/>
    <col min="11526" max="11527" width="11.140625" customWidth="1"/>
    <col min="11777" max="11777" width="4.140625" customWidth="1"/>
    <col min="11778" max="11778" width="21.5703125" customWidth="1"/>
    <col min="11779" max="11779" width="26.28515625" customWidth="1"/>
    <col min="11780" max="11780" width="9.28515625" customWidth="1"/>
    <col min="11781" max="11781" width="8.7109375" customWidth="1"/>
    <col min="11782" max="11783" width="11.140625" customWidth="1"/>
    <col min="12033" max="12033" width="4.140625" customWidth="1"/>
    <col min="12034" max="12034" width="21.5703125" customWidth="1"/>
    <col min="12035" max="12035" width="26.28515625" customWidth="1"/>
    <col min="12036" max="12036" width="9.28515625" customWidth="1"/>
    <col min="12037" max="12037" width="8.7109375" customWidth="1"/>
    <col min="12038" max="12039" width="11.140625" customWidth="1"/>
    <col min="12289" max="12289" width="4.140625" customWidth="1"/>
    <col min="12290" max="12290" width="21.5703125" customWidth="1"/>
    <col min="12291" max="12291" width="26.28515625" customWidth="1"/>
    <col min="12292" max="12292" width="9.28515625" customWidth="1"/>
    <col min="12293" max="12293" width="8.7109375" customWidth="1"/>
    <col min="12294" max="12295" width="11.140625" customWidth="1"/>
    <col min="12545" max="12545" width="4.140625" customWidth="1"/>
    <col min="12546" max="12546" width="21.5703125" customWidth="1"/>
    <col min="12547" max="12547" width="26.28515625" customWidth="1"/>
    <col min="12548" max="12548" width="9.28515625" customWidth="1"/>
    <col min="12549" max="12549" width="8.7109375" customWidth="1"/>
    <col min="12550" max="12551" width="11.140625" customWidth="1"/>
    <col min="12801" max="12801" width="4.140625" customWidth="1"/>
    <col min="12802" max="12802" width="21.5703125" customWidth="1"/>
    <col min="12803" max="12803" width="26.28515625" customWidth="1"/>
    <col min="12804" max="12804" width="9.28515625" customWidth="1"/>
    <col min="12805" max="12805" width="8.7109375" customWidth="1"/>
    <col min="12806" max="12807" width="11.140625" customWidth="1"/>
    <col min="13057" max="13057" width="4.140625" customWidth="1"/>
    <col min="13058" max="13058" width="21.5703125" customWidth="1"/>
    <col min="13059" max="13059" width="26.28515625" customWidth="1"/>
    <col min="13060" max="13060" width="9.28515625" customWidth="1"/>
    <col min="13061" max="13061" width="8.7109375" customWidth="1"/>
    <col min="13062" max="13063" width="11.140625" customWidth="1"/>
    <col min="13313" max="13313" width="4.140625" customWidth="1"/>
    <col min="13314" max="13314" width="21.5703125" customWidth="1"/>
    <col min="13315" max="13315" width="26.28515625" customWidth="1"/>
    <col min="13316" max="13316" width="9.28515625" customWidth="1"/>
    <col min="13317" max="13317" width="8.7109375" customWidth="1"/>
    <col min="13318" max="13319" width="11.140625" customWidth="1"/>
    <col min="13569" max="13569" width="4.140625" customWidth="1"/>
    <col min="13570" max="13570" width="21.5703125" customWidth="1"/>
    <col min="13571" max="13571" width="26.28515625" customWidth="1"/>
    <col min="13572" max="13572" width="9.28515625" customWidth="1"/>
    <col min="13573" max="13573" width="8.7109375" customWidth="1"/>
    <col min="13574" max="13575" width="11.140625" customWidth="1"/>
    <col min="13825" max="13825" width="4.140625" customWidth="1"/>
    <col min="13826" max="13826" width="21.5703125" customWidth="1"/>
    <col min="13827" max="13827" width="26.28515625" customWidth="1"/>
    <col min="13828" max="13828" width="9.28515625" customWidth="1"/>
    <col min="13829" max="13829" width="8.7109375" customWidth="1"/>
    <col min="13830" max="13831" width="11.140625" customWidth="1"/>
    <col min="14081" max="14081" width="4.140625" customWidth="1"/>
    <col min="14082" max="14082" width="21.5703125" customWidth="1"/>
    <col min="14083" max="14083" width="26.28515625" customWidth="1"/>
    <col min="14084" max="14084" width="9.28515625" customWidth="1"/>
    <col min="14085" max="14085" width="8.7109375" customWidth="1"/>
    <col min="14086" max="14087" width="11.140625" customWidth="1"/>
    <col min="14337" max="14337" width="4.140625" customWidth="1"/>
    <col min="14338" max="14338" width="21.5703125" customWidth="1"/>
    <col min="14339" max="14339" width="26.28515625" customWidth="1"/>
    <col min="14340" max="14340" width="9.28515625" customWidth="1"/>
    <col min="14341" max="14341" width="8.7109375" customWidth="1"/>
    <col min="14342" max="14343" width="11.140625" customWidth="1"/>
    <col min="14593" max="14593" width="4.140625" customWidth="1"/>
    <col min="14594" max="14594" width="21.5703125" customWidth="1"/>
    <col min="14595" max="14595" width="26.28515625" customWidth="1"/>
    <col min="14596" max="14596" width="9.28515625" customWidth="1"/>
    <col min="14597" max="14597" width="8.7109375" customWidth="1"/>
    <col min="14598" max="14599" width="11.140625" customWidth="1"/>
    <col min="14849" max="14849" width="4.140625" customWidth="1"/>
    <col min="14850" max="14850" width="21.5703125" customWidth="1"/>
    <col min="14851" max="14851" width="26.28515625" customWidth="1"/>
    <col min="14852" max="14852" width="9.28515625" customWidth="1"/>
    <col min="14853" max="14853" width="8.7109375" customWidth="1"/>
    <col min="14854" max="14855" width="11.140625" customWidth="1"/>
    <col min="15105" max="15105" width="4.140625" customWidth="1"/>
    <col min="15106" max="15106" width="21.5703125" customWidth="1"/>
    <col min="15107" max="15107" width="26.28515625" customWidth="1"/>
    <col min="15108" max="15108" width="9.28515625" customWidth="1"/>
    <col min="15109" max="15109" width="8.7109375" customWidth="1"/>
    <col min="15110" max="15111" width="11.140625" customWidth="1"/>
    <col min="15361" max="15361" width="4.140625" customWidth="1"/>
    <col min="15362" max="15362" width="21.5703125" customWidth="1"/>
    <col min="15363" max="15363" width="26.28515625" customWidth="1"/>
    <col min="15364" max="15364" width="9.28515625" customWidth="1"/>
    <col min="15365" max="15365" width="8.7109375" customWidth="1"/>
    <col min="15366" max="15367" width="11.140625" customWidth="1"/>
    <col min="15617" max="15617" width="4.140625" customWidth="1"/>
    <col min="15618" max="15618" width="21.5703125" customWidth="1"/>
    <col min="15619" max="15619" width="26.28515625" customWidth="1"/>
    <col min="15620" max="15620" width="9.28515625" customWidth="1"/>
    <col min="15621" max="15621" width="8.7109375" customWidth="1"/>
    <col min="15622" max="15623" width="11.140625" customWidth="1"/>
    <col min="15873" max="15873" width="4.140625" customWidth="1"/>
    <col min="15874" max="15874" width="21.5703125" customWidth="1"/>
    <col min="15875" max="15875" width="26.28515625" customWidth="1"/>
    <col min="15876" max="15876" width="9.28515625" customWidth="1"/>
    <col min="15877" max="15877" width="8.7109375" customWidth="1"/>
    <col min="15878" max="15879" width="11.140625" customWidth="1"/>
    <col min="16129" max="16129" width="4.140625" customWidth="1"/>
    <col min="16130" max="16130" width="21.5703125" customWidth="1"/>
    <col min="16131" max="16131" width="26.28515625" customWidth="1"/>
    <col min="16132" max="16132" width="9.28515625" customWidth="1"/>
    <col min="16133" max="16133" width="8.7109375" customWidth="1"/>
    <col min="16134" max="16135" width="11.140625" customWidth="1"/>
  </cols>
  <sheetData>
    <row r="1" spans="1:7" s="53" customFormat="1" ht="15.75" customHeight="1" x14ac:dyDescent="0.25">
      <c r="A1" s="344"/>
      <c r="B1" s="345"/>
      <c r="C1" s="345"/>
      <c r="D1" s="345"/>
      <c r="E1" s="346" t="s">
        <v>1</v>
      </c>
      <c r="F1" s="347"/>
      <c r="G1" s="347"/>
    </row>
    <row r="2" spans="1:7" s="53" customFormat="1" ht="15.75" customHeight="1" x14ac:dyDescent="0.25">
      <c r="A2" s="67" t="s">
        <v>330</v>
      </c>
      <c r="B2" s="68"/>
      <c r="C2" s="68"/>
      <c r="D2" s="68"/>
      <c r="E2" s="69"/>
      <c r="F2" s="70"/>
      <c r="G2" s="70"/>
    </row>
    <row r="3" spans="1:7" s="53" customFormat="1" ht="15.75" customHeight="1" x14ac:dyDescent="0.25">
      <c r="A3" s="348" t="s">
        <v>331</v>
      </c>
      <c r="B3" s="349"/>
      <c r="C3" s="349"/>
      <c r="D3" s="349"/>
      <c r="E3" s="349"/>
      <c r="F3" s="349"/>
      <c r="G3" s="349"/>
    </row>
    <row r="4" spans="1:7" s="53" customFormat="1" ht="17.25" customHeight="1" x14ac:dyDescent="0.25">
      <c r="A4" s="350" t="s">
        <v>6</v>
      </c>
      <c r="B4" s="351"/>
      <c r="C4" s="351"/>
      <c r="D4" s="351"/>
      <c r="E4" s="351"/>
      <c r="F4" s="351"/>
      <c r="G4" s="351"/>
    </row>
    <row r="5" spans="1:7" s="53" customFormat="1" ht="25.5" customHeight="1" x14ac:dyDescent="0.25">
      <c r="A5" s="352" t="s">
        <v>7</v>
      </c>
      <c r="B5" s="353"/>
      <c r="C5" s="354"/>
      <c r="D5" s="354"/>
      <c r="E5" s="354"/>
      <c r="F5" s="354"/>
      <c r="G5" s="354"/>
    </row>
    <row r="6" spans="1:7" s="53" customFormat="1" ht="25.5" customHeight="1" x14ac:dyDescent="0.25">
      <c r="A6" s="352" t="s">
        <v>8</v>
      </c>
      <c r="B6" s="353"/>
      <c r="C6" s="357"/>
      <c r="D6" s="354"/>
      <c r="E6" s="354"/>
      <c r="F6" s="354"/>
      <c r="G6" s="354"/>
    </row>
    <row r="7" spans="1:7" s="53" customFormat="1" ht="27" customHeight="1" x14ac:dyDescent="0.25">
      <c r="A7" s="358" t="s">
        <v>117</v>
      </c>
      <c r="B7" s="359"/>
      <c r="C7" s="360"/>
      <c r="D7" s="360"/>
      <c r="E7" s="360"/>
      <c r="F7" s="360"/>
      <c r="G7" s="360"/>
    </row>
    <row r="8" spans="1:7" s="53" customFormat="1" ht="25.5" customHeight="1" x14ac:dyDescent="0.25">
      <c r="A8" s="361" t="s">
        <v>10</v>
      </c>
      <c r="B8" s="362"/>
      <c r="C8" s="363"/>
      <c r="D8" s="363"/>
      <c r="E8" s="363"/>
      <c r="F8" s="363"/>
      <c r="G8" s="363"/>
    </row>
    <row r="9" spans="1:7" s="53" customFormat="1" ht="26.25" customHeight="1" x14ac:dyDescent="0.25">
      <c r="A9" s="361" t="s">
        <v>150</v>
      </c>
      <c r="B9" s="362"/>
      <c r="C9" s="363"/>
      <c r="D9" s="363"/>
      <c r="E9" s="363"/>
      <c r="F9" s="363"/>
      <c r="G9" s="363"/>
    </row>
    <row r="10" spans="1:7" s="53" customFormat="1" ht="32.25" customHeight="1" x14ac:dyDescent="0.25">
      <c r="A10" s="352" t="s">
        <v>119</v>
      </c>
      <c r="B10" s="353"/>
      <c r="C10" s="354" t="s">
        <v>332</v>
      </c>
      <c r="D10" s="354"/>
      <c r="E10" s="354"/>
      <c r="F10" s="354"/>
      <c r="G10" s="354"/>
    </row>
    <row r="11" spans="1:7" s="53" customFormat="1" ht="71.25" customHeight="1" x14ac:dyDescent="0.25">
      <c r="A11" s="71" t="s">
        <v>16</v>
      </c>
      <c r="B11" s="71" t="s">
        <v>17</v>
      </c>
      <c r="C11" s="71" t="s">
        <v>18</v>
      </c>
      <c r="D11" s="72" t="s">
        <v>19</v>
      </c>
      <c r="E11" s="364" t="s">
        <v>121</v>
      </c>
      <c r="F11" s="365"/>
      <c r="G11" s="71" t="s">
        <v>333</v>
      </c>
    </row>
    <row r="12" spans="1:7" s="53" customFormat="1" ht="15.75" customHeight="1" x14ac:dyDescent="0.25">
      <c r="A12" s="73">
        <v>1</v>
      </c>
      <c r="B12" s="73">
        <v>2</v>
      </c>
      <c r="C12" s="73">
        <v>3</v>
      </c>
      <c r="D12" s="73">
        <v>4</v>
      </c>
      <c r="E12" s="355">
        <v>5</v>
      </c>
      <c r="F12" s="356"/>
      <c r="G12" s="73">
        <v>6</v>
      </c>
    </row>
    <row r="13" spans="1:7" s="53" customFormat="1" ht="15.75" customHeight="1" x14ac:dyDescent="0.25">
      <c r="A13" s="368" t="s">
        <v>122</v>
      </c>
      <c r="B13" s="369"/>
      <c r="C13" s="369"/>
      <c r="D13" s="369"/>
      <c r="E13" s="369"/>
      <c r="F13" s="369"/>
      <c r="G13" s="369"/>
    </row>
    <row r="14" spans="1:7" s="53" customFormat="1" ht="60.75" customHeight="1" x14ac:dyDescent="0.25">
      <c r="A14" s="74" t="s">
        <v>123</v>
      </c>
      <c r="B14" s="74" t="s">
        <v>334</v>
      </c>
      <c r="C14" s="74" t="s">
        <v>335</v>
      </c>
      <c r="D14" s="75" t="s">
        <v>188</v>
      </c>
      <c r="E14" s="370" t="s">
        <v>336</v>
      </c>
      <c r="F14" s="371"/>
      <c r="G14" s="76">
        <v>0.22900000000000001</v>
      </c>
    </row>
    <row r="15" spans="1:7" s="53" customFormat="1" ht="15.75" customHeight="1" x14ac:dyDescent="0.25">
      <c r="A15" s="77" t="s">
        <v>127</v>
      </c>
      <c r="B15" s="366" t="s">
        <v>128</v>
      </c>
      <c r="C15" s="367"/>
      <c r="D15" s="367"/>
      <c r="E15" s="367"/>
      <c r="F15" s="78" t="s">
        <v>113</v>
      </c>
      <c r="G15" s="79">
        <f>G14</f>
        <v>0.22900000000000001</v>
      </c>
    </row>
    <row r="16" spans="1:7" s="53" customFormat="1" ht="15.75" customHeight="1" x14ac:dyDescent="0.25">
      <c r="A16" s="368" t="s">
        <v>129</v>
      </c>
      <c r="B16" s="369"/>
      <c r="C16" s="369"/>
      <c r="D16" s="369"/>
      <c r="E16" s="369"/>
      <c r="F16" s="369"/>
      <c r="G16" s="369"/>
    </row>
    <row r="17" spans="1:7" s="53" customFormat="1" ht="53.25" customHeight="1" x14ac:dyDescent="0.25">
      <c r="A17" s="74" t="s">
        <v>54</v>
      </c>
      <c r="B17" s="74" t="s">
        <v>337</v>
      </c>
      <c r="C17" s="74" t="s">
        <v>338</v>
      </c>
      <c r="D17" s="75" t="s">
        <v>188</v>
      </c>
      <c r="E17" s="370" t="s">
        <v>339</v>
      </c>
      <c r="F17" s="371"/>
      <c r="G17" s="76">
        <v>7.9000000000000001E-2</v>
      </c>
    </row>
    <row r="18" spans="1:7" s="53" customFormat="1" ht="15.75" customHeight="1" x14ac:dyDescent="0.25">
      <c r="A18" s="77">
        <v>2</v>
      </c>
      <c r="B18" s="366" t="s">
        <v>133</v>
      </c>
      <c r="C18" s="367"/>
      <c r="D18" s="367"/>
      <c r="E18" s="367"/>
      <c r="F18" s="78" t="s">
        <v>113</v>
      </c>
      <c r="G18" s="79">
        <f>G17</f>
        <v>7.9000000000000001E-2</v>
      </c>
    </row>
    <row r="19" spans="1:7" s="53" customFormat="1" ht="15.75" customHeight="1" x14ac:dyDescent="0.25">
      <c r="A19" s="368" t="s">
        <v>134</v>
      </c>
      <c r="B19" s="369"/>
      <c r="C19" s="369"/>
      <c r="D19" s="369"/>
      <c r="E19" s="369"/>
      <c r="F19" s="369"/>
      <c r="G19" s="369"/>
    </row>
    <row r="20" spans="1:7" s="53" customFormat="1" ht="71.25" customHeight="1" x14ac:dyDescent="0.25">
      <c r="A20" s="74" t="s">
        <v>60</v>
      </c>
      <c r="B20" s="74" t="s">
        <v>36</v>
      </c>
      <c r="C20" s="74" t="s">
        <v>340</v>
      </c>
      <c r="D20" s="75" t="s">
        <v>32</v>
      </c>
      <c r="E20" s="370" t="s">
        <v>341</v>
      </c>
      <c r="F20" s="371"/>
      <c r="G20" s="76">
        <v>3.4000000000000002E-2</v>
      </c>
    </row>
    <row r="21" spans="1:7" s="53" customFormat="1" ht="15.75" customHeight="1" x14ac:dyDescent="0.25">
      <c r="A21" s="77">
        <v>3</v>
      </c>
      <c r="B21" s="366" t="s">
        <v>137</v>
      </c>
      <c r="C21" s="367"/>
      <c r="D21" s="367"/>
      <c r="E21" s="367"/>
      <c r="F21" s="78" t="s">
        <v>113</v>
      </c>
      <c r="G21" s="80">
        <f>G20</f>
        <v>3.4000000000000002E-2</v>
      </c>
    </row>
    <row r="22" spans="1:7" s="53" customFormat="1" ht="15.75" customHeight="1" x14ac:dyDescent="0.25">
      <c r="A22" s="77" t="s">
        <v>138</v>
      </c>
      <c r="B22" s="366" t="s">
        <v>342</v>
      </c>
      <c r="C22" s="367"/>
      <c r="D22" s="367"/>
      <c r="E22" s="367"/>
      <c r="F22" s="78" t="s">
        <v>113</v>
      </c>
      <c r="G22" s="80">
        <f>G21+G18+G15</f>
        <v>0.34200000000000003</v>
      </c>
    </row>
    <row r="23" spans="1:7" s="53" customFormat="1" ht="27" customHeight="1" x14ac:dyDescent="0.25">
      <c r="A23" s="77" t="s">
        <v>140</v>
      </c>
      <c r="B23" s="366" t="s">
        <v>343</v>
      </c>
      <c r="C23" s="367"/>
      <c r="D23" s="367"/>
      <c r="E23" s="367"/>
      <c r="F23" s="81">
        <v>42.58</v>
      </c>
      <c r="G23" s="79">
        <f>G22*F23</f>
        <v>14.56236</v>
      </c>
    </row>
    <row r="24" spans="1:7" s="53" customFormat="1" ht="15.75" customHeight="1" x14ac:dyDescent="0.25">
      <c r="A24" s="77" t="s">
        <v>344</v>
      </c>
      <c r="B24" s="366" t="s">
        <v>142</v>
      </c>
      <c r="C24" s="367"/>
      <c r="D24" s="367"/>
      <c r="E24" s="367"/>
      <c r="F24" s="81" t="s">
        <v>345</v>
      </c>
      <c r="G24" s="79">
        <f>14.56236*F24</f>
        <v>2.6212247999999998</v>
      </c>
    </row>
    <row r="25" spans="1:7" s="53" customFormat="1" ht="15.75" customHeight="1" x14ac:dyDescent="0.25">
      <c r="A25" s="77" t="s">
        <v>346</v>
      </c>
      <c r="B25" s="366" t="s">
        <v>144</v>
      </c>
      <c r="C25" s="367"/>
      <c r="D25" s="367"/>
      <c r="E25" s="367"/>
      <c r="F25" s="78" t="s">
        <v>113</v>
      </c>
      <c r="G25" s="82">
        <f>SUM(G23:G24)</f>
        <v>17.183584799999998</v>
      </c>
    </row>
    <row r="26" spans="1:7" s="53" customFormat="1" ht="13.5" customHeight="1" x14ac:dyDescent="0.25">
      <c r="A26" s="83"/>
      <c r="B26" s="83"/>
      <c r="C26" s="83"/>
      <c r="D26" s="84"/>
      <c r="E26" s="83"/>
      <c r="F26" s="83"/>
      <c r="G26" s="83"/>
    </row>
    <row r="27" spans="1:7" s="53" customFormat="1" ht="15.75" customHeight="1" x14ac:dyDescent="0.25">
      <c r="A27" s="372" t="s">
        <v>347</v>
      </c>
      <c r="B27" s="360"/>
      <c r="C27" s="360"/>
      <c r="D27" s="360"/>
      <c r="E27" s="360"/>
      <c r="F27" s="360"/>
      <c r="G27" s="360"/>
    </row>
    <row r="28" spans="1:7" s="53" customFormat="1" ht="11.25" customHeight="1" x14ac:dyDescent="0.25">
      <c r="A28" s="83"/>
      <c r="B28" s="83"/>
      <c r="C28" s="83"/>
      <c r="D28" s="84"/>
      <c r="E28" s="83"/>
      <c r="F28" s="83"/>
      <c r="G28" s="83"/>
    </row>
    <row r="29" spans="1:7" s="53" customFormat="1" ht="39.75" customHeight="1" x14ac:dyDescent="0.25">
      <c r="A29" s="373" t="s">
        <v>146</v>
      </c>
      <c r="B29" s="373"/>
      <c r="C29" s="373"/>
      <c r="D29" s="373"/>
      <c r="E29" s="374"/>
      <c r="F29" s="374"/>
      <c r="G29" s="374"/>
    </row>
    <row r="30" spans="1:7" s="53" customFormat="1" ht="39.75" customHeight="1" x14ac:dyDescent="0.25">
      <c r="A30" s="373" t="s">
        <v>147</v>
      </c>
      <c r="B30" s="373"/>
      <c r="C30" s="373"/>
      <c r="D30" s="373"/>
      <c r="E30" s="374"/>
      <c r="F30" s="374"/>
      <c r="G30" s="374"/>
    </row>
  </sheetData>
  <mergeCells count="36">
    <mergeCell ref="B25:E25"/>
    <mergeCell ref="A27:G27"/>
    <mergeCell ref="A29:D29"/>
    <mergeCell ref="E29:G29"/>
    <mergeCell ref="A30:D30"/>
    <mergeCell ref="E30:G30"/>
    <mergeCell ref="B24:E24"/>
    <mergeCell ref="A13:G13"/>
    <mergeCell ref="E14:F14"/>
    <mergeCell ref="B15:E15"/>
    <mergeCell ref="A16:G16"/>
    <mergeCell ref="E17:F17"/>
    <mergeCell ref="B18:E18"/>
    <mergeCell ref="A19:G19"/>
    <mergeCell ref="E20:F20"/>
    <mergeCell ref="B21:E21"/>
    <mergeCell ref="B22:E22"/>
    <mergeCell ref="B23:E23"/>
    <mergeCell ref="E12:F12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E11:F11"/>
    <mergeCell ref="A1:D1"/>
    <mergeCell ref="E1:G1"/>
    <mergeCell ref="A3:G3"/>
    <mergeCell ref="A4:G4"/>
    <mergeCell ref="A5:B5"/>
    <mergeCell ref="C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topLeftCell="A34" zoomScaleNormal="100" workbookViewId="0">
      <selection activeCell="C8" sqref="C8:F11"/>
    </sheetView>
  </sheetViews>
  <sheetFormatPr defaultRowHeight="15" x14ac:dyDescent="0.25"/>
  <cols>
    <col min="1" max="1" width="3.5703125" customWidth="1"/>
    <col min="2" max="2" width="25.85546875" customWidth="1"/>
    <col min="3" max="3" width="26.7109375" customWidth="1"/>
    <col min="5" max="5" width="22.7109375" customWidth="1"/>
    <col min="6" max="6" width="10" bestFit="1" customWidth="1"/>
    <col min="7" max="7" width="14" customWidth="1"/>
  </cols>
  <sheetData>
    <row r="1" spans="1:6" ht="19.5" customHeight="1" x14ac:dyDescent="0.25">
      <c r="A1" s="375" t="s">
        <v>0</v>
      </c>
      <c r="B1" s="375"/>
      <c r="C1" s="375"/>
      <c r="D1" s="375"/>
      <c r="E1" s="376" t="s">
        <v>1</v>
      </c>
      <c r="F1" s="376"/>
    </row>
    <row r="2" spans="1:6" x14ac:dyDescent="0.25">
      <c r="A2" s="377" t="s">
        <v>2</v>
      </c>
      <c r="B2" s="377"/>
      <c r="C2" s="377"/>
      <c r="D2" s="377"/>
      <c r="E2" s="377"/>
      <c r="F2" s="377"/>
    </row>
    <row r="3" spans="1:6" x14ac:dyDescent="0.25">
      <c r="A3" s="377" t="s">
        <v>3</v>
      </c>
      <c r="B3" s="377"/>
      <c r="C3" s="377"/>
      <c r="D3" s="377"/>
      <c r="E3" s="377"/>
      <c r="F3" s="377"/>
    </row>
    <row r="4" spans="1:6" x14ac:dyDescent="0.25">
      <c r="A4" s="378" t="s">
        <v>4</v>
      </c>
      <c r="B4" s="378"/>
      <c r="C4" s="378"/>
      <c r="D4" s="378"/>
      <c r="E4" s="378"/>
      <c r="F4" s="378"/>
    </row>
    <row r="5" spans="1:6" x14ac:dyDescent="0.25">
      <c r="A5" s="379"/>
      <c r="B5" s="379"/>
      <c r="C5" s="379"/>
      <c r="D5" s="379"/>
      <c r="E5" s="379"/>
      <c r="F5" s="379"/>
    </row>
    <row r="6" spans="1:6" x14ac:dyDescent="0.25">
      <c r="A6" s="382" t="s">
        <v>5</v>
      </c>
      <c r="B6" s="382"/>
      <c r="C6" s="382"/>
      <c r="D6" s="382"/>
      <c r="E6" s="382"/>
      <c r="F6" s="382"/>
    </row>
    <row r="7" spans="1:6" x14ac:dyDescent="0.25">
      <c r="A7" s="383" t="s">
        <v>6</v>
      </c>
      <c r="B7" s="383"/>
      <c r="C7" s="383"/>
      <c r="D7" s="383"/>
      <c r="E7" s="383"/>
      <c r="F7" s="383"/>
    </row>
    <row r="8" spans="1:6" ht="22.5" customHeight="1" x14ac:dyDescent="0.25">
      <c r="A8" s="380" t="s">
        <v>7</v>
      </c>
      <c r="B8" s="380"/>
      <c r="C8" s="377"/>
      <c r="D8" s="377"/>
      <c r="E8" s="377"/>
      <c r="F8" s="377"/>
    </row>
    <row r="9" spans="1:6" ht="22.5" customHeight="1" x14ac:dyDescent="0.25">
      <c r="A9" s="380" t="s">
        <v>8</v>
      </c>
      <c r="B9" s="380"/>
      <c r="C9" s="377"/>
      <c r="D9" s="377"/>
      <c r="E9" s="377"/>
      <c r="F9" s="377"/>
    </row>
    <row r="10" spans="1:6" ht="22.5" customHeight="1" x14ac:dyDescent="0.25">
      <c r="A10" s="380" t="s">
        <v>9</v>
      </c>
      <c r="B10" s="380"/>
      <c r="C10" s="377"/>
      <c r="D10" s="377"/>
      <c r="E10" s="377"/>
      <c r="F10" s="377"/>
    </row>
    <row r="11" spans="1:6" ht="22.5" customHeight="1" x14ac:dyDescent="0.25">
      <c r="A11" s="380" t="s">
        <v>10</v>
      </c>
      <c r="B11" s="380"/>
      <c r="C11" s="377"/>
      <c r="D11" s="377"/>
      <c r="E11" s="377"/>
      <c r="F11" s="377"/>
    </row>
    <row r="12" spans="1:6" ht="22.5" customHeight="1" x14ac:dyDescent="0.25">
      <c r="A12" s="380" t="s">
        <v>11</v>
      </c>
      <c r="B12" s="380"/>
      <c r="C12" s="384"/>
      <c r="D12" s="384"/>
      <c r="E12" s="384"/>
      <c r="F12" s="384"/>
    </row>
    <row r="13" spans="1:6" ht="22.5" customHeight="1" x14ac:dyDescent="0.25">
      <c r="A13" s="380" t="s">
        <v>12</v>
      </c>
      <c r="B13" s="380"/>
      <c r="C13" s="377" t="s">
        <v>13</v>
      </c>
      <c r="D13" s="377"/>
      <c r="E13" s="377"/>
      <c r="F13" s="377"/>
    </row>
    <row r="14" spans="1:6" x14ac:dyDescent="0.25">
      <c r="A14" s="380" t="s">
        <v>14</v>
      </c>
      <c r="B14" s="380"/>
      <c r="C14" s="381">
        <v>41592</v>
      </c>
      <c r="D14" s="381"/>
      <c r="E14" s="381"/>
      <c r="F14" s="381"/>
    </row>
    <row r="15" spans="1:6" x14ac:dyDescent="0.25">
      <c r="A15" s="380" t="s">
        <v>15</v>
      </c>
      <c r="B15" s="380"/>
      <c r="C15" s="381">
        <v>41592</v>
      </c>
      <c r="D15" s="381"/>
      <c r="E15" s="381"/>
      <c r="F15" s="381"/>
    </row>
    <row r="16" spans="1:6" x14ac:dyDescent="0.25">
      <c r="A16" s="385"/>
      <c r="B16" s="385"/>
      <c r="C16" s="385"/>
      <c r="D16" s="385"/>
      <c r="E16" s="385"/>
      <c r="F16" s="385"/>
    </row>
    <row r="17" spans="1:8" ht="67.5" x14ac:dyDescent="0.25">
      <c r="A17" s="4" t="s">
        <v>16</v>
      </c>
      <c r="B17" s="4" t="s">
        <v>17</v>
      </c>
      <c r="C17" s="4" t="s">
        <v>18</v>
      </c>
      <c r="D17" s="4" t="s">
        <v>19</v>
      </c>
      <c r="E17" s="4" t="s">
        <v>20</v>
      </c>
      <c r="F17" s="4" t="s">
        <v>21</v>
      </c>
    </row>
    <row r="18" spans="1:8" x14ac:dyDescent="0.25">
      <c r="A18" s="386" t="s">
        <v>22</v>
      </c>
      <c r="B18" s="386"/>
      <c r="C18" s="386"/>
      <c r="D18" s="386"/>
      <c r="E18" s="386"/>
      <c r="F18" s="386"/>
    </row>
    <row r="19" spans="1:8" s="5" customFormat="1" ht="214.5" customHeight="1" x14ac:dyDescent="0.25">
      <c r="A19" s="4">
        <v>1.1000000000000001</v>
      </c>
      <c r="B19" s="6" t="s">
        <v>73</v>
      </c>
      <c r="C19" s="6" t="s">
        <v>412</v>
      </c>
      <c r="D19" s="4" t="s">
        <v>23</v>
      </c>
      <c r="E19" s="6" t="s">
        <v>65</v>
      </c>
      <c r="F19" s="18">
        <f>2388*0.001*1.35*0.7267*3.7*0.5</f>
        <v>4.334060601</v>
      </c>
    </row>
    <row r="20" spans="1:8" s="5" customFormat="1" x14ac:dyDescent="0.25">
      <c r="A20" s="387" t="s">
        <v>53</v>
      </c>
      <c r="B20" s="387"/>
      <c r="C20" s="387"/>
      <c r="D20" s="387"/>
      <c r="E20" s="387"/>
      <c r="F20" s="18">
        <f>F19</f>
        <v>4.334060601</v>
      </c>
    </row>
    <row r="21" spans="1:8" s="5" customFormat="1" x14ac:dyDescent="0.25">
      <c r="A21" s="386" t="s">
        <v>24</v>
      </c>
      <c r="B21" s="386"/>
      <c r="C21" s="386"/>
      <c r="D21" s="386"/>
      <c r="E21" s="386"/>
      <c r="F21" s="386"/>
    </row>
    <row r="22" spans="1:8" s="5" customFormat="1" ht="189.75" customHeight="1" x14ac:dyDescent="0.25">
      <c r="A22" s="7" t="s">
        <v>54</v>
      </c>
      <c r="B22" s="6" t="s">
        <v>25</v>
      </c>
      <c r="C22" s="6" t="s">
        <v>413</v>
      </c>
      <c r="D22" s="10" t="s">
        <v>26</v>
      </c>
      <c r="E22" s="10" t="s">
        <v>27</v>
      </c>
      <c r="F22" s="18">
        <f>471 * 0.001 * (0.2) * (1.25) * 38.216 * (3.7)</f>
        <v>16.649755800000001</v>
      </c>
    </row>
    <row r="23" spans="1:8" s="5" customFormat="1" ht="78.75" x14ac:dyDescent="0.25">
      <c r="A23" s="9" t="s">
        <v>55</v>
      </c>
      <c r="B23" s="6" t="s">
        <v>28</v>
      </c>
      <c r="C23" s="6" t="s">
        <v>67</v>
      </c>
      <c r="D23" s="10" t="s">
        <v>29</v>
      </c>
      <c r="E23" s="10" t="s">
        <v>30</v>
      </c>
      <c r="F23" s="11">
        <f>3139 * 0.001</f>
        <v>3.1390000000000002</v>
      </c>
    </row>
    <row r="24" spans="1:8" s="5" customFormat="1" ht="111.75" customHeight="1" x14ac:dyDescent="0.25">
      <c r="A24" s="9" t="s">
        <v>56</v>
      </c>
      <c r="B24" s="6" t="s">
        <v>31</v>
      </c>
      <c r="C24" s="6" t="s">
        <v>66</v>
      </c>
      <c r="D24" s="10" t="s">
        <v>32</v>
      </c>
      <c r="E24" s="10" t="s">
        <v>33</v>
      </c>
      <c r="F24" s="18">
        <f>(F22+F23) * 8.75%</f>
        <v>1.7315161324999999</v>
      </c>
    </row>
    <row r="25" spans="1:8" s="5" customFormat="1" ht="107.25" customHeight="1" x14ac:dyDescent="0.25">
      <c r="A25" s="9" t="s">
        <v>57</v>
      </c>
      <c r="B25" s="6" t="s">
        <v>34</v>
      </c>
      <c r="C25" s="6" t="s">
        <v>74</v>
      </c>
      <c r="D25" s="10" t="s">
        <v>32</v>
      </c>
      <c r="E25" s="10" t="s">
        <v>35</v>
      </c>
      <c r="F25" s="18">
        <f>(F22+F23) * 14%</f>
        <v>2.7704258120000005</v>
      </c>
    </row>
    <row r="26" spans="1:8" s="5" customFormat="1" ht="84" customHeight="1" x14ac:dyDescent="0.25">
      <c r="A26" s="9" t="s">
        <v>58</v>
      </c>
      <c r="B26" s="6" t="s">
        <v>36</v>
      </c>
      <c r="C26" s="6" t="s">
        <v>68</v>
      </c>
      <c r="D26" s="10" t="s">
        <v>32</v>
      </c>
      <c r="E26" s="10" t="s">
        <v>37</v>
      </c>
      <c r="F26" s="18">
        <f>(F22+F23+F24)*6%</f>
        <v>1.2912163159500001</v>
      </c>
      <c r="H26" s="19"/>
    </row>
    <row r="27" spans="1:8" s="5" customFormat="1" ht="97.5" customHeight="1" x14ac:dyDescent="0.25">
      <c r="A27" s="9" t="s">
        <v>59</v>
      </c>
      <c r="B27" s="6" t="s">
        <v>38</v>
      </c>
      <c r="C27" s="6" t="s">
        <v>414</v>
      </c>
      <c r="D27" s="10" t="s">
        <v>39</v>
      </c>
      <c r="E27" s="10" t="s">
        <v>69</v>
      </c>
      <c r="F27" s="11">
        <f>6470 * 0.001 * 3.7 * 7</f>
        <v>167.57300000000001</v>
      </c>
    </row>
    <row r="28" spans="1:8" s="5" customFormat="1" x14ac:dyDescent="0.25">
      <c r="A28" s="387" t="s">
        <v>40</v>
      </c>
      <c r="B28" s="387"/>
      <c r="C28" s="387"/>
      <c r="D28" s="387"/>
      <c r="E28" s="387"/>
      <c r="F28" s="18">
        <f>SUM(F22:F27)</f>
        <v>193.15491406045001</v>
      </c>
    </row>
    <row r="29" spans="1:8" s="5" customFormat="1" x14ac:dyDescent="0.25">
      <c r="A29" s="386" t="s">
        <v>41</v>
      </c>
      <c r="B29" s="386"/>
      <c r="C29" s="386"/>
      <c r="D29" s="386"/>
      <c r="E29" s="386"/>
      <c r="F29" s="386"/>
    </row>
    <row r="30" spans="1:8" s="5" customFormat="1" ht="80.25" customHeight="1" x14ac:dyDescent="0.25">
      <c r="A30" s="9" t="s">
        <v>60</v>
      </c>
      <c r="B30" s="6" t="s">
        <v>42</v>
      </c>
      <c r="C30" s="6" t="s">
        <v>70</v>
      </c>
      <c r="D30" s="10" t="s">
        <v>32</v>
      </c>
      <c r="E30" s="10" t="s">
        <v>43</v>
      </c>
      <c r="F30" s="18">
        <f>(F27+F26+F25+F24+F22)*10%</f>
        <v>19.001591406045005</v>
      </c>
      <c r="G30" s="19"/>
    </row>
    <row r="31" spans="1:8" s="5" customFormat="1" ht="210.75" customHeight="1" x14ac:dyDescent="0.25">
      <c r="A31" s="9" t="s">
        <v>61</v>
      </c>
      <c r="B31" s="6" t="s">
        <v>44</v>
      </c>
      <c r="C31" s="6" t="s">
        <v>75</v>
      </c>
      <c r="D31" s="10" t="s">
        <v>32</v>
      </c>
      <c r="E31" s="10" t="s">
        <v>71</v>
      </c>
      <c r="F31" s="18">
        <f>(F30+F28+F20)*11.88%*0.2</f>
        <v>5.1438158497636826</v>
      </c>
      <c r="G31" s="19"/>
    </row>
    <row r="32" spans="1:8" s="5" customFormat="1" x14ac:dyDescent="0.25">
      <c r="A32" s="388" t="s">
        <v>45</v>
      </c>
      <c r="B32" s="389"/>
      <c r="C32" s="389"/>
      <c r="D32" s="389"/>
      <c r="E32" s="390"/>
      <c r="F32" s="21">
        <f>SUM(F30:F31)</f>
        <v>24.145407255808689</v>
      </c>
      <c r="G32" s="19"/>
    </row>
    <row r="33" spans="1:8" s="5" customFormat="1" x14ac:dyDescent="0.25">
      <c r="A33" s="387" t="s">
        <v>46</v>
      </c>
      <c r="B33" s="387"/>
      <c r="C33" s="387"/>
      <c r="D33" s="387"/>
      <c r="E33" s="387"/>
      <c r="F33" s="18">
        <f>F32+F28+F20</f>
        <v>221.63438191725871</v>
      </c>
      <c r="G33" s="19"/>
    </row>
    <row r="34" spans="1:8" s="5" customFormat="1" x14ac:dyDescent="0.25">
      <c r="A34" s="12"/>
      <c r="B34" s="12"/>
      <c r="C34" s="12"/>
      <c r="D34" s="12"/>
      <c r="E34" s="12"/>
      <c r="F34" s="13"/>
    </row>
    <row r="35" spans="1:8" s="5" customFormat="1" ht="22.5" x14ac:dyDescent="0.25">
      <c r="A35" s="4" t="s">
        <v>16</v>
      </c>
      <c r="B35" s="391" t="s">
        <v>47</v>
      </c>
      <c r="C35" s="392"/>
      <c r="D35" s="393"/>
      <c r="E35" s="4" t="s">
        <v>48</v>
      </c>
      <c r="F35" s="14" t="s">
        <v>49</v>
      </c>
    </row>
    <row r="36" spans="1:8" s="5" customFormat="1" x14ac:dyDescent="0.25">
      <c r="A36" s="4">
        <v>1</v>
      </c>
      <c r="B36" s="394" t="s">
        <v>62</v>
      </c>
      <c r="C36" s="395"/>
      <c r="D36" s="396"/>
      <c r="E36" s="4"/>
      <c r="F36" s="18">
        <f>F33</f>
        <v>221.63438191725871</v>
      </c>
      <c r="G36" s="13"/>
    </row>
    <row r="37" spans="1:8" s="5" customFormat="1" x14ac:dyDescent="0.25">
      <c r="A37" s="15">
        <v>2</v>
      </c>
      <c r="B37" s="397" t="s">
        <v>63</v>
      </c>
      <c r="C37" s="398"/>
      <c r="D37" s="399"/>
      <c r="E37" s="16">
        <v>0.18</v>
      </c>
      <c r="F37" s="20">
        <f>F36*E37</f>
        <v>39.894188745106568</v>
      </c>
      <c r="G37" s="13"/>
    </row>
    <row r="38" spans="1:8" s="17" customFormat="1" x14ac:dyDescent="0.25">
      <c r="A38" s="4">
        <v>3</v>
      </c>
      <c r="B38" s="387" t="s">
        <v>64</v>
      </c>
      <c r="C38" s="387"/>
      <c r="D38" s="387"/>
      <c r="E38" s="4"/>
      <c r="F38" s="18">
        <f>F37+F36</f>
        <v>261.52857066236527</v>
      </c>
      <c r="G38" s="13"/>
    </row>
    <row r="39" spans="1:8" x14ac:dyDescent="0.25">
      <c r="A39" s="385"/>
      <c r="B39" s="385"/>
      <c r="C39" s="385"/>
      <c r="D39" s="385"/>
      <c r="E39" s="385"/>
      <c r="F39" s="385"/>
      <c r="G39" s="385"/>
      <c r="H39" s="385"/>
    </row>
    <row r="40" spans="1:8" x14ac:dyDescent="0.25">
      <c r="A40" s="379"/>
      <c r="B40" s="379"/>
      <c r="C40" s="379"/>
      <c r="D40" s="379"/>
      <c r="E40" s="379"/>
      <c r="F40" s="379"/>
      <c r="G40" s="379"/>
      <c r="H40" s="379"/>
    </row>
    <row r="41" spans="1:8" x14ac:dyDescent="0.25">
      <c r="A41" s="377" t="s">
        <v>72</v>
      </c>
      <c r="B41" s="377"/>
      <c r="C41" s="377"/>
      <c r="D41" s="377"/>
      <c r="E41" s="377"/>
      <c r="F41" s="377"/>
      <c r="G41" s="377"/>
    </row>
    <row r="42" spans="1:8" x14ac:dyDescent="0.25">
      <c r="A42" s="3"/>
      <c r="B42" s="3"/>
      <c r="C42" s="3"/>
      <c r="D42" s="3"/>
      <c r="E42" s="3"/>
      <c r="F42" s="3"/>
      <c r="G42" s="3"/>
    </row>
    <row r="43" spans="1:8" x14ac:dyDescent="0.25">
      <c r="A43" s="377" t="s">
        <v>50</v>
      </c>
      <c r="B43" s="377"/>
      <c r="C43" s="377"/>
      <c r="D43" s="377"/>
      <c r="E43" s="400"/>
      <c r="F43" s="400"/>
      <c r="G43" s="400"/>
    </row>
    <row r="44" spans="1:8" x14ac:dyDescent="0.25">
      <c r="A44" s="377" t="s">
        <v>51</v>
      </c>
      <c r="B44" s="377"/>
      <c r="C44" s="377"/>
      <c r="D44" s="377"/>
      <c r="E44" s="400"/>
      <c r="F44" s="400"/>
      <c r="G44" s="400"/>
    </row>
    <row r="45" spans="1:8" x14ac:dyDescent="0.25">
      <c r="A45" s="377" t="s">
        <v>52</v>
      </c>
      <c r="B45" s="377"/>
      <c r="C45" s="377"/>
      <c r="D45" s="377"/>
      <c r="E45" s="400"/>
      <c r="F45" s="400"/>
      <c r="G45" s="400"/>
    </row>
    <row r="46" spans="1:8" x14ac:dyDescent="0.25">
      <c r="A46" s="377" t="s">
        <v>51</v>
      </c>
      <c r="B46" s="377"/>
      <c r="C46" s="377"/>
      <c r="D46" s="377"/>
      <c r="E46" s="400"/>
      <c r="F46" s="400"/>
      <c r="G46" s="400"/>
    </row>
    <row r="47" spans="1:8" x14ac:dyDescent="0.25">
      <c r="A47" s="383"/>
      <c r="B47" s="383"/>
      <c r="C47" s="383"/>
      <c r="D47" s="383"/>
      <c r="E47" s="383"/>
      <c r="F47" s="383"/>
      <c r="G47" s="383"/>
      <c r="H47" s="383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1" ht="15.75" x14ac:dyDescent="0.25">
      <c r="A49" s="2"/>
    </row>
  </sheetData>
  <mergeCells count="46">
    <mergeCell ref="A39:H39"/>
    <mergeCell ref="A40:H40"/>
    <mergeCell ref="A47:H47"/>
    <mergeCell ref="A46:D46"/>
    <mergeCell ref="E45:G46"/>
    <mergeCell ref="A41:G41"/>
    <mergeCell ref="A43:D43"/>
    <mergeCell ref="A44:D44"/>
    <mergeCell ref="E43:G44"/>
    <mergeCell ref="A45:D45"/>
    <mergeCell ref="A33:E33"/>
    <mergeCell ref="B35:D35"/>
    <mergeCell ref="B36:D36"/>
    <mergeCell ref="B37:D37"/>
    <mergeCell ref="B38:D38"/>
    <mergeCell ref="A16:F16"/>
    <mergeCell ref="A18:F18"/>
    <mergeCell ref="A28:E28"/>
    <mergeCell ref="A29:F29"/>
    <mergeCell ref="A32:E32"/>
    <mergeCell ref="A20:E20"/>
    <mergeCell ref="A21:F21"/>
    <mergeCell ref="A15:B15"/>
    <mergeCell ref="C15:F15"/>
    <mergeCell ref="A10:B10"/>
    <mergeCell ref="C10:F10"/>
    <mergeCell ref="A11:B11"/>
    <mergeCell ref="C11:F11"/>
    <mergeCell ref="A12:B12"/>
    <mergeCell ref="C12:F12"/>
    <mergeCell ref="A5:F5"/>
    <mergeCell ref="A13:B13"/>
    <mergeCell ref="C13:F13"/>
    <mergeCell ref="A14:B14"/>
    <mergeCell ref="C14:F14"/>
    <mergeCell ref="A6:F6"/>
    <mergeCell ref="A7:F7"/>
    <mergeCell ref="A8:B8"/>
    <mergeCell ref="C8:F8"/>
    <mergeCell ref="A9:B9"/>
    <mergeCell ref="C9:F9"/>
    <mergeCell ref="A1:D1"/>
    <mergeCell ref="E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opLeftCell="A25" zoomScaleNormal="100" workbookViewId="0">
      <selection activeCell="C6" sqref="C6:G9"/>
    </sheetView>
  </sheetViews>
  <sheetFormatPr defaultRowHeight="15" x14ac:dyDescent="0.25"/>
  <cols>
    <col min="1" max="1" width="6.85546875" customWidth="1"/>
    <col min="2" max="2" width="47.42578125" customWidth="1"/>
    <col min="3" max="3" width="37.7109375" customWidth="1"/>
    <col min="4" max="4" width="8.28515625" customWidth="1"/>
    <col min="5" max="5" width="11.42578125" customWidth="1"/>
    <col min="6" max="6" width="7.85546875" customWidth="1"/>
    <col min="7" max="7" width="11.85546875" customWidth="1"/>
    <col min="8" max="8" width="5.7109375" customWidth="1"/>
    <col min="257" max="257" width="6.85546875" customWidth="1"/>
    <col min="258" max="258" width="47.42578125" customWidth="1"/>
    <col min="259" max="259" width="37.7109375" customWidth="1"/>
    <col min="260" max="260" width="8.28515625" customWidth="1"/>
    <col min="261" max="261" width="11.42578125" customWidth="1"/>
    <col min="262" max="262" width="7.85546875" customWidth="1"/>
    <col min="263" max="263" width="11.85546875" customWidth="1"/>
    <col min="264" max="264" width="5.7109375" customWidth="1"/>
    <col min="513" max="513" width="6.85546875" customWidth="1"/>
    <col min="514" max="514" width="47.42578125" customWidth="1"/>
    <col min="515" max="515" width="37.7109375" customWidth="1"/>
    <col min="516" max="516" width="8.28515625" customWidth="1"/>
    <col min="517" max="517" width="11.42578125" customWidth="1"/>
    <col min="518" max="518" width="7.85546875" customWidth="1"/>
    <col min="519" max="519" width="11.85546875" customWidth="1"/>
    <col min="520" max="520" width="5.7109375" customWidth="1"/>
    <col min="769" max="769" width="6.85546875" customWidth="1"/>
    <col min="770" max="770" width="47.42578125" customWidth="1"/>
    <col min="771" max="771" width="37.7109375" customWidth="1"/>
    <col min="772" max="772" width="8.28515625" customWidth="1"/>
    <col min="773" max="773" width="11.42578125" customWidth="1"/>
    <col min="774" max="774" width="7.85546875" customWidth="1"/>
    <col min="775" max="775" width="11.85546875" customWidth="1"/>
    <col min="776" max="776" width="5.7109375" customWidth="1"/>
    <col min="1025" max="1025" width="6.85546875" customWidth="1"/>
    <col min="1026" max="1026" width="47.42578125" customWidth="1"/>
    <col min="1027" max="1027" width="37.7109375" customWidth="1"/>
    <col min="1028" max="1028" width="8.28515625" customWidth="1"/>
    <col min="1029" max="1029" width="11.42578125" customWidth="1"/>
    <col min="1030" max="1030" width="7.85546875" customWidth="1"/>
    <col min="1031" max="1031" width="11.85546875" customWidth="1"/>
    <col min="1032" max="1032" width="5.7109375" customWidth="1"/>
    <col min="1281" max="1281" width="6.85546875" customWidth="1"/>
    <col min="1282" max="1282" width="47.42578125" customWidth="1"/>
    <col min="1283" max="1283" width="37.7109375" customWidth="1"/>
    <col min="1284" max="1284" width="8.28515625" customWidth="1"/>
    <col min="1285" max="1285" width="11.42578125" customWidth="1"/>
    <col min="1286" max="1286" width="7.85546875" customWidth="1"/>
    <col min="1287" max="1287" width="11.85546875" customWidth="1"/>
    <col min="1288" max="1288" width="5.7109375" customWidth="1"/>
    <col min="1537" max="1537" width="6.85546875" customWidth="1"/>
    <col min="1538" max="1538" width="47.42578125" customWidth="1"/>
    <col min="1539" max="1539" width="37.7109375" customWidth="1"/>
    <col min="1540" max="1540" width="8.28515625" customWidth="1"/>
    <col min="1541" max="1541" width="11.42578125" customWidth="1"/>
    <col min="1542" max="1542" width="7.85546875" customWidth="1"/>
    <col min="1543" max="1543" width="11.85546875" customWidth="1"/>
    <col min="1544" max="1544" width="5.7109375" customWidth="1"/>
    <col min="1793" max="1793" width="6.85546875" customWidth="1"/>
    <col min="1794" max="1794" width="47.42578125" customWidth="1"/>
    <col min="1795" max="1795" width="37.7109375" customWidth="1"/>
    <col min="1796" max="1796" width="8.28515625" customWidth="1"/>
    <col min="1797" max="1797" width="11.42578125" customWidth="1"/>
    <col min="1798" max="1798" width="7.85546875" customWidth="1"/>
    <col min="1799" max="1799" width="11.85546875" customWidth="1"/>
    <col min="1800" max="1800" width="5.7109375" customWidth="1"/>
    <col min="2049" max="2049" width="6.85546875" customWidth="1"/>
    <col min="2050" max="2050" width="47.42578125" customWidth="1"/>
    <col min="2051" max="2051" width="37.7109375" customWidth="1"/>
    <col min="2052" max="2052" width="8.28515625" customWidth="1"/>
    <col min="2053" max="2053" width="11.42578125" customWidth="1"/>
    <col min="2054" max="2054" width="7.85546875" customWidth="1"/>
    <col min="2055" max="2055" width="11.85546875" customWidth="1"/>
    <col min="2056" max="2056" width="5.7109375" customWidth="1"/>
    <col min="2305" max="2305" width="6.85546875" customWidth="1"/>
    <col min="2306" max="2306" width="47.42578125" customWidth="1"/>
    <col min="2307" max="2307" width="37.7109375" customWidth="1"/>
    <col min="2308" max="2308" width="8.28515625" customWidth="1"/>
    <col min="2309" max="2309" width="11.42578125" customWidth="1"/>
    <col min="2310" max="2310" width="7.85546875" customWidth="1"/>
    <col min="2311" max="2311" width="11.85546875" customWidth="1"/>
    <col min="2312" max="2312" width="5.7109375" customWidth="1"/>
    <col min="2561" max="2561" width="6.85546875" customWidth="1"/>
    <col min="2562" max="2562" width="47.42578125" customWidth="1"/>
    <col min="2563" max="2563" width="37.7109375" customWidth="1"/>
    <col min="2564" max="2564" width="8.28515625" customWidth="1"/>
    <col min="2565" max="2565" width="11.42578125" customWidth="1"/>
    <col min="2566" max="2566" width="7.85546875" customWidth="1"/>
    <col min="2567" max="2567" width="11.85546875" customWidth="1"/>
    <col min="2568" max="2568" width="5.7109375" customWidth="1"/>
    <col min="2817" max="2817" width="6.85546875" customWidth="1"/>
    <col min="2818" max="2818" width="47.42578125" customWidth="1"/>
    <col min="2819" max="2819" width="37.7109375" customWidth="1"/>
    <col min="2820" max="2820" width="8.28515625" customWidth="1"/>
    <col min="2821" max="2821" width="11.42578125" customWidth="1"/>
    <col min="2822" max="2822" width="7.85546875" customWidth="1"/>
    <col min="2823" max="2823" width="11.85546875" customWidth="1"/>
    <col min="2824" max="2824" width="5.7109375" customWidth="1"/>
    <col min="3073" max="3073" width="6.85546875" customWidth="1"/>
    <col min="3074" max="3074" width="47.42578125" customWidth="1"/>
    <col min="3075" max="3075" width="37.7109375" customWidth="1"/>
    <col min="3076" max="3076" width="8.28515625" customWidth="1"/>
    <col min="3077" max="3077" width="11.42578125" customWidth="1"/>
    <col min="3078" max="3078" width="7.85546875" customWidth="1"/>
    <col min="3079" max="3079" width="11.85546875" customWidth="1"/>
    <col min="3080" max="3080" width="5.7109375" customWidth="1"/>
    <col min="3329" max="3329" width="6.85546875" customWidth="1"/>
    <col min="3330" max="3330" width="47.42578125" customWidth="1"/>
    <col min="3331" max="3331" width="37.7109375" customWidth="1"/>
    <col min="3332" max="3332" width="8.28515625" customWidth="1"/>
    <col min="3333" max="3333" width="11.42578125" customWidth="1"/>
    <col min="3334" max="3334" width="7.85546875" customWidth="1"/>
    <col min="3335" max="3335" width="11.85546875" customWidth="1"/>
    <col min="3336" max="3336" width="5.7109375" customWidth="1"/>
    <col min="3585" max="3585" width="6.85546875" customWidth="1"/>
    <col min="3586" max="3586" width="47.42578125" customWidth="1"/>
    <col min="3587" max="3587" width="37.7109375" customWidth="1"/>
    <col min="3588" max="3588" width="8.28515625" customWidth="1"/>
    <col min="3589" max="3589" width="11.42578125" customWidth="1"/>
    <col min="3590" max="3590" width="7.85546875" customWidth="1"/>
    <col min="3591" max="3591" width="11.85546875" customWidth="1"/>
    <col min="3592" max="3592" width="5.7109375" customWidth="1"/>
    <col min="3841" max="3841" width="6.85546875" customWidth="1"/>
    <col min="3842" max="3842" width="47.42578125" customWidth="1"/>
    <col min="3843" max="3843" width="37.7109375" customWidth="1"/>
    <col min="3844" max="3844" width="8.28515625" customWidth="1"/>
    <col min="3845" max="3845" width="11.42578125" customWidth="1"/>
    <col min="3846" max="3846" width="7.85546875" customWidth="1"/>
    <col min="3847" max="3847" width="11.85546875" customWidth="1"/>
    <col min="3848" max="3848" width="5.7109375" customWidth="1"/>
    <col min="4097" max="4097" width="6.85546875" customWidth="1"/>
    <col min="4098" max="4098" width="47.42578125" customWidth="1"/>
    <col min="4099" max="4099" width="37.7109375" customWidth="1"/>
    <col min="4100" max="4100" width="8.28515625" customWidth="1"/>
    <col min="4101" max="4101" width="11.42578125" customWidth="1"/>
    <col min="4102" max="4102" width="7.85546875" customWidth="1"/>
    <col min="4103" max="4103" width="11.85546875" customWidth="1"/>
    <col min="4104" max="4104" width="5.7109375" customWidth="1"/>
    <col min="4353" max="4353" width="6.85546875" customWidth="1"/>
    <col min="4354" max="4354" width="47.42578125" customWidth="1"/>
    <col min="4355" max="4355" width="37.7109375" customWidth="1"/>
    <col min="4356" max="4356" width="8.28515625" customWidth="1"/>
    <col min="4357" max="4357" width="11.42578125" customWidth="1"/>
    <col min="4358" max="4358" width="7.85546875" customWidth="1"/>
    <col min="4359" max="4359" width="11.85546875" customWidth="1"/>
    <col min="4360" max="4360" width="5.7109375" customWidth="1"/>
    <col min="4609" max="4609" width="6.85546875" customWidth="1"/>
    <col min="4610" max="4610" width="47.42578125" customWidth="1"/>
    <col min="4611" max="4611" width="37.7109375" customWidth="1"/>
    <col min="4612" max="4612" width="8.28515625" customWidth="1"/>
    <col min="4613" max="4613" width="11.42578125" customWidth="1"/>
    <col min="4614" max="4614" width="7.85546875" customWidth="1"/>
    <col min="4615" max="4615" width="11.85546875" customWidth="1"/>
    <col min="4616" max="4616" width="5.7109375" customWidth="1"/>
    <col min="4865" max="4865" width="6.85546875" customWidth="1"/>
    <col min="4866" max="4866" width="47.42578125" customWidth="1"/>
    <col min="4867" max="4867" width="37.7109375" customWidth="1"/>
    <col min="4868" max="4868" width="8.28515625" customWidth="1"/>
    <col min="4869" max="4869" width="11.42578125" customWidth="1"/>
    <col min="4870" max="4870" width="7.85546875" customWidth="1"/>
    <col min="4871" max="4871" width="11.85546875" customWidth="1"/>
    <col min="4872" max="4872" width="5.7109375" customWidth="1"/>
    <col min="5121" max="5121" width="6.85546875" customWidth="1"/>
    <col min="5122" max="5122" width="47.42578125" customWidth="1"/>
    <col min="5123" max="5123" width="37.7109375" customWidth="1"/>
    <col min="5124" max="5124" width="8.28515625" customWidth="1"/>
    <col min="5125" max="5125" width="11.42578125" customWidth="1"/>
    <col min="5126" max="5126" width="7.85546875" customWidth="1"/>
    <col min="5127" max="5127" width="11.85546875" customWidth="1"/>
    <col min="5128" max="5128" width="5.7109375" customWidth="1"/>
    <col min="5377" max="5377" width="6.85546875" customWidth="1"/>
    <col min="5378" max="5378" width="47.42578125" customWidth="1"/>
    <col min="5379" max="5379" width="37.7109375" customWidth="1"/>
    <col min="5380" max="5380" width="8.28515625" customWidth="1"/>
    <col min="5381" max="5381" width="11.42578125" customWidth="1"/>
    <col min="5382" max="5382" width="7.85546875" customWidth="1"/>
    <col min="5383" max="5383" width="11.85546875" customWidth="1"/>
    <col min="5384" max="5384" width="5.7109375" customWidth="1"/>
    <col min="5633" max="5633" width="6.85546875" customWidth="1"/>
    <col min="5634" max="5634" width="47.42578125" customWidth="1"/>
    <col min="5635" max="5635" width="37.7109375" customWidth="1"/>
    <col min="5636" max="5636" width="8.28515625" customWidth="1"/>
    <col min="5637" max="5637" width="11.42578125" customWidth="1"/>
    <col min="5638" max="5638" width="7.85546875" customWidth="1"/>
    <col min="5639" max="5639" width="11.85546875" customWidth="1"/>
    <col min="5640" max="5640" width="5.7109375" customWidth="1"/>
    <col min="5889" max="5889" width="6.85546875" customWidth="1"/>
    <col min="5890" max="5890" width="47.42578125" customWidth="1"/>
    <col min="5891" max="5891" width="37.7109375" customWidth="1"/>
    <col min="5892" max="5892" width="8.28515625" customWidth="1"/>
    <col min="5893" max="5893" width="11.42578125" customWidth="1"/>
    <col min="5894" max="5894" width="7.85546875" customWidth="1"/>
    <col min="5895" max="5895" width="11.85546875" customWidth="1"/>
    <col min="5896" max="5896" width="5.7109375" customWidth="1"/>
    <col min="6145" max="6145" width="6.85546875" customWidth="1"/>
    <col min="6146" max="6146" width="47.42578125" customWidth="1"/>
    <col min="6147" max="6147" width="37.7109375" customWidth="1"/>
    <col min="6148" max="6148" width="8.28515625" customWidth="1"/>
    <col min="6149" max="6149" width="11.42578125" customWidth="1"/>
    <col min="6150" max="6150" width="7.85546875" customWidth="1"/>
    <col min="6151" max="6151" width="11.85546875" customWidth="1"/>
    <col min="6152" max="6152" width="5.7109375" customWidth="1"/>
    <col min="6401" max="6401" width="6.85546875" customWidth="1"/>
    <col min="6402" max="6402" width="47.42578125" customWidth="1"/>
    <col min="6403" max="6403" width="37.7109375" customWidth="1"/>
    <col min="6404" max="6404" width="8.28515625" customWidth="1"/>
    <col min="6405" max="6405" width="11.42578125" customWidth="1"/>
    <col min="6406" max="6406" width="7.85546875" customWidth="1"/>
    <col min="6407" max="6407" width="11.85546875" customWidth="1"/>
    <col min="6408" max="6408" width="5.7109375" customWidth="1"/>
    <col min="6657" max="6657" width="6.85546875" customWidth="1"/>
    <col min="6658" max="6658" width="47.42578125" customWidth="1"/>
    <col min="6659" max="6659" width="37.7109375" customWidth="1"/>
    <col min="6660" max="6660" width="8.28515625" customWidth="1"/>
    <col min="6661" max="6661" width="11.42578125" customWidth="1"/>
    <col min="6662" max="6662" width="7.85546875" customWidth="1"/>
    <col min="6663" max="6663" width="11.85546875" customWidth="1"/>
    <col min="6664" max="6664" width="5.7109375" customWidth="1"/>
    <col min="6913" max="6913" width="6.85546875" customWidth="1"/>
    <col min="6914" max="6914" width="47.42578125" customWidth="1"/>
    <col min="6915" max="6915" width="37.7109375" customWidth="1"/>
    <col min="6916" max="6916" width="8.28515625" customWidth="1"/>
    <col min="6917" max="6917" width="11.42578125" customWidth="1"/>
    <col min="6918" max="6918" width="7.85546875" customWidth="1"/>
    <col min="6919" max="6919" width="11.85546875" customWidth="1"/>
    <col min="6920" max="6920" width="5.7109375" customWidth="1"/>
    <col min="7169" max="7169" width="6.85546875" customWidth="1"/>
    <col min="7170" max="7170" width="47.42578125" customWidth="1"/>
    <col min="7171" max="7171" width="37.7109375" customWidth="1"/>
    <col min="7172" max="7172" width="8.28515625" customWidth="1"/>
    <col min="7173" max="7173" width="11.42578125" customWidth="1"/>
    <col min="7174" max="7174" width="7.85546875" customWidth="1"/>
    <col min="7175" max="7175" width="11.85546875" customWidth="1"/>
    <col min="7176" max="7176" width="5.7109375" customWidth="1"/>
    <col min="7425" max="7425" width="6.85546875" customWidth="1"/>
    <col min="7426" max="7426" width="47.42578125" customWidth="1"/>
    <col min="7427" max="7427" width="37.7109375" customWidth="1"/>
    <col min="7428" max="7428" width="8.28515625" customWidth="1"/>
    <col min="7429" max="7429" width="11.42578125" customWidth="1"/>
    <col min="7430" max="7430" width="7.85546875" customWidth="1"/>
    <col min="7431" max="7431" width="11.85546875" customWidth="1"/>
    <col min="7432" max="7432" width="5.7109375" customWidth="1"/>
    <col min="7681" max="7681" width="6.85546875" customWidth="1"/>
    <col min="7682" max="7682" width="47.42578125" customWidth="1"/>
    <col min="7683" max="7683" width="37.7109375" customWidth="1"/>
    <col min="7684" max="7684" width="8.28515625" customWidth="1"/>
    <col min="7685" max="7685" width="11.42578125" customWidth="1"/>
    <col min="7686" max="7686" width="7.85546875" customWidth="1"/>
    <col min="7687" max="7687" width="11.85546875" customWidth="1"/>
    <col min="7688" max="7688" width="5.7109375" customWidth="1"/>
    <col min="7937" max="7937" width="6.85546875" customWidth="1"/>
    <col min="7938" max="7938" width="47.42578125" customWidth="1"/>
    <col min="7939" max="7939" width="37.7109375" customWidth="1"/>
    <col min="7940" max="7940" width="8.28515625" customWidth="1"/>
    <col min="7941" max="7941" width="11.42578125" customWidth="1"/>
    <col min="7942" max="7942" width="7.85546875" customWidth="1"/>
    <col min="7943" max="7943" width="11.85546875" customWidth="1"/>
    <col min="7944" max="7944" width="5.7109375" customWidth="1"/>
    <col min="8193" max="8193" width="6.85546875" customWidth="1"/>
    <col min="8194" max="8194" width="47.42578125" customWidth="1"/>
    <col min="8195" max="8195" width="37.7109375" customWidth="1"/>
    <col min="8196" max="8196" width="8.28515625" customWidth="1"/>
    <col min="8197" max="8197" width="11.42578125" customWidth="1"/>
    <col min="8198" max="8198" width="7.85546875" customWidth="1"/>
    <col min="8199" max="8199" width="11.85546875" customWidth="1"/>
    <col min="8200" max="8200" width="5.7109375" customWidth="1"/>
    <col min="8449" max="8449" width="6.85546875" customWidth="1"/>
    <col min="8450" max="8450" width="47.42578125" customWidth="1"/>
    <col min="8451" max="8451" width="37.7109375" customWidth="1"/>
    <col min="8452" max="8452" width="8.28515625" customWidth="1"/>
    <col min="8453" max="8453" width="11.42578125" customWidth="1"/>
    <col min="8454" max="8454" width="7.85546875" customWidth="1"/>
    <col min="8455" max="8455" width="11.85546875" customWidth="1"/>
    <col min="8456" max="8456" width="5.7109375" customWidth="1"/>
    <col min="8705" max="8705" width="6.85546875" customWidth="1"/>
    <col min="8706" max="8706" width="47.42578125" customWidth="1"/>
    <col min="8707" max="8707" width="37.7109375" customWidth="1"/>
    <col min="8708" max="8708" width="8.28515625" customWidth="1"/>
    <col min="8709" max="8709" width="11.42578125" customWidth="1"/>
    <col min="8710" max="8710" width="7.85546875" customWidth="1"/>
    <col min="8711" max="8711" width="11.85546875" customWidth="1"/>
    <col min="8712" max="8712" width="5.7109375" customWidth="1"/>
    <col min="8961" max="8961" width="6.85546875" customWidth="1"/>
    <col min="8962" max="8962" width="47.42578125" customWidth="1"/>
    <col min="8963" max="8963" width="37.7109375" customWidth="1"/>
    <col min="8964" max="8964" width="8.28515625" customWidth="1"/>
    <col min="8965" max="8965" width="11.42578125" customWidth="1"/>
    <col min="8966" max="8966" width="7.85546875" customWidth="1"/>
    <col min="8967" max="8967" width="11.85546875" customWidth="1"/>
    <col min="8968" max="8968" width="5.7109375" customWidth="1"/>
    <col min="9217" max="9217" width="6.85546875" customWidth="1"/>
    <col min="9218" max="9218" width="47.42578125" customWidth="1"/>
    <col min="9219" max="9219" width="37.7109375" customWidth="1"/>
    <col min="9220" max="9220" width="8.28515625" customWidth="1"/>
    <col min="9221" max="9221" width="11.42578125" customWidth="1"/>
    <col min="9222" max="9222" width="7.85546875" customWidth="1"/>
    <col min="9223" max="9223" width="11.85546875" customWidth="1"/>
    <col min="9224" max="9224" width="5.7109375" customWidth="1"/>
    <col min="9473" max="9473" width="6.85546875" customWidth="1"/>
    <col min="9474" max="9474" width="47.42578125" customWidth="1"/>
    <col min="9475" max="9475" width="37.7109375" customWidth="1"/>
    <col min="9476" max="9476" width="8.28515625" customWidth="1"/>
    <col min="9477" max="9477" width="11.42578125" customWidth="1"/>
    <col min="9478" max="9478" width="7.85546875" customWidth="1"/>
    <col min="9479" max="9479" width="11.85546875" customWidth="1"/>
    <col min="9480" max="9480" width="5.7109375" customWidth="1"/>
    <col min="9729" max="9729" width="6.85546875" customWidth="1"/>
    <col min="9730" max="9730" width="47.42578125" customWidth="1"/>
    <col min="9731" max="9731" width="37.7109375" customWidth="1"/>
    <col min="9732" max="9732" width="8.28515625" customWidth="1"/>
    <col min="9733" max="9733" width="11.42578125" customWidth="1"/>
    <col min="9734" max="9734" width="7.85546875" customWidth="1"/>
    <col min="9735" max="9735" width="11.85546875" customWidth="1"/>
    <col min="9736" max="9736" width="5.7109375" customWidth="1"/>
    <col min="9985" max="9985" width="6.85546875" customWidth="1"/>
    <col min="9986" max="9986" width="47.42578125" customWidth="1"/>
    <col min="9987" max="9987" width="37.7109375" customWidth="1"/>
    <col min="9988" max="9988" width="8.28515625" customWidth="1"/>
    <col min="9989" max="9989" width="11.42578125" customWidth="1"/>
    <col min="9990" max="9990" width="7.85546875" customWidth="1"/>
    <col min="9991" max="9991" width="11.85546875" customWidth="1"/>
    <col min="9992" max="9992" width="5.7109375" customWidth="1"/>
    <col min="10241" max="10241" width="6.85546875" customWidth="1"/>
    <col min="10242" max="10242" width="47.42578125" customWidth="1"/>
    <col min="10243" max="10243" width="37.7109375" customWidth="1"/>
    <col min="10244" max="10244" width="8.28515625" customWidth="1"/>
    <col min="10245" max="10245" width="11.42578125" customWidth="1"/>
    <col min="10246" max="10246" width="7.85546875" customWidth="1"/>
    <col min="10247" max="10247" width="11.85546875" customWidth="1"/>
    <col min="10248" max="10248" width="5.7109375" customWidth="1"/>
    <col min="10497" max="10497" width="6.85546875" customWidth="1"/>
    <col min="10498" max="10498" width="47.42578125" customWidth="1"/>
    <col min="10499" max="10499" width="37.7109375" customWidth="1"/>
    <col min="10500" max="10500" width="8.28515625" customWidth="1"/>
    <col min="10501" max="10501" width="11.42578125" customWidth="1"/>
    <col min="10502" max="10502" width="7.85546875" customWidth="1"/>
    <col min="10503" max="10503" width="11.85546875" customWidth="1"/>
    <col min="10504" max="10504" width="5.7109375" customWidth="1"/>
    <col min="10753" max="10753" width="6.85546875" customWidth="1"/>
    <col min="10754" max="10754" width="47.42578125" customWidth="1"/>
    <col min="10755" max="10755" width="37.7109375" customWidth="1"/>
    <col min="10756" max="10756" width="8.28515625" customWidth="1"/>
    <col min="10757" max="10757" width="11.42578125" customWidth="1"/>
    <col min="10758" max="10758" width="7.85546875" customWidth="1"/>
    <col min="10759" max="10759" width="11.85546875" customWidth="1"/>
    <col min="10760" max="10760" width="5.7109375" customWidth="1"/>
    <col min="11009" max="11009" width="6.85546875" customWidth="1"/>
    <col min="11010" max="11010" width="47.42578125" customWidth="1"/>
    <col min="11011" max="11011" width="37.7109375" customWidth="1"/>
    <col min="11012" max="11012" width="8.28515625" customWidth="1"/>
    <col min="11013" max="11013" width="11.42578125" customWidth="1"/>
    <col min="11014" max="11014" width="7.85546875" customWidth="1"/>
    <col min="11015" max="11015" width="11.85546875" customWidth="1"/>
    <col min="11016" max="11016" width="5.7109375" customWidth="1"/>
    <col min="11265" max="11265" width="6.85546875" customWidth="1"/>
    <col min="11266" max="11266" width="47.42578125" customWidth="1"/>
    <col min="11267" max="11267" width="37.7109375" customWidth="1"/>
    <col min="11268" max="11268" width="8.28515625" customWidth="1"/>
    <col min="11269" max="11269" width="11.42578125" customWidth="1"/>
    <col min="11270" max="11270" width="7.85546875" customWidth="1"/>
    <col min="11271" max="11271" width="11.85546875" customWidth="1"/>
    <col min="11272" max="11272" width="5.7109375" customWidth="1"/>
    <col min="11521" max="11521" width="6.85546875" customWidth="1"/>
    <col min="11522" max="11522" width="47.42578125" customWidth="1"/>
    <col min="11523" max="11523" width="37.7109375" customWidth="1"/>
    <col min="11524" max="11524" width="8.28515625" customWidth="1"/>
    <col min="11525" max="11525" width="11.42578125" customWidth="1"/>
    <col min="11526" max="11526" width="7.85546875" customWidth="1"/>
    <col min="11527" max="11527" width="11.85546875" customWidth="1"/>
    <col min="11528" max="11528" width="5.7109375" customWidth="1"/>
    <col min="11777" max="11777" width="6.85546875" customWidth="1"/>
    <col min="11778" max="11778" width="47.42578125" customWidth="1"/>
    <col min="11779" max="11779" width="37.7109375" customWidth="1"/>
    <col min="11780" max="11780" width="8.28515625" customWidth="1"/>
    <col min="11781" max="11781" width="11.42578125" customWidth="1"/>
    <col min="11782" max="11782" width="7.85546875" customWidth="1"/>
    <col min="11783" max="11783" width="11.85546875" customWidth="1"/>
    <col min="11784" max="11784" width="5.7109375" customWidth="1"/>
    <col min="12033" max="12033" width="6.85546875" customWidth="1"/>
    <col min="12034" max="12034" width="47.42578125" customWidth="1"/>
    <col min="12035" max="12035" width="37.7109375" customWidth="1"/>
    <col min="12036" max="12036" width="8.28515625" customWidth="1"/>
    <col min="12037" max="12037" width="11.42578125" customWidth="1"/>
    <col min="12038" max="12038" width="7.85546875" customWidth="1"/>
    <col min="12039" max="12039" width="11.85546875" customWidth="1"/>
    <col min="12040" max="12040" width="5.7109375" customWidth="1"/>
    <col min="12289" max="12289" width="6.85546875" customWidth="1"/>
    <col min="12290" max="12290" width="47.42578125" customWidth="1"/>
    <col min="12291" max="12291" width="37.7109375" customWidth="1"/>
    <col min="12292" max="12292" width="8.28515625" customWidth="1"/>
    <col min="12293" max="12293" width="11.42578125" customWidth="1"/>
    <col min="12294" max="12294" width="7.85546875" customWidth="1"/>
    <col min="12295" max="12295" width="11.85546875" customWidth="1"/>
    <col min="12296" max="12296" width="5.7109375" customWidth="1"/>
    <col min="12545" max="12545" width="6.85546875" customWidth="1"/>
    <col min="12546" max="12546" width="47.42578125" customWidth="1"/>
    <col min="12547" max="12547" width="37.7109375" customWidth="1"/>
    <col min="12548" max="12548" width="8.28515625" customWidth="1"/>
    <col min="12549" max="12549" width="11.42578125" customWidth="1"/>
    <col min="12550" max="12550" width="7.85546875" customWidth="1"/>
    <col min="12551" max="12551" width="11.85546875" customWidth="1"/>
    <col min="12552" max="12552" width="5.7109375" customWidth="1"/>
    <col min="12801" max="12801" width="6.85546875" customWidth="1"/>
    <col min="12802" max="12802" width="47.42578125" customWidth="1"/>
    <col min="12803" max="12803" width="37.7109375" customWidth="1"/>
    <col min="12804" max="12804" width="8.28515625" customWidth="1"/>
    <col min="12805" max="12805" width="11.42578125" customWidth="1"/>
    <col min="12806" max="12806" width="7.85546875" customWidth="1"/>
    <col min="12807" max="12807" width="11.85546875" customWidth="1"/>
    <col min="12808" max="12808" width="5.7109375" customWidth="1"/>
    <col min="13057" max="13057" width="6.85546875" customWidth="1"/>
    <col min="13058" max="13058" width="47.42578125" customWidth="1"/>
    <col min="13059" max="13059" width="37.7109375" customWidth="1"/>
    <col min="13060" max="13060" width="8.28515625" customWidth="1"/>
    <col min="13061" max="13061" width="11.42578125" customWidth="1"/>
    <col min="13062" max="13062" width="7.85546875" customWidth="1"/>
    <col min="13063" max="13063" width="11.85546875" customWidth="1"/>
    <col min="13064" max="13064" width="5.7109375" customWidth="1"/>
    <col min="13313" max="13313" width="6.85546875" customWidth="1"/>
    <col min="13314" max="13314" width="47.42578125" customWidth="1"/>
    <col min="13315" max="13315" width="37.7109375" customWidth="1"/>
    <col min="13316" max="13316" width="8.28515625" customWidth="1"/>
    <col min="13317" max="13317" width="11.42578125" customWidth="1"/>
    <col min="13318" max="13318" width="7.85546875" customWidth="1"/>
    <col min="13319" max="13319" width="11.85546875" customWidth="1"/>
    <col min="13320" max="13320" width="5.7109375" customWidth="1"/>
    <col min="13569" max="13569" width="6.85546875" customWidth="1"/>
    <col min="13570" max="13570" width="47.42578125" customWidth="1"/>
    <col min="13571" max="13571" width="37.7109375" customWidth="1"/>
    <col min="13572" max="13572" width="8.28515625" customWidth="1"/>
    <col min="13573" max="13573" width="11.42578125" customWidth="1"/>
    <col min="13574" max="13574" width="7.85546875" customWidth="1"/>
    <col min="13575" max="13575" width="11.85546875" customWidth="1"/>
    <col min="13576" max="13576" width="5.7109375" customWidth="1"/>
    <col min="13825" max="13825" width="6.85546875" customWidth="1"/>
    <col min="13826" max="13826" width="47.42578125" customWidth="1"/>
    <col min="13827" max="13827" width="37.7109375" customWidth="1"/>
    <col min="13828" max="13828" width="8.28515625" customWidth="1"/>
    <col min="13829" max="13829" width="11.42578125" customWidth="1"/>
    <col min="13830" max="13830" width="7.85546875" customWidth="1"/>
    <col min="13831" max="13831" width="11.85546875" customWidth="1"/>
    <col min="13832" max="13832" width="5.7109375" customWidth="1"/>
    <col min="14081" max="14081" width="6.85546875" customWidth="1"/>
    <col min="14082" max="14082" width="47.42578125" customWidth="1"/>
    <col min="14083" max="14083" width="37.7109375" customWidth="1"/>
    <col min="14084" max="14084" width="8.28515625" customWidth="1"/>
    <col min="14085" max="14085" width="11.42578125" customWidth="1"/>
    <col min="14086" max="14086" width="7.85546875" customWidth="1"/>
    <col min="14087" max="14087" width="11.85546875" customWidth="1"/>
    <col min="14088" max="14088" width="5.7109375" customWidth="1"/>
    <col min="14337" max="14337" width="6.85546875" customWidth="1"/>
    <col min="14338" max="14338" width="47.42578125" customWidth="1"/>
    <col min="14339" max="14339" width="37.7109375" customWidth="1"/>
    <col min="14340" max="14340" width="8.28515625" customWidth="1"/>
    <col min="14341" max="14341" width="11.42578125" customWidth="1"/>
    <col min="14342" max="14342" width="7.85546875" customWidth="1"/>
    <col min="14343" max="14343" width="11.85546875" customWidth="1"/>
    <col min="14344" max="14344" width="5.7109375" customWidth="1"/>
    <col min="14593" max="14593" width="6.85546875" customWidth="1"/>
    <col min="14594" max="14594" width="47.42578125" customWidth="1"/>
    <col min="14595" max="14595" width="37.7109375" customWidth="1"/>
    <col min="14596" max="14596" width="8.28515625" customWidth="1"/>
    <col min="14597" max="14597" width="11.42578125" customWidth="1"/>
    <col min="14598" max="14598" width="7.85546875" customWidth="1"/>
    <col min="14599" max="14599" width="11.85546875" customWidth="1"/>
    <col min="14600" max="14600" width="5.7109375" customWidth="1"/>
    <col min="14849" max="14849" width="6.85546875" customWidth="1"/>
    <col min="14850" max="14850" width="47.42578125" customWidth="1"/>
    <col min="14851" max="14851" width="37.7109375" customWidth="1"/>
    <col min="14852" max="14852" width="8.28515625" customWidth="1"/>
    <col min="14853" max="14853" width="11.42578125" customWidth="1"/>
    <col min="14854" max="14854" width="7.85546875" customWidth="1"/>
    <col min="14855" max="14855" width="11.85546875" customWidth="1"/>
    <col min="14856" max="14856" width="5.7109375" customWidth="1"/>
    <col min="15105" max="15105" width="6.85546875" customWidth="1"/>
    <col min="15106" max="15106" width="47.42578125" customWidth="1"/>
    <col min="15107" max="15107" width="37.7109375" customWidth="1"/>
    <col min="15108" max="15108" width="8.28515625" customWidth="1"/>
    <col min="15109" max="15109" width="11.42578125" customWidth="1"/>
    <col min="15110" max="15110" width="7.85546875" customWidth="1"/>
    <col min="15111" max="15111" width="11.85546875" customWidth="1"/>
    <col min="15112" max="15112" width="5.7109375" customWidth="1"/>
    <col min="15361" max="15361" width="6.85546875" customWidth="1"/>
    <col min="15362" max="15362" width="47.42578125" customWidth="1"/>
    <col min="15363" max="15363" width="37.7109375" customWidth="1"/>
    <col min="15364" max="15364" width="8.28515625" customWidth="1"/>
    <col min="15365" max="15365" width="11.42578125" customWidth="1"/>
    <col min="15366" max="15366" width="7.85546875" customWidth="1"/>
    <col min="15367" max="15367" width="11.85546875" customWidth="1"/>
    <col min="15368" max="15368" width="5.7109375" customWidth="1"/>
    <col min="15617" max="15617" width="6.85546875" customWidth="1"/>
    <col min="15618" max="15618" width="47.42578125" customWidth="1"/>
    <col min="15619" max="15619" width="37.7109375" customWidth="1"/>
    <col min="15620" max="15620" width="8.28515625" customWidth="1"/>
    <col min="15621" max="15621" width="11.42578125" customWidth="1"/>
    <col min="15622" max="15622" width="7.85546875" customWidth="1"/>
    <col min="15623" max="15623" width="11.85546875" customWidth="1"/>
    <col min="15624" max="15624" width="5.7109375" customWidth="1"/>
    <col min="15873" max="15873" width="6.85546875" customWidth="1"/>
    <col min="15874" max="15874" width="47.42578125" customWidth="1"/>
    <col min="15875" max="15875" width="37.7109375" customWidth="1"/>
    <col min="15876" max="15876" width="8.28515625" customWidth="1"/>
    <col min="15877" max="15877" width="11.42578125" customWidth="1"/>
    <col min="15878" max="15878" width="7.85546875" customWidth="1"/>
    <col min="15879" max="15879" width="11.85546875" customWidth="1"/>
    <col min="15880" max="15880" width="5.7109375" customWidth="1"/>
    <col min="16129" max="16129" width="6.85546875" customWidth="1"/>
    <col min="16130" max="16130" width="47.42578125" customWidth="1"/>
    <col min="16131" max="16131" width="37.7109375" customWidth="1"/>
    <col min="16132" max="16132" width="8.28515625" customWidth="1"/>
    <col min="16133" max="16133" width="11.42578125" customWidth="1"/>
    <col min="16134" max="16134" width="7.85546875" customWidth="1"/>
    <col min="16135" max="16135" width="11.85546875" customWidth="1"/>
    <col min="16136" max="16136" width="5.7109375" customWidth="1"/>
  </cols>
  <sheetData>
    <row r="1" spans="1:7" x14ac:dyDescent="0.25">
      <c r="A1" s="421"/>
      <c r="B1" s="422"/>
      <c r="C1" s="422"/>
      <c r="D1" s="422"/>
      <c r="E1" s="423" t="s">
        <v>1</v>
      </c>
      <c r="F1" s="424"/>
      <c r="G1" s="424"/>
    </row>
    <row r="2" spans="1:7" x14ac:dyDescent="0.25">
      <c r="A2" s="142" t="s">
        <v>402</v>
      </c>
      <c r="B2" s="143"/>
      <c r="C2" s="143"/>
      <c r="D2" s="143"/>
      <c r="E2" s="144"/>
      <c r="F2" s="145"/>
      <c r="G2" s="145"/>
    </row>
    <row r="3" spans="1:7" x14ac:dyDescent="0.25">
      <c r="A3" s="146"/>
      <c r="B3" s="143"/>
      <c r="C3" s="143"/>
      <c r="D3" s="143"/>
      <c r="E3" s="144"/>
      <c r="F3" s="145"/>
      <c r="G3" s="145"/>
    </row>
    <row r="4" spans="1:7" x14ac:dyDescent="0.25">
      <c r="A4" s="425" t="s">
        <v>403</v>
      </c>
      <c r="B4" s="426"/>
      <c r="C4" s="426"/>
      <c r="D4" s="426"/>
      <c r="E4" s="426"/>
      <c r="F4" s="426"/>
      <c r="G4" s="426"/>
    </row>
    <row r="5" spans="1:7" x14ac:dyDescent="0.25">
      <c r="A5" s="427" t="s">
        <v>6</v>
      </c>
      <c r="B5" s="428"/>
      <c r="C5" s="428"/>
      <c r="D5" s="428"/>
      <c r="E5" s="428"/>
      <c r="F5" s="428"/>
      <c r="G5" s="428"/>
    </row>
    <row r="6" spans="1:7" ht="29.25" customHeight="1" x14ac:dyDescent="0.25">
      <c r="A6" s="409" t="s">
        <v>7</v>
      </c>
      <c r="B6" s="410"/>
      <c r="C6" s="411"/>
      <c r="D6" s="411"/>
      <c r="E6" s="411"/>
      <c r="F6" s="411"/>
      <c r="G6" s="411"/>
    </row>
    <row r="7" spans="1:7" x14ac:dyDescent="0.25">
      <c r="A7" s="409" t="s">
        <v>8</v>
      </c>
      <c r="B7" s="410"/>
      <c r="C7" s="430"/>
      <c r="D7" s="411"/>
      <c r="E7" s="411"/>
      <c r="F7" s="411"/>
      <c r="G7" s="411"/>
    </row>
    <row r="8" spans="1:7" x14ac:dyDescent="0.25">
      <c r="A8" s="431" t="s">
        <v>117</v>
      </c>
      <c r="B8" s="432"/>
      <c r="C8" s="405"/>
      <c r="D8" s="405"/>
      <c r="E8" s="405"/>
      <c r="F8" s="405"/>
      <c r="G8" s="405"/>
    </row>
    <row r="9" spans="1:7" x14ac:dyDescent="0.25">
      <c r="A9" s="407" t="s">
        <v>10</v>
      </c>
      <c r="B9" s="408"/>
      <c r="C9" s="406"/>
      <c r="D9" s="406"/>
      <c r="E9" s="406"/>
      <c r="F9" s="406"/>
      <c r="G9" s="406"/>
    </row>
    <row r="10" spans="1:7" x14ac:dyDescent="0.25">
      <c r="A10" s="407" t="s">
        <v>150</v>
      </c>
      <c r="B10" s="408"/>
      <c r="C10" s="406"/>
      <c r="D10" s="406"/>
      <c r="E10" s="406"/>
      <c r="F10" s="406"/>
      <c r="G10" s="406"/>
    </row>
    <row r="11" spans="1:7" ht="23.25" customHeight="1" x14ac:dyDescent="0.25">
      <c r="A11" s="409" t="s">
        <v>119</v>
      </c>
      <c r="B11" s="410"/>
      <c r="C11" s="411" t="s">
        <v>404</v>
      </c>
      <c r="D11" s="411"/>
      <c r="E11" s="411"/>
      <c r="F11" s="411"/>
      <c r="G11" s="411"/>
    </row>
    <row r="12" spans="1:7" x14ac:dyDescent="0.25">
      <c r="A12" s="147"/>
      <c r="B12" s="148"/>
      <c r="C12" s="401" t="s">
        <v>405</v>
      </c>
      <c r="D12" s="401"/>
      <c r="E12" s="401"/>
      <c r="F12" s="401"/>
      <c r="G12" s="401"/>
    </row>
    <row r="13" spans="1:7" x14ac:dyDescent="0.25">
      <c r="A13" s="429"/>
      <c r="B13" s="429"/>
      <c r="C13" s="429"/>
      <c r="D13" s="429"/>
      <c r="E13" s="429"/>
      <c r="F13" s="429"/>
      <c r="G13" s="429"/>
    </row>
    <row r="14" spans="1:7" s="229" customFormat="1" ht="24" x14ac:dyDescent="0.25">
      <c r="A14" s="228" t="s">
        <v>16</v>
      </c>
      <c r="B14" s="228" t="s">
        <v>406</v>
      </c>
      <c r="C14" s="228" t="s">
        <v>407</v>
      </c>
      <c r="D14" s="228" t="s">
        <v>457</v>
      </c>
      <c r="E14" s="228" t="s">
        <v>460</v>
      </c>
      <c r="F14" s="228" t="s">
        <v>458</v>
      </c>
      <c r="G14" s="228" t="s">
        <v>459</v>
      </c>
    </row>
    <row r="15" spans="1:7" s="5" customFormat="1" x14ac:dyDescent="0.25">
      <c r="A15" s="227">
        <v>1</v>
      </c>
      <c r="B15" s="227">
        <v>2</v>
      </c>
      <c r="C15" s="227">
        <v>3</v>
      </c>
      <c r="D15" s="227">
        <v>4</v>
      </c>
      <c r="E15" s="227">
        <v>5</v>
      </c>
      <c r="F15" s="227">
        <v>6</v>
      </c>
      <c r="G15" s="227">
        <v>7</v>
      </c>
    </row>
    <row r="16" spans="1:7" x14ac:dyDescent="0.25">
      <c r="A16" s="402" t="s">
        <v>475</v>
      </c>
      <c r="B16" s="402"/>
      <c r="C16" s="402"/>
      <c r="D16" s="402"/>
      <c r="E16" s="402"/>
      <c r="F16" s="402"/>
      <c r="G16" s="402"/>
    </row>
    <row r="17" spans="1:11" s="230" customFormat="1" ht="147" customHeight="1" x14ac:dyDescent="0.25">
      <c r="A17" s="236">
        <v>1</v>
      </c>
      <c r="B17" s="237" t="s">
        <v>462</v>
      </c>
      <c r="C17" s="238" t="s">
        <v>464</v>
      </c>
      <c r="D17" s="236" t="s">
        <v>461</v>
      </c>
      <c r="E17" s="239">
        <f>32.29*1.15</f>
        <v>37.133499999999998</v>
      </c>
      <c r="F17" s="236">
        <f>56343.6/100</f>
        <v>563.43600000000004</v>
      </c>
      <c r="G17" s="240">
        <f>37.13*563.436</f>
        <v>20920.378680000002</v>
      </c>
      <c r="I17" s="234"/>
    </row>
    <row r="18" spans="1:11" s="5" customFormat="1" ht="132" x14ac:dyDescent="0.25">
      <c r="A18" s="236">
        <v>2</v>
      </c>
      <c r="B18" s="237" t="s">
        <v>463</v>
      </c>
      <c r="C18" s="238" t="s">
        <v>467</v>
      </c>
      <c r="D18" s="236" t="s">
        <v>465</v>
      </c>
      <c r="E18" s="239">
        <f>3.36*1.15</f>
        <v>3.8639999999999994</v>
      </c>
      <c r="F18" s="236">
        <v>100</v>
      </c>
      <c r="G18" s="240">
        <f>3.86*100</f>
        <v>386</v>
      </c>
    </row>
    <row r="19" spans="1:11" s="5" customFormat="1" ht="188.25" customHeight="1" x14ac:dyDescent="0.25">
      <c r="A19" s="236">
        <v>3</v>
      </c>
      <c r="B19" s="237" t="s">
        <v>466</v>
      </c>
      <c r="C19" s="238" t="s">
        <v>468</v>
      </c>
      <c r="D19" s="236" t="s">
        <v>465</v>
      </c>
      <c r="E19" s="239">
        <f>3.04*1.15*1.15</f>
        <v>4.0203999999999995</v>
      </c>
      <c r="F19" s="236">
        <v>100</v>
      </c>
      <c r="G19" s="240">
        <f>4.02*100</f>
        <v>401.99999999999994</v>
      </c>
    </row>
    <row r="20" spans="1:11" s="230" customFormat="1" ht="138" customHeight="1" x14ac:dyDescent="0.25">
      <c r="A20" s="236">
        <v>4</v>
      </c>
      <c r="B20" s="237" t="s">
        <v>408</v>
      </c>
      <c r="C20" s="238" t="s">
        <v>469</v>
      </c>
      <c r="D20" s="236" t="s">
        <v>465</v>
      </c>
      <c r="E20" s="239">
        <f>6.48*1.15</f>
        <v>7.452</v>
      </c>
      <c r="F20" s="236">
        <v>10</v>
      </c>
      <c r="G20" s="240">
        <f>7.45*10</f>
        <v>74.5</v>
      </c>
    </row>
    <row r="21" spans="1:11" s="230" customFormat="1" ht="36.75" customHeight="1" x14ac:dyDescent="0.25">
      <c r="A21" s="236">
        <v>5</v>
      </c>
      <c r="B21" s="237" t="s">
        <v>470</v>
      </c>
      <c r="C21" s="433" t="s">
        <v>471</v>
      </c>
      <c r="D21" s="433"/>
      <c r="E21" s="433"/>
      <c r="F21" s="433"/>
      <c r="G21" s="240">
        <f>1673.63+51.75</f>
        <v>1725.38</v>
      </c>
      <c r="I21" s="234"/>
      <c r="K21" s="235"/>
    </row>
    <row r="22" spans="1:11" x14ac:dyDescent="0.25">
      <c r="A22" s="241"/>
      <c r="B22" s="434" t="s">
        <v>409</v>
      </c>
      <c r="C22" s="435"/>
      <c r="D22" s="435"/>
      <c r="E22" s="435"/>
      <c r="F22" s="436"/>
      <c r="G22" s="240">
        <f>SUM(G17:G21)</f>
        <v>23508.258680000003</v>
      </c>
      <c r="I22" s="242"/>
    </row>
    <row r="23" spans="1:11" s="5" customFormat="1" ht="60" customHeight="1" x14ac:dyDescent="0.25">
      <c r="A23" s="232"/>
      <c r="B23" s="231" t="s">
        <v>472</v>
      </c>
      <c r="C23" s="412" t="s">
        <v>473</v>
      </c>
      <c r="D23" s="413"/>
      <c r="E23" s="413"/>
      <c r="F23" s="414"/>
      <c r="G23" s="233">
        <f>G22*28.5</f>
        <v>669985.37238000007</v>
      </c>
    </row>
    <row r="24" spans="1:11" ht="20.25" customHeight="1" x14ac:dyDescent="0.25">
      <c r="A24" s="437" t="s">
        <v>474</v>
      </c>
      <c r="B24" s="438"/>
      <c r="C24" s="438"/>
      <c r="D24" s="438"/>
      <c r="E24" s="438"/>
      <c r="F24" s="438"/>
      <c r="G24" s="439"/>
    </row>
    <row r="25" spans="1:11" s="5" customFormat="1" ht="188.25" customHeight="1" x14ac:dyDescent="0.25">
      <c r="A25" s="236">
        <v>6</v>
      </c>
      <c r="B25" s="237" t="str">
        <f>B17</f>
        <v>Инженерное обследование (здание 2 этажное 3-я категория сложности здания и 3-я категория сложности работ)
Объем: 81х37,6х18,5=56343,6 м3</v>
      </c>
      <c r="C25" s="237" t="s">
        <v>476</v>
      </c>
      <c r="D25" s="236" t="s">
        <v>461</v>
      </c>
      <c r="E25" s="239">
        <f>27.78*1.15</f>
        <v>31.946999999999999</v>
      </c>
      <c r="F25" s="236">
        <f>F17</f>
        <v>563.43600000000004</v>
      </c>
      <c r="G25" s="240">
        <f>31.95*563.436</f>
        <v>18001.780200000001</v>
      </c>
    </row>
    <row r="26" spans="1:11" x14ac:dyDescent="0.25">
      <c r="A26" s="241"/>
      <c r="B26" s="434" t="s">
        <v>410</v>
      </c>
      <c r="C26" s="435"/>
      <c r="D26" s="435"/>
      <c r="E26" s="435"/>
      <c r="F26" s="436"/>
      <c r="G26" s="240">
        <f>G25</f>
        <v>18001.780200000001</v>
      </c>
      <c r="I26" s="242"/>
    </row>
    <row r="27" spans="1:11" s="5" customFormat="1" ht="60" customHeight="1" x14ac:dyDescent="0.25">
      <c r="A27" s="232"/>
      <c r="B27" s="231" t="s">
        <v>472</v>
      </c>
      <c r="C27" s="412" t="s">
        <v>473</v>
      </c>
      <c r="D27" s="413"/>
      <c r="E27" s="413"/>
      <c r="F27" s="414"/>
      <c r="G27" s="233">
        <f>G26*28.5</f>
        <v>513050.73570000002</v>
      </c>
    </row>
    <row r="28" spans="1:11" x14ac:dyDescent="0.25">
      <c r="A28" s="241"/>
      <c r="B28" s="415" t="s">
        <v>477</v>
      </c>
      <c r="C28" s="416"/>
      <c r="D28" s="416"/>
      <c r="E28" s="416"/>
      <c r="F28" s="417"/>
      <c r="G28" s="243">
        <f>G27+G23</f>
        <v>1183036.1080800002</v>
      </c>
      <c r="I28" s="242"/>
    </row>
    <row r="29" spans="1:11" x14ac:dyDescent="0.25">
      <c r="A29" s="241"/>
      <c r="B29" s="418" t="s">
        <v>479</v>
      </c>
      <c r="C29" s="419"/>
      <c r="D29" s="419"/>
      <c r="E29" s="419"/>
      <c r="F29" s="420"/>
      <c r="G29" s="240">
        <f>G28*18%</f>
        <v>212946.49945440001</v>
      </c>
      <c r="I29" s="242"/>
    </row>
    <row r="30" spans="1:11" x14ac:dyDescent="0.25">
      <c r="A30" s="241"/>
      <c r="B30" s="415" t="s">
        <v>478</v>
      </c>
      <c r="C30" s="416"/>
      <c r="D30" s="416"/>
      <c r="E30" s="416"/>
      <c r="F30" s="417"/>
      <c r="G30" s="243">
        <f>G29+G28</f>
        <v>1395982.6075344002</v>
      </c>
      <c r="I30" s="242"/>
    </row>
    <row r="31" spans="1:11" x14ac:dyDescent="0.25">
      <c r="A31" s="149"/>
      <c r="B31" s="149"/>
      <c r="C31" s="149"/>
      <c r="D31" s="149"/>
      <c r="E31" s="149"/>
      <c r="F31" s="149"/>
      <c r="G31" s="149"/>
    </row>
    <row r="32" spans="1:11" x14ac:dyDescent="0.25">
      <c r="A32" s="149"/>
      <c r="B32" s="149"/>
      <c r="C32" s="149"/>
      <c r="D32" s="149"/>
      <c r="E32" s="149"/>
      <c r="F32" s="149"/>
      <c r="G32" s="149"/>
    </row>
    <row r="33" spans="1:7" x14ac:dyDescent="0.25">
      <c r="A33" s="405" t="s">
        <v>480</v>
      </c>
      <c r="B33" s="405"/>
      <c r="C33" s="405"/>
      <c r="D33" s="405"/>
      <c r="E33" s="405"/>
      <c r="F33" s="405"/>
      <c r="G33" s="405"/>
    </row>
    <row r="34" spans="1:7" x14ac:dyDescent="0.25">
      <c r="A34" s="150"/>
      <c r="B34" s="150"/>
      <c r="C34" s="150"/>
      <c r="D34" s="151"/>
      <c r="E34" s="150"/>
      <c r="F34" s="150"/>
      <c r="G34" s="150"/>
    </row>
    <row r="35" spans="1:7" x14ac:dyDescent="0.25">
      <c r="A35" s="403" t="s">
        <v>146</v>
      </c>
      <c r="B35" s="403"/>
      <c r="C35" s="403"/>
      <c r="D35" s="403"/>
      <c r="E35" s="404"/>
      <c r="F35" s="404"/>
      <c r="G35" s="404"/>
    </row>
    <row r="36" spans="1:7" x14ac:dyDescent="0.25">
      <c r="A36" s="403" t="s">
        <v>147</v>
      </c>
      <c r="B36" s="403"/>
      <c r="C36" s="403"/>
      <c r="D36" s="403"/>
      <c r="E36" s="404"/>
      <c r="F36" s="404"/>
      <c r="G36" s="404"/>
    </row>
  </sheetData>
  <mergeCells count="33">
    <mergeCell ref="B26:F26"/>
    <mergeCell ref="A7:B7"/>
    <mergeCell ref="C7:G7"/>
    <mergeCell ref="A8:B8"/>
    <mergeCell ref="C8:G8"/>
    <mergeCell ref="A9:B9"/>
    <mergeCell ref="A1:D1"/>
    <mergeCell ref="E1:G1"/>
    <mergeCell ref="A4:G4"/>
    <mergeCell ref="A5:G5"/>
    <mergeCell ref="A6:B6"/>
    <mergeCell ref="C6:G6"/>
    <mergeCell ref="C9:G9"/>
    <mergeCell ref="A10:B10"/>
    <mergeCell ref="C10:G10"/>
    <mergeCell ref="A11:B11"/>
    <mergeCell ref="C11:G11"/>
    <mergeCell ref="C12:G12"/>
    <mergeCell ref="A16:G16"/>
    <mergeCell ref="A35:D35"/>
    <mergeCell ref="E35:G35"/>
    <mergeCell ref="A36:D36"/>
    <mergeCell ref="E36:G36"/>
    <mergeCell ref="A33:G33"/>
    <mergeCell ref="C27:F27"/>
    <mergeCell ref="B28:F28"/>
    <mergeCell ref="B30:F30"/>
    <mergeCell ref="B29:F29"/>
    <mergeCell ref="A13:G13"/>
    <mergeCell ref="C21:F21"/>
    <mergeCell ref="B22:F22"/>
    <mergeCell ref="C23:F23"/>
    <mergeCell ref="A24:G2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31" zoomScale="115" zoomScaleNormal="115" workbookViewId="0">
      <selection activeCell="C6" sqref="C6:F9"/>
    </sheetView>
  </sheetViews>
  <sheetFormatPr defaultRowHeight="15" x14ac:dyDescent="0.25"/>
  <cols>
    <col min="1" max="1" width="6.28515625" customWidth="1"/>
    <col min="2" max="2" width="21.28515625" customWidth="1"/>
    <col min="3" max="3" width="38.5703125" customWidth="1"/>
    <col min="4" max="4" width="10.140625" customWidth="1"/>
    <col min="5" max="5" width="18.140625" customWidth="1"/>
    <col min="6" max="6" width="13.140625" customWidth="1"/>
    <col min="7" max="7" width="13" style="164" customWidth="1"/>
    <col min="8" max="8" width="9.140625" style="164"/>
    <col min="257" max="257" width="6.28515625" customWidth="1"/>
    <col min="258" max="258" width="21.28515625" customWidth="1"/>
    <col min="259" max="259" width="38.5703125" customWidth="1"/>
    <col min="260" max="260" width="8.85546875" customWidth="1"/>
    <col min="261" max="261" width="18.140625" customWidth="1"/>
    <col min="262" max="262" width="13.140625" customWidth="1"/>
    <col min="263" max="263" width="13" customWidth="1"/>
    <col min="513" max="513" width="6.28515625" customWidth="1"/>
    <col min="514" max="514" width="21.28515625" customWidth="1"/>
    <col min="515" max="515" width="38.5703125" customWidth="1"/>
    <col min="516" max="516" width="8.85546875" customWidth="1"/>
    <col min="517" max="517" width="18.140625" customWidth="1"/>
    <col min="518" max="518" width="13.140625" customWidth="1"/>
    <col min="519" max="519" width="13" customWidth="1"/>
    <col min="769" max="769" width="6.28515625" customWidth="1"/>
    <col min="770" max="770" width="21.28515625" customWidth="1"/>
    <col min="771" max="771" width="38.5703125" customWidth="1"/>
    <col min="772" max="772" width="8.85546875" customWidth="1"/>
    <col min="773" max="773" width="18.140625" customWidth="1"/>
    <col min="774" max="774" width="13.140625" customWidth="1"/>
    <col min="775" max="775" width="13" customWidth="1"/>
    <col min="1025" max="1025" width="6.28515625" customWidth="1"/>
    <col min="1026" max="1026" width="21.28515625" customWidth="1"/>
    <col min="1027" max="1027" width="38.5703125" customWidth="1"/>
    <col min="1028" max="1028" width="8.85546875" customWidth="1"/>
    <col min="1029" max="1029" width="18.140625" customWidth="1"/>
    <col min="1030" max="1030" width="13.140625" customWidth="1"/>
    <col min="1031" max="1031" width="13" customWidth="1"/>
    <col min="1281" max="1281" width="6.28515625" customWidth="1"/>
    <col min="1282" max="1282" width="21.28515625" customWidth="1"/>
    <col min="1283" max="1283" width="38.5703125" customWidth="1"/>
    <col min="1284" max="1284" width="8.85546875" customWidth="1"/>
    <col min="1285" max="1285" width="18.140625" customWidth="1"/>
    <col min="1286" max="1286" width="13.140625" customWidth="1"/>
    <col min="1287" max="1287" width="13" customWidth="1"/>
    <col min="1537" max="1537" width="6.28515625" customWidth="1"/>
    <col min="1538" max="1538" width="21.28515625" customWidth="1"/>
    <col min="1539" max="1539" width="38.5703125" customWidth="1"/>
    <col min="1540" max="1540" width="8.85546875" customWidth="1"/>
    <col min="1541" max="1541" width="18.140625" customWidth="1"/>
    <col min="1542" max="1542" width="13.140625" customWidth="1"/>
    <col min="1543" max="1543" width="13" customWidth="1"/>
    <col min="1793" max="1793" width="6.28515625" customWidth="1"/>
    <col min="1794" max="1794" width="21.28515625" customWidth="1"/>
    <col min="1795" max="1795" width="38.5703125" customWidth="1"/>
    <col min="1796" max="1796" width="8.85546875" customWidth="1"/>
    <col min="1797" max="1797" width="18.140625" customWidth="1"/>
    <col min="1798" max="1798" width="13.140625" customWidth="1"/>
    <col min="1799" max="1799" width="13" customWidth="1"/>
    <col min="2049" max="2049" width="6.28515625" customWidth="1"/>
    <col min="2050" max="2050" width="21.28515625" customWidth="1"/>
    <col min="2051" max="2051" width="38.5703125" customWidth="1"/>
    <col min="2052" max="2052" width="8.85546875" customWidth="1"/>
    <col min="2053" max="2053" width="18.140625" customWidth="1"/>
    <col min="2054" max="2054" width="13.140625" customWidth="1"/>
    <col min="2055" max="2055" width="13" customWidth="1"/>
    <col min="2305" max="2305" width="6.28515625" customWidth="1"/>
    <col min="2306" max="2306" width="21.28515625" customWidth="1"/>
    <col min="2307" max="2307" width="38.5703125" customWidth="1"/>
    <col min="2308" max="2308" width="8.85546875" customWidth="1"/>
    <col min="2309" max="2309" width="18.140625" customWidth="1"/>
    <col min="2310" max="2310" width="13.140625" customWidth="1"/>
    <col min="2311" max="2311" width="13" customWidth="1"/>
    <col min="2561" max="2561" width="6.28515625" customWidth="1"/>
    <col min="2562" max="2562" width="21.28515625" customWidth="1"/>
    <col min="2563" max="2563" width="38.5703125" customWidth="1"/>
    <col min="2564" max="2564" width="8.85546875" customWidth="1"/>
    <col min="2565" max="2565" width="18.140625" customWidth="1"/>
    <col min="2566" max="2566" width="13.140625" customWidth="1"/>
    <col min="2567" max="2567" width="13" customWidth="1"/>
    <col min="2817" max="2817" width="6.28515625" customWidth="1"/>
    <col min="2818" max="2818" width="21.28515625" customWidth="1"/>
    <col min="2819" max="2819" width="38.5703125" customWidth="1"/>
    <col min="2820" max="2820" width="8.85546875" customWidth="1"/>
    <col min="2821" max="2821" width="18.140625" customWidth="1"/>
    <col min="2822" max="2822" width="13.140625" customWidth="1"/>
    <col min="2823" max="2823" width="13" customWidth="1"/>
    <col min="3073" max="3073" width="6.28515625" customWidth="1"/>
    <col min="3074" max="3074" width="21.28515625" customWidth="1"/>
    <col min="3075" max="3075" width="38.5703125" customWidth="1"/>
    <col min="3076" max="3076" width="8.85546875" customWidth="1"/>
    <col min="3077" max="3077" width="18.140625" customWidth="1"/>
    <col min="3078" max="3078" width="13.140625" customWidth="1"/>
    <col min="3079" max="3079" width="13" customWidth="1"/>
    <col min="3329" max="3329" width="6.28515625" customWidth="1"/>
    <col min="3330" max="3330" width="21.28515625" customWidth="1"/>
    <col min="3331" max="3331" width="38.5703125" customWidth="1"/>
    <col min="3332" max="3332" width="8.85546875" customWidth="1"/>
    <col min="3333" max="3333" width="18.140625" customWidth="1"/>
    <col min="3334" max="3334" width="13.140625" customWidth="1"/>
    <col min="3335" max="3335" width="13" customWidth="1"/>
    <col min="3585" max="3585" width="6.28515625" customWidth="1"/>
    <col min="3586" max="3586" width="21.28515625" customWidth="1"/>
    <col min="3587" max="3587" width="38.5703125" customWidth="1"/>
    <col min="3588" max="3588" width="8.85546875" customWidth="1"/>
    <col min="3589" max="3589" width="18.140625" customWidth="1"/>
    <col min="3590" max="3590" width="13.140625" customWidth="1"/>
    <col min="3591" max="3591" width="13" customWidth="1"/>
    <col min="3841" max="3841" width="6.28515625" customWidth="1"/>
    <col min="3842" max="3842" width="21.28515625" customWidth="1"/>
    <col min="3843" max="3843" width="38.5703125" customWidth="1"/>
    <col min="3844" max="3844" width="8.85546875" customWidth="1"/>
    <col min="3845" max="3845" width="18.140625" customWidth="1"/>
    <col min="3846" max="3846" width="13.140625" customWidth="1"/>
    <col min="3847" max="3847" width="13" customWidth="1"/>
    <col min="4097" max="4097" width="6.28515625" customWidth="1"/>
    <col min="4098" max="4098" width="21.28515625" customWidth="1"/>
    <col min="4099" max="4099" width="38.5703125" customWidth="1"/>
    <col min="4100" max="4100" width="8.85546875" customWidth="1"/>
    <col min="4101" max="4101" width="18.140625" customWidth="1"/>
    <col min="4102" max="4102" width="13.140625" customWidth="1"/>
    <col min="4103" max="4103" width="13" customWidth="1"/>
    <col min="4353" max="4353" width="6.28515625" customWidth="1"/>
    <col min="4354" max="4354" width="21.28515625" customWidth="1"/>
    <col min="4355" max="4355" width="38.5703125" customWidth="1"/>
    <col min="4356" max="4356" width="8.85546875" customWidth="1"/>
    <col min="4357" max="4357" width="18.140625" customWidth="1"/>
    <col min="4358" max="4358" width="13.140625" customWidth="1"/>
    <col min="4359" max="4359" width="13" customWidth="1"/>
    <col min="4609" max="4609" width="6.28515625" customWidth="1"/>
    <col min="4610" max="4610" width="21.28515625" customWidth="1"/>
    <col min="4611" max="4611" width="38.5703125" customWidth="1"/>
    <col min="4612" max="4612" width="8.85546875" customWidth="1"/>
    <col min="4613" max="4613" width="18.140625" customWidth="1"/>
    <col min="4614" max="4614" width="13.140625" customWidth="1"/>
    <col min="4615" max="4615" width="13" customWidth="1"/>
    <col min="4865" max="4865" width="6.28515625" customWidth="1"/>
    <col min="4866" max="4866" width="21.28515625" customWidth="1"/>
    <col min="4867" max="4867" width="38.5703125" customWidth="1"/>
    <col min="4868" max="4868" width="8.85546875" customWidth="1"/>
    <col min="4869" max="4869" width="18.140625" customWidth="1"/>
    <col min="4870" max="4870" width="13.140625" customWidth="1"/>
    <col min="4871" max="4871" width="13" customWidth="1"/>
    <col min="5121" max="5121" width="6.28515625" customWidth="1"/>
    <col min="5122" max="5122" width="21.28515625" customWidth="1"/>
    <col min="5123" max="5123" width="38.5703125" customWidth="1"/>
    <col min="5124" max="5124" width="8.85546875" customWidth="1"/>
    <col min="5125" max="5125" width="18.140625" customWidth="1"/>
    <col min="5126" max="5126" width="13.140625" customWidth="1"/>
    <col min="5127" max="5127" width="13" customWidth="1"/>
    <col min="5377" max="5377" width="6.28515625" customWidth="1"/>
    <col min="5378" max="5378" width="21.28515625" customWidth="1"/>
    <col min="5379" max="5379" width="38.5703125" customWidth="1"/>
    <col min="5380" max="5380" width="8.85546875" customWidth="1"/>
    <col min="5381" max="5381" width="18.140625" customWidth="1"/>
    <col min="5382" max="5382" width="13.140625" customWidth="1"/>
    <col min="5383" max="5383" width="13" customWidth="1"/>
    <col min="5633" max="5633" width="6.28515625" customWidth="1"/>
    <col min="5634" max="5634" width="21.28515625" customWidth="1"/>
    <col min="5635" max="5635" width="38.5703125" customWidth="1"/>
    <col min="5636" max="5636" width="8.85546875" customWidth="1"/>
    <col min="5637" max="5637" width="18.140625" customWidth="1"/>
    <col min="5638" max="5638" width="13.140625" customWidth="1"/>
    <col min="5639" max="5639" width="13" customWidth="1"/>
    <col min="5889" max="5889" width="6.28515625" customWidth="1"/>
    <col min="5890" max="5890" width="21.28515625" customWidth="1"/>
    <col min="5891" max="5891" width="38.5703125" customWidth="1"/>
    <col min="5892" max="5892" width="8.85546875" customWidth="1"/>
    <col min="5893" max="5893" width="18.140625" customWidth="1"/>
    <col min="5894" max="5894" width="13.140625" customWidth="1"/>
    <col min="5895" max="5895" width="13" customWidth="1"/>
    <col min="6145" max="6145" width="6.28515625" customWidth="1"/>
    <col min="6146" max="6146" width="21.28515625" customWidth="1"/>
    <col min="6147" max="6147" width="38.5703125" customWidth="1"/>
    <col min="6148" max="6148" width="8.85546875" customWidth="1"/>
    <col min="6149" max="6149" width="18.140625" customWidth="1"/>
    <col min="6150" max="6150" width="13.140625" customWidth="1"/>
    <col min="6151" max="6151" width="13" customWidth="1"/>
    <col min="6401" max="6401" width="6.28515625" customWidth="1"/>
    <col min="6402" max="6402" width="21.28515625" customWidth="1"/>
    <col min="6403" max="6403" width="38.5703125" customWidth="1"/>
    <col min="6404" max="6404" width="8.85546875" customWidth="1"/>
    <col min="6405" max="6405" width="18.140625" customWidth="1"/>
    <col min="6406" max="6406" width="13.140625" customWidth="1"/>
    <col min="6407" max="6407" width="13" customWidth="1"/>
    <col min="6657" max="6657" width="6.28515625" customWidth="1"/>
    <col min="6658" max="6658" width="21.28515625" customWidth="1"/>
    <col min="6659" max="6659" width="38.5703125" customWidth="1"/>
    <col min="6660" max="6660" width="8.85546875" customWidth="1"/>
    <col min="6661" max="6661" width="18.140625" customWidth="1"/>
    <col min="6662" max="6662" width="13.140625" customWidth="1"/>
    <col min="6663" max="6663" width="13" customWidth="1"/>
    <col min="6913" max="6913" width="6.28515625" customWidth="1"/>
    <col min="6914" max="6914" width="21.28515625" customWidth="1"/>
    <col min="6915" max="6915" width="38.5703125" customWidth="1"/>
    <col min="6916" max="6916" width="8.85546875" customWidth="1"/>
    <col min="6917" max="6917" width="18.140625" customWidth="1"/>
    <col min="6918" max="6918" width="13.140625" customWidth="1"/>
    <col min="6919" max="6919" width="13" customWidth="1"/>
    <col min="7169" max="7169" width="6.28515625" customWidth="1"/>
    <col min="7170" max="7170" width="21.28515625" customWidth="1"/>
    <col min="7171" max="7171" width="38.5703125" customWidth="1"/>
    <col min="7172" max="7172" width="8.85546875" customWidth="1"/>
    <col min="7173" max="7173" width="18.140625" customWidth="1"/>
    <col min="7174" max="7174" width="13.140625" customWidth="1"/>
    <col min="7175" max="7175" width="13" customWidth="1"/>
    <col min="7425" max="7425" width="6.28515625" customWidth="1"/>
    <col min="7426" max="7426" width="21.28515625" customWidth="1"/>
    <col min="7427" max="7427" width="38.5703125" customWidth="1"/>
    <col min="7428" max="7428" width="8.85546875" customWidth="1"/>
    <col min="7429" max="7429" width="18.140625" customWidth="1"/>
    <col min="7430" max="7430" width="13.140625" customWidth="1"/>
    <col min="7431" max="7431" width="13" customWidth="1"/>
    <col min="7681" max="7681" width="6.28515625" customWidth="1"/>
    <col min="7682" max="7682" width="21.28515625" customWidth="1"/>
    <col min="7683" max="7683" width="38.5703125" customWidth="1"/>
    <col min="7684" max="7684" width="8.85546875" customWidth="1"/>
    <col min="7685" max="7685" width="18.140625" customWidth="1"/>
    <col min="7686" max="7686" width="13.140625" customWidth="1"/>
    <col min="7687" max="7687" width="13" customWidth="1"/>
    <col min="7937" max="7937" width="6.28515625" customWidth="1"/>
    <col min="7938" max="7938" width="21.28515625" customWidth="1"/>
    <col min="7939" max="7939" width="38.5703125" customWidth="1"/>
    <col min="7940" max="7940" width="8.85546875" customWidth="1"/>
    <col min="7941" max="7941" width="18.140625" customWidth="1"/>
    <col min="7942" max="7942" width="13.140625" customWidth="1"/>
    <col min="7943" max="7943" width="13" customWidth="1"/>
    <col min="8193" max="8193" width="6.28515625" customWidth="1"/>
    <col min="8194" max="8194" width="21.28515625" customWidth="1"/>
    <col min="8195" max="8195" width="38.5703125" customWidth="1"/>
    <col min="8196" max="8196" width="8.85546875" customWidth="1"/>
    <col min="8197" max="8197" width="18.140625" customWidth="1"/>
    <col min="8198" max="8198" width="13.140625" customWidth="1"/>
    <col min="8199" max="8199" width="13" customWidth="1"/>
    <col min="8449" max="8449" width="6.28515625" customWidth="1"/>
    <col min="8450" max="8450" width="21.28515625" customWidth="1"/>
    <col min="8451" max="8451" width="38.5703125" customWidth="1"/>
    <col min="8452" max="8452" width="8.85546875" customWidth="1"/>
    <col min="8453" max="8453" width="18.140625" customWidth="1"/>
    <col min="8454" max="8454" width="13.140625" customWidth="1"/>
    <col min="8455" max="8455" width="13" customWidth="1"/>
    <col min="8705" max="8705" width="6.28515625" customWidth="1"/>
    <col min="8706" max="8706" width="21.28515625" customWidth="1"/>
    <col min="8707" max="8707" width="38.5703125" customWidth="1"/>
    <col min="8708" max="8708" width="8.85546875" customWidth="1"/>
    <col min="8709" max="8709" width="18.140625" customWidth="1"/>
    <col min="8710" max="8710" width="13.140625" customWidth="1"/>
    <col min="8711" max="8711" width="13" customWidth="1"/>
    <col min="8961" max="8961" width="6.28515625" customWidth="1"/>
    <col min="8962" max="8962" width="21.28515625" customWidth="1"/>
    <col min="8963" max="8963" width="38.5703125" customWidth="1"/>
    <col min="8964" max="8964" width="8.85546875" customWidth="1"/>
    <col min="8965" max="8965" width="18.140625" customWidth="1"/>
    <col min="8966" max="8966" width="13.140625" customWidth="1"/>
    <col min="8967" max="8967" width="13" customWidth="1"/>
    <col min="9217" max="9217" width="6.28515625" customWidth="1"/>
    <col min="9218" max="9218" width="21.28515625" customWidth="1"/>
    <col min="9219" max="9219" width="38.5703125" customWidth="1"/>
    <col min="9220" max="9220" width="8.85546875" customWidth="1"/>
    <col min="9221" max="9221" width="18.140625" customWidth="1"/>
    <col min="9222" max="9222" width="13.140625" customWidth="1"/>
    <col min="9223" max="9223" width="13" customWidth="1"/>
    <col min="9473" max="9473" width="6.28515625" customWidth="1"/>
    <col min="9474" max="9474" width="21.28515625" customWidth="1"/>
    <col min="9475" max="9475" width="38.5703125" customWidth="1"/>
    <col min="9476" max="9476" width="8.85546875" customWidth="1"/>
    <col min="9477" max="9477" width="18.140625" customWidth="1"/>
    <col min="9478" max="9478" width="13.140625" customWidth="1"/>
    <col min="9479" max="9479" width="13" customWidth="1"/>
    <col min="9729" max="9729" width="6.28515625" customWidth="1"/>
    <col min="9730" max="9730" width="21.28515625" customWidth="1"/>
    <col min="9731" max="9731" width="38.5703125" customWidth="1"/>
    <col min="9732" max="9732" width="8.85546875" customWidth="1"/>
    <col min="9733" max="9733" width="18.140625" customWidth="1"/>
    <col min="9734" max="9734" width="13.140625" customWidth="1"/>
    <col min="9735" max="9735" width="13" customWidth="1"/>
    <col min="9985" max="9985" width="6.28515625" customWidth="1"/>
    <col min="9986" max="9986" width="21.28515625" customWidth="1"/>
    <col min="9987" max="9987" width="38.5703125" customWidth="1"/>
    <col min="9988" max="9988" width="8.85546875" customWidth="1"/>
    <col min="9989" max="9989" width="18.140625" customWidth="1"/>
    <col min="9990" max="9990" width="13.140625" customWidth="1"/>
    <col min="9991" max="9991" width="13" customWidth="1"/>
    <col min="10241" max="10241" width="6.28515625" customWidth="1"/>
    <col min="10242" max="10242" width="21.28515625" customWidth="1"/>
    <col min="10243" max="10243" width="38.5703125" customWidth="1"/>
    <col min="10244" max="10244" width="8.85546875" customWidth="1"/>
    <col min="10245" max="10245" width="18.140625" customWidth="1"/>
    <col min="10246" max="10246" width="13.140625" customWidth="1"/>
    <col min="10247" max="10247" width="13" customWidth="1"/>
    <col min="10497" max="10497" width="6.28515625" customWidth="1"/>
    <col min="10498" max="10498" width="21.28515625" customWidth="1"/>
    <col min="10499" max="10499" width="38.5703125" customWidth="1"/>
    <col min="10500" max="10500" width="8.85546875" customWidth="1"/>
    <col min="10501" max="10501" width="18.140625" customWidth="1"/>
    <col min="10502" max="10502" width="13.140625" customWidth="1"/>
    <col min="10503" max="10503" width="13" customWidth="1"/>
    <col min="10753" max="10753" width="6.28515625" customWidth="1"/>
    <col min="10754" max="10754" width="21.28515625" customWidth="1"/>
    <col min="10755" max="10755" width="38.5703125" customWidth="1"/>
    <col min="10756" max="10756" width="8.85546875" customWidth="1"/>
    <col min="10757" max="10757" width="18.140625" customWidth="1"/>
    <col min="10758" max="10758" width="13.140625" customWidth="1"/>
    <col min="10759" max="10759" width="13" customWidth="1"/>
    <col min="11009" max="11009" width="6.28515625" customWidth="1"/>
    <col min="11010" max="11010" width="21.28515625" customWidth="1"/>
    <col min="11011" max="11011" width="38.5703125" customWidth="1"/>
    <col min="11012" max="11012" width="8.85546875" customWidth="1"/>
    <col min="11013" max="11013" width="18.140625" customWidth="1"/>
    <col min="11014" max="11014" width="13.140625" customWidth="1"/>
    <col min="11015" max="11015" width="13" customWidth="1"/>
    <col min="11265" max="11265" width="6.28515625" customWidth="1"/>
    <col min="11266" max="11266" width="21.28515625" customWidth="1"/>
    <col min="11267" max="11267" width="38.5703125" customWidth="1"/>
    <col min="11268" max="11268" width="8.85546875" customWidth="1"/>
    <col min="11269" max="11269" width="18.140625" customWidth="1"/>
    <col min="11270" max="11270" width="13.140625" customWidth="1"/>
    <col min="11271" max="11271" width="13" customWidth="1"/>
    <col min="11521" max="11521" width="6.28515625" customWidth="1"/>
    <col min="11522" max="11522" width="21.28515625" customWidth="1"/>
    <col min="11523" max="11523" width="38.5703125" customWidth="1"/>
    <col min="11524" max="11524" width="8.85546875" customWidth="1"/>
    <col min="11525" max="11525" width="18.140625" customWidth="1"/>
    <col min="11526" max="11526" width="13.140625" customWidth="1"/>
    <col min="11527" max="11527" width="13" customWidth="1"/>
    <col min="11777" max="11777" width="6.28515625" customWidth="1"/>
    <col min="11778" max="11778" width="21.28515625" customWidth="1"/>
    <col min="11779" max="11779" width="38.5703125" customWidth="1"/>
    <col min="11780" max="11780" width="8.85546875" customWidth="1"/>
    <col min="11781" max="11781" width="18.140625" customWidth="1"/>
    <col min="11782" max="11782" width="13.140625" customWidth="1"/>
    <col min="11783" max="11783" width="13" customWidth="1"/>
    <col min="12033" max="12033" width="6.28515625" customWidth="1"/>
    <col min="12034" max="12034" width="21.28515625" customWidth="1"/>
    <col min="12035" max="12035" width="38.5703125" customWidth="1"/>
    <col min="12036" max="12036" width="8.85546875" customWidth="1"/>
    <col min="12037" max="12037" width="18.140625" customWidth="1"/>
    <col min="12038" max="12038" width="13.140625" customWidth="1"/>
    <col min="12039" max="12039" width="13" customWidth="1"/>
    <col min="12289" max="12289" width="6.28515625" customWidth="1"/>
    <col min="12290" max="12290" width="21.28515625" customWidth="1"/>
    <col min="12291" max="12291" width="38.5703125" customWidth="1"/>
    <col min="12292" max="12292" width="8.85546875" customWidth="1"/>
    <col min="12293" max="12293" width="18.140625" customWidth="1"/>
    <col min="12294" max="12294" width="13.140625" customWidth="1"/>
    <col min="12295" max="12295" width="13" customWidth="1"/>
    <col min="12545" max="12545" width="6.28515625" customWidth="1"/>
    <col min="12546" max="12546" width="21.28515625" customWidth="1"/>
    <col min="12547" max="12547" width="38.5703125" customWidth="1"/>
    <col min="12548" max="12548" width="8.85546875" customWidth="1"/>
    <col min="12549" max="12549" width="18.140625" customWidth="1"/>
    <col min="12550" max="12550" width="13.140625" customWidth="1"/>
    <col min="12551" max="12551" width="13" customWidth="1"/>
    <col min="12801" max="12801" width="6.28515625" customWidth="1"/>
    <col min="12802" max="12802" width="21.28515625" customWidth="1"/>
    <col min="12803" max="12803" width="38.5703125" customWidth="1"/>
    <col min="12804" max="12804" width="8.85546875" customWidth="1"/>
    <col min="12805" max="12805" width="18.140625" customWidth="1"/>
    <col min="12806" max="12806" width="13.140625" customWidth="1"/>
    <col min="12807" max="12807" width="13" customWidth="1"/>
    <col min="13057" max="13057" width="6.28515625" customWidth="1"/>
    <col min="13058" max="13058" width="21.28515625" customWidth="1"/>
    <col min="13059" max="13059" width="38.5703125" customWidth="1"/>
    <col min="13060" max="13060" width="8.85546875" customWidth="1"/>
    <col min="13061" max="13061" width="18.140625" customWidth="1"/>
    <col min="13062" max="13062" width="13.140625" customWidth="1"/>
    <col min="13063" max="13063" width="13" customWidth="1"/>
    <col min="13313" max="13313" width="6.28515625" customWidth="1"/>
    <col min="13314" max="13314" width="21.28515625" customWidth="1"/>
    <col min="13315" max="13315" width="38.5703125" customWidth="1"/>
    <col min="13316" max="13316" width="8.85546875" customWidth="1"/>
    <col min="13317" max="13317" width="18.140625" customWidth="1"/>
    <col min="13318" max="13318" width="13.140625" customWidth="1"/>
    <col min="13319" max="13319" width="13" customWidth="1"/>
    <col min="13569" max="13569" width="6.28515625" customWidth="1"/>
    <col min="13570" max="13570" width="21.28515625" customWidth="1"/>
    <col min="13571" max="13571" width="38.5703125" customWidth="1"/>
    <col min="13572" max="13572" width="8.85546875" customWidth="1"/>
    <col min="13573" max="13573" width="18.140625" customWidth="1"/>
    <col min="13574" max="13574" width="13.140625" customWidth="1"/>
    <col min="13575" max="13575" width="13" customWidth="1"/>
    <col min="13825" max="13825" width="6.28515625" customWidth="1"/>
    <col min="13826" max="13826" width="21.28515625" customWidth="1"/>
    <col min="13827" max="13827" width="38.5703125" customWidth="1"/>
    <col min="13828" max="13828" width="8.85546875" customWidth="1"/>
    <col min="13829" max="13829" width="18.140625" customWidth="1"/>
    <col min="13830" max="13830" width="13.140625" customWidth="1"/>
    <col min="13831" max="13831" width="13" customWidth="1"/>
    <col min="14081" max="14081" width="6.28515625" customWidth="1"/>
    <col min="14082" max="14082" width="21.28515625" customWidth="1"/>
    <col min="14083" max="14083" width="38.5703125" customWidth="1"/>
    <col min="14084" max="14084" width="8.85546875" customWidth="1"/>
    <col min="14085" max="14085" width="18.140625" customWidth="1"/>
    <col min="14086" max="14086" width="13.140625" customWidth="1"/>
    <col min="14087" max="14087" width="13" customWidth="1"/>
    <col min="14337" max="14337" width="6.28515625" customWidth="1"/>
    <col min="14338" max="14338" width="21.28515625" customWidth="1"/>
    <col min="14339" max="14339" width="38.5703125" customWidth="1"/>
    <col min="14340" max="14340" width="8.85546875" customWidth="1"/>
    <col min="14341" max="14341" width="18.140625" customWidth="1"/>
    <col min="14342" max="14342" width="13.140625" customWidth="1"/>
    <col min="14343" max="14343" width="13" customWidth="1"/>
    <col min="14593" max="14593" width="6.28515625" customWidth="1"/>
    <col min="14594" max="14594" width="21.28515625" customWidth="1"/>
    <col min="14595" max="14595" width="38.5703125" customWidth="1"/>
    <col min="14596" max="14596" width="8.85546875" customWidth="1"/>
    <col min="14597" max="14597" width="18.140625" customWidth="1"/>
    <col min="14598" max="14598" width="13.140625" customWidth="1"/>
    <col min="14599" max="14599" width="13" customWidth="1"/>
    <col min="14849" max="14849" width="6.28515625" customWidth="1"/>
    <col min="14850" max="14850" width="21.28515625" customWidth="1"/>
    <col min="14851" max="14851" width="38.5703125" customWidth="1"/>
    <col min="14852" max="14852" width="8.85546875" customWidth="1"/>
    <col min="14853" max="14853" width="18.140625" customWidth="1"/>
    <col min="14854" max="14854" width="13.140625" customWidth="1"/>
    <col min="14855" max="14855" width="13" customWidth="1"/>
    <col min="15105" max="15105" width="6.28515625" customWidth="1"/>
    <col min="15106" max="15106" width="21.28515625" customWidth="1"/>
    <col min="15107" max="15107" width="38.5703125" customWidth="1"/>
    <col min="15108" max="15108" width="8.85546875" customWidth="1"/>
    <col min="15109" max="15109" width="18.140625" customWidth="1"/>
    <col min="15110" max="15110" width="13.140625" customWidth="1"/>
    <col min="15111" max="15111" width="13" customWidth="1"/>
    <col min="15361" max="15361" width="6.28515625" customWidth="1"/>
    <col min="15362" max="15362" width="21.28515625" customWidth="1"/>
    <col min="15363" max="15363" width="38.5703125" customWidth="1"/>
    <col min="15364" max="15364" width="8.85546875" customWidth="1"/>
    <col min="15365" max="15365" width="18.140625" customWidth="1"/>
    <col min="15366" max="15366" width="13.140625" customWidth="1"/>
    <col min="15367" max="15367" width="13" customWidth="1"/>
    <col min="15617" max="15617" width="6.28515625" customWidth="1"/>
    <col min="15618" max="15618" width="21.28515625" customWidth="1"/>
    <col min="15619" max="15619" width="38.5703125" customWidth="1"/>
    <col min="15620" max="15620" width="8.85546875" customWidth="1"/>
    <col min="15621" max="15621" width="18.140625" customWidth="1"/>
    <col min="15622" max="15622" width="13.140625" customWidth="1"/>
    <col min="15623" max="15623" width="13" customWidth="1"/>
    <col min="15873" max="15873" width="6.28515625" customWidth="1"/>
    <col min="15874" max="15874" width="21.28515625" customWidth="1"/>
    <col min="15875" max="15875" width="38.5703125" customWidth="1"/>
    <col min="15876" max="15876" width="8.85546875" customWidth="1"/>
    <col min="15877" max="15877" width="18.140625" customWidth="1"/>
    <col min="15878" max="15878" width="13.140625" customWidth="1"/>
    <col min="15879" max="15879" width="13" customWidth="1"/>
    <col min="16129" max="16129" width="6.28515625" customWidth="1"/>
    <col min="16130" max="16130" width="21.28515625" customWidth="1"/>
    <col min="16131" max="16131" width="38.5703125" customWidth="1"/>
    <col min="16132" max="16132" width="8.85546875" customWidth="1"/>
    <col min="16133" max="16133" width="18.140625" customWidth="1"/>
    <col min="16134" max="16134" width="13.140625" customWidth="1"/>
    <col min="16135" max="16135" width="13" customWidth="1"/>
  </cols>
  <sheetData>
    <row r="1" spans="1:9" s="85" customFormat="1" ht="12.75" x14ac:dyDescent="0.2">
      <c r="A1" s="290" t="s">
        <v>115</v>
      </c>
      <c r="B1" s="291"/>
      <c r="C1" s="291"/>
      <c r="D1" s="291"/>
      <c r="E1" s="291"/>
      <c r="F1" s="291"/>
      <c r="G1" s="291"/>
      <c r="H1" s="291"/>
      <c r="I1" s="291"/>
    </row>
    <row r="2" spans="1:9" s="85" customFormat="1" ht="12.75" x14ac:dyDescent="0.2">
      <c r="A2" s="292" t="s">
        <v>4</v>
      </c>
      <c r="B2" s="291"/>
      <c r="C2" s="291"/>
      <c r="D2" s="291"/>
      <c r="E2" s="291"/>
      <c r="F2" s="291"/>
      <c r="G2" s="291"/>
      <c r="H2" s="291"/>
      <c r="I2" s="291"/>
    </row>
    <row r="3" spans="1:9" s="88" customFormat="1" ht="15.75" customHeight="1" x14ac:dyDescent="0.2">
      <c r="A3" s="463"/>
      <c r="B3" s="464"/>
      <c r="C3" s="464"/>
      <c r="D3" s="464"/>
      <c r="E3" s="464"/>
      <c r="F3" s="86" t="s">
        <v>1</v>
      </c>
      <c r="G3" s="152"/>
      <c r="H3" s="153"/>
    </row>
    <row r="4" spans="1:9" s="88" customFormat="1" ht="17.25" customHeight="1" x14ac:dyDescent="0.2">
      <c r="A4" s="465" t="s">
        <v>384</v>
      </c>
      <c r="B4" s="466"/>
      <c r="C4" s="466"/>
      <c r="D4" s="466"/>
      <c r="E4" s="466"/>
      <c r="F4" s="466"/>
      <c r="G4" s="466"/>
      <c r="H4" s="466"/>
    </row>
    <row r="5" spans="1:9" s="88" customFormat="1" ht="22.5" customHeight="1" x14ac:dyDescent="0.2">
      <c r="A5" s="467" t="s">
        <v>6</v>
      </c>
      <c r="B5" s="468"/>
      <c r="C5" s="468"/>
      <c r="D5" s="468"/>
      <c r="E5" s="468"/>
      <c r="F5" s="468"/>
      <c r="G5" s="468"/>
      <c r="H5" s="468"/>
    </row>
    <row r="6" spans="1:9" s="88" customFormat="1" ht="30.75" customHeight="1" x14ac:dyDescent="0.2">
      <c r="A6" s="455" t="s">
        <v>7</v>
      </c>
      <c r="B6" s="456"/>
      <c r="C6" s="462"/>
      <c r="D6" s="462"/>
      <c r="E6" s="462"/>
      <c r="F6" s="462"/>
      <c r="G6" s="154"/>
      <c r="H6" s="155"/>
    </row>
    <row r="7" spans="1:9" s="88" customFormat="1" ht="17.25" customHeight="1" x14ac:dyDescent="0.2">
      <c r="A7" s="455" t="s">
        <v>8</v>
      </c>
      <c r="B7" s="456"/>
      <c r="C7" s="90"/>
      <c r="D7" s="90"/>
      <c r="E7" s="89"/>
      <c r="F7" s="89"/>
      <c r="G7" s="154"/>
      <c r="H7" s="155"/>
    </row>
    <row r="8" spans="1:9" s="88" customFormat="1" ht="26.25" customHeight="1" x14ac:dyDescent="0.2">
      <c r="A8" s="457" t="s">
        <v>117</v>
      </c>
      <c r="B8" s="458"/>
      <c r="C8" s="459"/>
      <c r="D8" s="459"/>
      <c r="E8" s="459"/>
      <c r="F8" s="459"/>
      <c r="G8" s="156"/>
      <c r="H8" s="157"/>
    </row>
    <row r="9" spans="1:9" s="88" customFormat="1" ht="26.25" customHeight="1" x14ac:dyDescent="0.2">
      <c r="A9" s="460" t="s">
        <v>10</v>
      </c>
      <c r="B9" s="461"/>
      <c r="C9" s="92"/>
      <c r="D9" s="92"/>
      <c r="E9" s="93"/>
      <c r="F9" s="94"/>
      <c r="G9" s="158"/>
      <c r="H9" s="159"/>
    </row>
    <row r="10" spans="1:9" s="88" customFormat="1" ht="26.25" customHeight="1" x14ac:dyDescent="0.2">
      <c r="A10" s="460" t="s">
        <v>150</v>
      </c>
      <c r="B10" s="461"/>
      <c r="C10" s="95"/>
      <c r="D10" s="95"/>
      <c r="E10" s="95"/>
      <c r="F10" s="95"/>
      <c r="G10" s="160"/>
      <c r="H10" s="161"/>
    </row>
    <row r="11" spans="1:9" s="88" customFormat="1" ht="13.5" customHeight="1" x14ac:dyDescent="0.2">
      <c r="A11" s="455" t="s">
        <v>355</v>
      </c>
      <c r="B11" s="456"/>
      <c r="C11" s="462" t="s">
        <v>385</v>
      </c>
      <c r="D11" s="462"/>
      <c r="E11" s="462"/>
      <c r="F11" s="462"/>
      <c r="G11" s="154"/>
      <c r="H11" s="155"/>
    </row>
    <row r="12" spans="1:9" s="88" customFormat="1" ht="18" customHeight="1" x14ac:dyDescent="0.2">
      <c r="A12" s="96" t="s">
        <v>357</v>
      </c>
      <c r="B12" s="97"/>
      <c r="C12" s="462" t="s">
        <v>386</v>
      </c>
      <c r="D12" s="462"/>
      <c r="E12" s="462"/>
      <c r="F12" s="462"/>
      <c r="G12" s="154"/>
      <c r="H12" s="155"/>
    </row>
    <row r="13" spans="1:9" s="88" customFormat="1" ht="36.75" customHeight="1" x14ac:dyDescent="0.2">
      <c r="A13" s="98"/>
      <c r="B13" s="97"/>
      <c r="C13" s="462" t="s">
        <v>387</v>
      </c>
      <c r="D13" s="462"/>
      <c r="E13" s="462"/>
      <c r="F13" s="462"/>
      <c r="G13" s="154"/>
      <c r="H13" s="155"/>
    </row>
    <row r="14" spans="1:9" s="88" customFormat="1" ht="16.5" customHeight="1" x14ac:dyDescent="0.2">
      <c r="A14" s="98"/>
      <c r="B14" s="97"/>
      <c r="C14" s="462" t="s">
        <v>388</v>
      </c>
      <c r="D14" s="462"/>
      <c r="E14" s="462"/>
      <c r="F14" s="462"/>
      <c r="G14" s="154"/>
      <c r="H14" s="155"/>
    </row>
    <row r="15" spans="1:9" s="88" customFormat="1" ht="25.5" customHeight="1" x14ac:dyDescent="0.2">
      <c r="A15" s="98"/>
      <c r="B15" s="97"/>
      <c r="C15" s="462" t="s">
        <v>389</v>
      </c>
      <c r="D15" s="462"/>
      <c r="E15" s="462"/>
      <c r="F15" s="462"/>
      <c r="G15" s="154"/>
      <c r="H15" s="155"/>
    </row>
    <row r="16" spans="1:9" s="88" customFormat="1" ht="14.25" customHeight="1" x14ac:dyDescent="0.2">
      <c r="A16" s="98"/>
      <c r="B16" s="97"/>
      <c r="C16" s="99" t="s">
        <v>452</v>
      </c>
      <c r="D16" s="99"/>
      <c r="E16" s="99"/>
      <c r="F16" s="99"/>
      <c r="G16" s="154"/>
      <c r="H16" s="155"/>
    </row>
    <row r="17" spans="1:9" s="88" customFormat="1" ht="12" customHeight="1" x14ac:dyDescent="0.2">
      <c r="A17" s="98"/>
      <c r="B17" s="97"/>
      <c r="C17" s="99"/>
      <c r="D17" s="99"/>
      <c r="E17" s="99"/>
      <c r="F17" s="99"/>
      <c r="G17" s="154"/>
      <c r="H17" s="155"/>
    </row>
    <row r="18" spans="1:9" s="104" customFormat="1" ht="70.5" customHeight="1" x14ac:dyDescent="0.25">
      <c r="A18" s="100" t="s">
        <v>16</v>
      </c>
      <c r="B18" s="101" t="s">
        <v>359</v>
      </c>
      <c r="C18" s="101" t="s">
        <v>360</v>
      </c>
      <c r="D18" s="101" t="s">
        <v>19</v>
      </c>
      <c r="E18" s="101" t="s">
        <v>121</v>
      </c>
      <c r="F18" s="102" t="s">
        <v>361</v>
      </c>
      <c r="G18" s="162"/>
      <c r="H18" s="103"/>
    </row>
    <row r="19" spans="1:9" s="104" customFormat="1" ht="15.75" customHeight="1" x14ac:dyDescent="0.25">
      <c r="A19" s="100">
        <v>1</v>
      </c>
      <c r="B19" s="105">
        <v>2</v>
      </c>
      <c r="C19" s="106">
        <v>3</v>
      </c>
      <c r="D19" s="106">
        <v>4</v>
      </c>
      <c r="E19" s="101">
        <v>5</v>
      </c>
      <c r="F19" s="107">
        <v>6</v>
      </c>
      <c r="G19" s="162"/>
      <c r="H19" s="103"/>
    </row>
    <row r="20" spans="1:9" s="85" customFormat="1" ht="18" customHeight="1" x14ac:dyDescent="0.2">
      <c r="A20" s="100">
        <v>1</v>
      </c>
      <c r="B20" s="108" t="s">
        <v>362</v>
      </c>
      <c r="C20" s="109"/>
      <c r="D20" s="109"/>
      <c r="E20" s="110"/>
      <c r="F20" s="111"/>
      <c r="G20" s="163"/>
      <c r="H20" s="112"/>
    </row>
    <row r="21" spans="1:9" s="166" customFormat="1" ht="203.25" customHeight="1" x14ac:dyDescent="0.2">
      <c r="A21" s="167">
        <v>1</v>
      </c>
      <c r="B21" s="168" t="s">
        <v>390</v>
      </c>
      <c r="C21" s="168" t="s">
        <v>429</v>
      </c>
      <c r="D21" s="169" t="s">
        <v>391</v>
      </c>
      <c r="E21" s="168" t="s">
        <v>430</v>
      </c>
      <c r="F21" s="171">
        <f>(55.88+189.64*(0.4*0.5+0.6*0.3822))*30%*1.05*1.1*3.7</f>
        <v>176.02065064584002</v>
      </c>
      <c r="G21" s="170"/>
      <c r="H21" s="165"/>
    </row>
    <row r="22" spans="1:9" s="166" customFormat="1" ht="210" customHeight="1" x14ac:dyDescent="0.2">
      <c r="A22" s="167">
        <v>2</v>
      </c>
      <c r="B22" s="168" t="s">
        <v>416</v>
      </c>
      <c r="C22" s="168" t="s">
        <v>435</v>
      </c>
      <c r="D22" s="172" t="s">
        <v>364</v>
      </c>
      <c r="E22" s="172" t="s">
        <v>415</v>
      </c>
      <c r="F22" s="173">
        <f>956.34 * 40% * 1.3 * 1.2 * 1.15 * 1.02 * 3.7</f>
        <v>2589.9814100160002</v>
      </c>
      <c r="G22" s="165"/>
      <c r="H22" s="165"/>
    </row>
    <row r="23" spans="1:9" s="166" customFormat="1" ht="192" x14ac:dyDescent="0.2">
      <c r="A23" s="167">
        <v>3</v>
      </c>
      <c r="B23" s="168" t="s">
        <v>421</v>
      </c>
      <c r="C23" s="168" t="s">
        <v>436</v>
      </c>
      <c r="D23" s="172" t="s">
        <v>364</v>
      </c>
      <c r="E23" s="174" t="s">
        <v>417</v>
      </c>
      <c r="F23" s="173">
        <f>182.77*40%*1.3*1.15*3.7</f>
        <v>404.39690200000001</v>
      </c>
      <c r="G23" s="165"/>
      <c r="H23" s="165"/>
    </row>
    <row r="24" spans="1:9" s="166" customFormat="1" ht="180" customHeight="1" x14ac:dyDescent="0.2">
      <c r="A24" s="175" t="s">
        <v>138</v>
      </c>
      <c r="B24" s="168" t="s">
        <v>422</v>
      </c>
      <c r="C24" s="176" t="s">
        <v>437</v>
      </c>
      <c r="D24" s="172" t="s">
        <v>364</v>
      </c>
      <c r="E24" s="172" t="s">
        <v>423</v>
      </c>
      <c r="F24" s="173">
        <f>124.19 * 40% * 1.3 * 1.15 * 3.7</f>
        <v>274.78279400000002</v>
      </c>
      <c r="G24" s="165"/>
      <c r="H24" s="165"/>
    </row>
    <row r="25" spans="1:9" s="166" customFormat="1" ht="156.75" customHeight="1" x14ac:dyDescent="0.2">
      <c r="A25" s="167">
        <v>5</v>
      </c>
      <c r="B25" s="168" t="s">
        <v>367</v>
      </c>
      <c r="C25" s="168" t="s">
        <v>424</v>
      </c>
      <c r="D25" s="168" t="s">
        <v>368</v>
      </c>
      <c r="E25" s="177" t="s">
        <v>433</v>
      </c>
      <c r="F25" s="171">
        <f>(242.97-((257.1-242.97)/(450-288))*(288-193)*0.6) * 40% * 0.5 * 1.3 * 3.7</f>
        <v>228.95439666666672</v>
      </c>
      <c r="G25" s="165"/>
      <c r="H25" s="165"/>
    </row>
    <row r="26" spans="1:9" s="166" customFormat="1" ht="123.75" customHeight="1" x14ac:dyDescent="0.2">
      <c r="A26" s="175" t="s">
        <v>344</v>
      </c>
      <c r="B26" s="168" t="s">
        <v>369</v>
      </c>
      <c r="C26" s="168" t="s">
        <v>420</v>
      </c>
      <c r="D26" s="168" t="s">
        <v>370</v>
      </c>
      <c r="E26" s="178" t="s">
        <v>419</v>
      </c>
      <c r="F26" s="171">
        <f>86.26*40%*1.3*3.7</f>
        <v>165.96424000000005</v>
      </c>
      <c r="G26" s="165"/>
      <c r="H26" s="170"/>
    </row>
    <row r="27" spans="1:9" s="166" customFormat="1" ht="36" x14ac:dyDescent="0.2">
      <c r="A27" s="167">
        <v>7</v>
      </c>
      <c r="B27" s="168" t="s">
        <v>371</v>
      </c>
      <c r="C27" s="168" t="s">
        <v>392</v>
      </c>
      <c r="D27" s="168"/>
      <c r="E27" s="168" t="s">
        <v>455</v>
      </c>
      <c r="F27" s="171">
        <f>F22*25%</f>
        <v>647.49535250400004</v>
      </c>
      <c r="G27" s="165"/>
      <c r="H27" s="165"/>
    </row>
    <row r="28" spans="1:9" s="166" customFormat="1" ht="336" x14ac:dyDescent="0.2">
      <c r="A28" s="175" t="s">
        <v>393</v>
      </c>
      <c r="B28" s="179" t="s">
        <v>394</v>
      </c>
      <c r="C28" s="168" t="s">
        <v>425</v>
      </c>
      <c r="D28" s="180" t="s">
        <v>395</v>
      </c>
      <c r="E28" s="180" t="s">
        <v>426</v>
      </c>
      <c r="F28" s="173">
        <f>30.5 * 1.18 * 1.04 * 1.4 * 1 * 1.5 * 0.82 * 3.7</f>
        <v>238.47895343999994</v>
      </c>
      <c r="G28" s="165"/>
      <c r="H28" s="165"/>
    </row>
    <row r="29" spans="1:9" s="166" customFormat="1" ht="100.5" customHeight="1" x14ac:dyDescent="0.2">
      <c r="A29" s="167">
        <v>9</v>
      </c>
      <c r="B29" s="181" t="s">
        <v>373</v>
      </c>
      <c r="C29" s="168" t="s">
        <v>432</v>
      </c>
      <c r="D29" s="182" t="s">
        <v>374</v>
      </c>
      <c r="E29" s="180" t="s">
        <v>431</v>
      </c>
      <c r="F29" s="173">
        <f>(1068.07+4.25*(0.4*10+0.6*2))*40%*3.7</f>
        <v>1613.4516000000001</v>
      </c>
      <c r="G29" s="165"/>
      <c r="H29" s="165"/>
    </row>
    <row r="30" spans="1:9" s="166" customFormat="1" ht="77.25" customHeight="1" x14ac:dyDescent="0.2">
      <c r="A30" s="167">
        <v>10</v>
      </c>
      <c r="B30" s="168" t="s">
        <v>375</v>
      </c>
      <c r="C30" s="168" t="s">
        <v>427</v>
      </c>
      <c r="D30" s="182" t="s">
        <v>376</v>
      </c>
      <c r="E30" s="168" t="s">
        <v>428</v>
      </c>
      <c r="F30" s="171">
        <f>77.5*50%*3.7</f>
        <v>143.375</v>
      </c>
      <c r="G30" s="165"/>
      <c r="H30" s="165"/>
    </row>
    <row r="31" spans="1:9" s="186" customFormat="1" ht="51" customHeight="1" x14ac:dyDescent="0.2">
      <c r="A31" s="183" t="s">
        <v>396</v>
      </c>
      <c r="B31" s="184" t="s">
        <v>397</v>
      </c>
      <c r="C31" s="184" t="s">
        <v>398</v>
      </c>
      <c r="D31" s="184"/>
      <c r="E31" s="184" t="s">
        <v>454</v>
      </c>
      <c r="F31" s="185">
        <f>F22*10%</f>
        <v>258.9981410016</v>
      </c>
      <c r="G31" s="165"/>
      <c r="H31" s="165"/>
    </row>
    <row r="32" spans="1:9" s="166" customFormat="1" ht="64.5" customHeight="1" x14ac:dyDescent="0.2">
      <c r="A32" s="167">
        <v>12</v>
      </c>
      <c r="B32" s="168" t="s">
        <v>399</v>
      </c>
      <c r="C32" s="168" t="s">
        <v>418</v>
      </c>
      <c r="D32" s="168"/>
      <c r="E32" s="168" t="s">
        <v>453</v>
      </c>
      <c r="F32" s="171">
        <f>F22*4%</f>
        <v>103.59925640064</v>
      </c>
      <c r="G32" s="187"/>
      <c r="H32" s="188"/>
      <c r="I32" s="189"/>
    </row>
    <row r="33" spans="1:8" s="192" customFormat="1" ht="12.75" x14ac:dyDescent="0.2">
      <c r="A33" s="190"/>
      <c r="B33" s="444" t="s">
        <v>400</v>
      </c>
      <c r="C33" s="445"/>
      <c r="D33" s="445"/>
      <c r="E33" s="446"/>
      <c r="F33" s="214">
        <f>SUM(F21:F32)-0.0005</f>
        <v>6845.4981966747464</v>
      </c>
      <c r="G33" s="216"/>
      <c r="H33" s="191"/>
    </row>
    <row r="34" spans="1:8" s="192" customFormat="1" ht="30" customHeight="1" x14ac:dyDescent="0.2">
      <c r="A34" s="190"/>
      <c r="B34" s="441" t="s">
        <v>401</v>
      </c>
      <c r="C34" s="442"/>
      <c r="D34" s="442"/>
      <c r="E34" s="443"/>
      <c r="F34" s="214">
        <f>F33</f>
        <v>6845.4981966747464</v>
      </c>
      <c r="G34" s="191"/>
      <c r="H34" s="191"/>
    </row>
    <row r="35" spans="1:8" s="192" customFormat="1" ht="17.25" customHeight="1" x14ac:dyDescent="0.2">
      <c r="A35" s="190"/>
      <c r="B35" s="444" t="s">
        <v>379</v>
      </c>
      <c r="C35" s="445"/>
      <c r="D35" s="446"/>
      <c r="E35" s="193"/>
      <c r="F35" s="214">
        <f>F34</f>
        <v>6845.4981966747464</v>
      </c>
      <c r="G35" s="191"/>
      <c r="H35" s="191"/>
    </row>
    <row r="36" spans="1:8" s="166" customFormat="1" ht="12.75" x14ac:dyDescent="0.2">
      <c r="A36" s="167"/>
      <c r="B36" s="447" t="s">
        <v>324</v>
      </c>
      <c r="C36" s="448"/>
      <c r="D36" s="449"/>
      <c r="E36" s="194">
        <v>0.18</v>
      </c>
      <c r="F36" s="215">
        <f>F35*0.18</f>
        <v>1232.1896754014542</v>
      </c>
      <c r="G36" s="165"/>
      <c r="H36" s="165"/>
    </row>
    <row r="37" spans="1:8" s="192" customFormat="1" ht="12.75" x14ac:dyDescent="0.2">
      <c r="A37" s="190"/>
      <c r="B37" s="450" t="s">
        <v>380</v>
      </c>
      <c r="C37" s="451"/>
      <c r="D37" s="452"/>
      <c r="E37" s="195"/>
      <c r="F37" s="214">
        <f>F35+F36</f>
        <v>8077.6878720762006</v>
      </c>
      <c r="G37" s="191"/>
      <c r="H37" s="191"/>
    </row>
    <row r="38" spans="1:8" s="166" customFormat="1" ht="12.75" hidden="1" x14ac:dyDescent="0.2">
      <c r="A38" s="196"/>
      <c r="B38" s="126" t="s">
        <v>381</v>
      </c>
      <c r="C38" s="126"/>
      <c r="D38" s="126"/>
      <c r="E38" s="197">
        <f>F38/F33</f>
        <v>31.533935704615089</v>
      </c>
      <c r="F38" s="198">
        <f>863462*0.25</f>
        <v>215865.5</v>
      </c>
      <c r="G38" s="199"/>
      <c r="H38" s="199"/>
    </row>
    <row r="39" spans="1:8" s="166" customFormat="1" ht="12.75" hidden="1" x14ac:dyDescent="0.2">
      <c r="A39" s="196"/>
      <c r="B39" s="126" t="s">
        <v>382</v>
      </c>
      <c r="C39" s="126"/>
      <c r="D39" s="126"/>
      <c r="E39" s="200">
        <v>0.18</v>
      </c>
      <c r="F39" s="198">
        <f>F38*E39</f>
        <v>38855.79</v>
      </c>
      <c r="G39" s="199"/>
      <c r="H39" s="199"/>
    </row>
    <row r="40" spans="1:8" s="192" customFormat="1" ht="12.75" hidden="1" x14ac:dyDescent="0.2">
      <c r="A40" s="201"/>
      <c r="B40" s="202" t="s">
        <v>383</v>
      </c>
      <c r="C40" s="202"/>
      <c r="D40" s="202"/>
      <c r="E40" s="202"/>
      <c r="F40" s="203">
        <f>F38+F39</f>
        <v>254721.29</v>
      </c>
      <c r="G40" s="204"/>
      <c r="H40" s="204"/>
    </row>
    <row r="41" spans="1:8" s="166" customFormat="1" ht="12.75" x14ac:dyDescent="0.2">
      <c r="A41" s="205"/>
      <c r="B41" s="206"/>
      <c r="C41" s="206"/>
      <c r="D41" s="206"/>
      <c r="E41" s="206"/>
      <c r="F41" s="207"/>
      <c r="G41" s="199"/>
      <c r="H41" s="199"/>
    </row>
    <row r="42" spans="1:8" s="208" customFormat="1" ht="15.75" customHeight="1" x14ac:dyDescent="0.2">
      <c r="A42" s="453" t="s">
        <v>434</v>
      </c>
      <c r="B42" s="454"/>
      <c r="C42" s="454"/>
      <c r="D42" s="454"/>
      <c r="E42" s="454"/>
      <c r="F42" s="454"/>
      <c r="G42" s="454"/>
      <c r="H42" s="454"/>
    </row>
    <row r="43" spans="1:8" s="208" customFormat="1" ht="11.25" customHeight="1" x14ac:dyDescent="0.2">
      <c r="A43" s="209"/>
      <c r="B43" s="209"/>
      <c r="C43" s="209"/>
      <c r="D43" s="209"/>
      <c r="E43" s="210"/>
      <c r="F43" s="209"/>
      <c r="G43" s="211"/>
      <c r="H43" s="211"/>
    </row>
    <row r="44" spans="1:8" s="208" customFormat="1" ht="39.75" customHeight="1" x14ac:dyDescent="0.2">
      <c r="A44" s="440" t="s">
        <v>146</v>
      </c>
      <c r="B44" s="440"/>
      <c r="C44" s="440"/>
      <c r="D44" s="440"/>
      <c r="E44" s="440"/>
      <c r="F44" s="212"/>
      <c r="G44" s="213"/>
      <c r="H44" s="213"/>
    </row>
    <row r="45" spans="1:8" s="208" customFormat="1" ht="39.75" customHeight="1" x14ac:dyDescent="0.2">
      <c r="A45" s="440" t="s">
        <v>147</v>
      </c>
      <c r="B45" s="440"/>
      <c r="C45" s="440"/>
      <c r="D45" s="440"/>
      <c r="E45" s="440"/>
      <c r="F45" s="212"/>
      <c r="G45" s="213"/>
      <c r="H45" s="213"/>
    </row>
  </sheetData>
  <mergeCells count="26">
    <mergeCell ref="A6:B6"/>
    <mergeCell ref="C6:F6"/>
    <mergeCell ref="A1:I1"/>
    <mergeCell ref="A2:I2"/>
    <mergeCell ref="A3:E3"/>
    <mergeCell ref="A4:H4"/>
    <mergeCell ref="A5:H5"/>
    <mergeCell ref="B33:E33"/>
    <mergeCell ref="A7:B7"/>
    <mergeCell ref="A8:B8"/>
    <mergeCell ref="C8:F8"/>
    <mergeCell ref="A9:B9"/>
    <mergeCell ref="A10:B10"/>
    <mergeCell ref="A11:B11"/>
    <mergeCell ref="C11:F11"/>
    <mergeCell ref="C12:F12"/>
    <mergeCell ref="C13:F13"/>
    <mergeCell ref="C14:F14"/>
    <mergeCell ref="C15:F15"/>
    <mergeCell ref="A45:E45"/>
    <mergeCell ref="B34:E34"/>
    <mergeCell ref="B35:D35"/>
    <mergeCell ref="B36:D36"/>
    <mergeCell ref="B37:D37"/>
    <mergeCell ref="A42:H42"/>
    <mergeCell ref="A44:E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9" workbookViewId="0">
      <selection activeCell="C6" sqref="C6:F9"/>
    </sheetView>
  </sheetViews>
  <sheetFormatPr defaultRowHeight="15" x14ac:dyDescent="0.25"/>
  <cols>
    <col min="1" max="1" width="6.28515625" customWidth="1"/>
    <col min="2" max="2" width="21.28515625" customWidth="1"/>
    <col min="3" max="3" width="38.5703125" customWidth="1"/>
    <col min="4" max="4" width="8.85546875" customWidth="1"/>
    <col min="5" max="5" width="18.140625" customWidth="1"/>
    <col min="6" max="6" width="13.140625" customWidth="1"/>
    <col min="257" max="257" width="6.28515625" customWidth="1"/>
    <col min="258" max="258" width="21.28515625" customWidth="1"/>
    <col min="259" max="259" width="38.5703125" customWidth="1"/>
    <col min="260" max="260" width="8.85546875" customWidth="1"/>
    <col min="261" max="261" width="18.140625" customWidth="1"/>
    <col min="262" max="262" width="13.140625" customWidth="1"/>
    <col min="513" max="513" width="6.28515625" customWidth="1"/>
    <col min="514" max="514" width="21.28515625" customWidth="1"/>
    <col min="515" max="515" width="38.5703125" customWidth="1"/>
    <col min="516" max="516" width="8.85546875" customWidth="1"/>
    <col min="517" max="517" width="18.140625" customWidth="1"/>
    <col min="518" max="518" width="13.140625" customWidth="1"/>
    <col min="769" max="769" width="6.28515625" customWidth="1"/>
    <col min="770" max="770" width="21.28515625" customWidth="1"/>
    <col min="771" max="771" width="38.5703125" customWidth="1"/>
    <col min="772" max="772" width="8.85546875" customWidth="1"/>
    <col min="773" max="773" width="18.140625" customWidth="1"/>
    <col min="774" max="774" width="13.140625" customWidth="1"/>
    <col min="1025" max="1025" width="6.28515625" customWidth="1"/>
    <col min="1026" max="1026" width="21.28515625" customWidth="1"/>
    <col min="1027" max="1027" width="38.5703125" customWidth="1"/>
    <col min="1028" max="1028" width="8.85546875" customWidth="1"/>
    <col min="1029" max="1029" width="18.140625" customWidth="1"/>
    <col min="1030" max="1030" width="13.140625" customWidth="1"/>
    <col min="1281" max="1281" width="6.28515625" customWidth="1"/>
    <col min="1282" max="1282" width="21.28515625" customWidth="1"/>
    <col min="1283" max="1283" width="38.5703125" customWidth="1"/>
    <col min="1284" max="1284" width="8.85546875" customWidth="1"/>
    <col min="1285" max="1285" width="18.140625" customWidth="1"/>
    <col min="1286" max="1286" width="13.140625" customWidth="1"/>
    <col min="1537" max="1537" width="6.28515625" customWidth="1"/>
    <col min="1538" max="1538" width="21.28515625" customWidth="1"/>
    <col min="1539" max="1539" width="38.5703125" customWidth="1"/>
    <col min="1540" max="1540" width="8.85546875" customWidth="1"/>
    <col min="1541" max="1541" width="18.140625" customWidth="1"/>
    <col min="1542" max="1542" width="13.140625" customWidth="1"/>
    <col min="1793" max="1793" width="6.28515625" customWidth="1"/>
    <col min="1794" max="1794" width="21.28515625" customWidth="1"/>
    <col min="1795" max="1795" width="38.5703125" customWidth="1"/>
    <col min="1796" max="1796" width="8.85546875" customWidth="1"/>
    <col min="1797" max="1797" width="18.140625" customWidth="1"/>
    <col min="1798" max="1798" width="13.140625" customWidth="1"/>
    <col min="2049" max="2049" width="6.28515625" customWidth="1"/>
    <col min="2050" max="2050" width="21.28515625" customWidth="1"/>
    <col min="2051" max="2051" width="38.5703125" customWidth="1"/>
    <col min="2052" max="2052" width="8.85546875" customWidth="1"/>
    <col min="2053" max="2053" width="18.140625" customWidth="1"/>
    <col min="2054" max="2054" width="13.140625" customWidth="1"/>
    <col min="2305" max="2305" width="6.28515625" customWidth="1"/>
    <col min="2306" max="2306" width="21.28515625" customWidth="1"/>
    <col min="2307" max="2307" width="38.5703125" customWidth="1"/>
    <col min="2308" max="2308" width="8.85546875" customWidth="1"/>
    <col min="2309" max="2309" width="18.140625" customWidth="1"/>
    <col min="2310" max="2310" width="13.140625" customWidth="1"/>
    <col min="2561" max="2561" width="6.28515625" customWidth="1"/>
    <col min="2562" max="2562" width="21.28515625" customWidth="1"/>
    <col min="2563" max="2563" width="38.5703125" customWidth="1"/>
    <col min="2564" max="2564" width="8.85546875" customWidth="1"/>
    <col min="2565" max="2565" width="18.140625" customWidth="1"/>
    <col min="2566" max="2566" width="13.140625" customWidth="1"/>
    <col min="2817" max="2817" width="6.28515625" customWidth="1"/>
    <col min="2818" max="2818" width="21.28515625" customWidth="1"/>
    <col min="2819" max="2819" width="38.5703125" customWidth="1"/>
    <col min="2820" max="2820" width="8.85546875" customWidth="1"/>
    <col min="2821" max="2821" width="18.140625" customWidth="1"/>
    <col min="2822" max="2822" width="13.140625" customWidth="1"/>
    <col min="3073" max="3073" width="6.28515625" customWidth="1"/>
    <col min="3074" max="3074" width="21.28515625" customWidth="1"/>
    <col min="3075" max="3075" width="38.5703125" customWidth="1"/>
    <col min="3076" max="3076" width="8.85546875" customWidth="1"/>
    <col min="3077" max="3077" width="18.140625" customWidth="1"/>
    <col min="3078" max="3078" width="13.140625" customWidth="1"/>
    <col min="3329" max="3329" width="6.28515625" customWidth="1"/>
    <col min="3330" max="3330" width="21.28515625" customWidth="1"/>
    <col min="3331" max="3331" width="38.5703125" customWidth="1"/>
    <col min="3332" max="3332" width="8.85546875" customWidth="1"/>
    <col min="3333" max="3333" width="18.140625" customWidth="1"/>
    <col min="3334" max="3334" width="13.140625" customWidth="1"/>
    <col min="3585" max="3585" width="6.28515625" customWidth="1"/>
    <col min="3586" max="3586" width="21.28515625" customWidth="1"/>
    <col min="3587" max="3587" width="38.5703125" customWidth="1"/>
    <col min="3588" max="3588" width="8.85546875" customWidth="1"/>
    <col min="3589" max="3589" width="18.140625" customWidth="1"/>
    <col min="3590" max="3590" width="13.140625" customWidth="1"/>
    <col min="3841" max="3841" width="6.28515625" customWidth="1"/>
    <col min="3842" max="3842" width="21.28515625" customWidth="1"/>
    <col min="3843" max="3843" width="38.5703125" customWidth="1"/>
    <col min="3844" max="3844" width="8.85546875" customWidth="1"/>
    <col min="3845" max="3845" width="18.140625" customWidth="1"/>
    <col min="3846" max="3846" width="13.140625" customWidth="1"/>
    <col min="4097" max="4097" width="6.28515625" customWidth="1"/>
    <col min="4098" max="4098" width="21.28515625" customWidth="1"/>
    <col min="4099" max="4099" width="38.5703125" customWidth="1"/>
    <col min="4100" max="4100" width="8.85546875" customWidth="1"/>
    <col min="4101" max="4101" width="18.140625" customWidth="1"/>
    <col min="4102" max="4102" width="13.140625" customWidth="1"/>
    <col min="4353" max="4353" width="6.28515625" customWidth="1"/>
    <col min="4354" max="4354" width="21.28515625" customWidth="1"/>
    <col min="4355" max="4355" width="38.5703125" customWidth="1"/>
    <col min="4356" max="4356" width="8.85546875" customWidth="1"/>
    <col min="4357" max="4357" width="18.140625" customWidth="1"/>
    <col min="4358" max="4358" width="13.140625" customWidth="1"/>
    <col min="4609" max="4609" width="6.28515625" customWidth="1"/>
    <col min="4610" max="4610" width="21.28515625" customWidth="1"/>
    <col min="4611" max="4611" width="38.5703125" customWidth="1"/>
    <col min="4612" max="4612" width="8.85546875" customWidth="1"/>
    <col min="4613" max="4613" width="18.140625" customWidth="1"/>
    <col min="4614" max="4614" width="13.140625" customWidth="1"/>
    <col min="4865" max="4865" width="6.28515625" customWidth="1"/>
    <col min="4866" max="4866" width="21.28515625" customWidth="1"/>
    <col min="4867" max="4867" width="38.5703125" customWidth="1"/>
    <col min="4868" max="4868" width="8.85546875" customWidth="1"/>
    <col min="4869" max="4869" width="18.140625" customWidth="1"/>
    <col min="4870" max="4870" width="13.140625" customWidth="1"/>
    <col min="5121" max="5121" width="6.28515625" customWidth="1"/>
    <col min="5122" max="5122" width="21.28515625" customWidth="1"/>
    <col min="5123" max="5123" width="38.5703125" customWidth="1"/>
    <col min="5124" max="5124" width="8.85546875" customWidth="1"/>
    <col min="5125" max="5125" width="18.140625" customWidth="1"/>
    <col min="5126" max="5126" width="13.140625" customWidth="1"/>
    <col min="5377" max="5377" width="6.28515625" customWidth="1"/>
    <col min="5378" max="5378" width="21.28515625" customWidth="1"/>
    <col min="5379" max="5379" width="38.5703125" customWidth="1"/>
    <col min="5380" max="5380" width="8.85546875" customWidth="1"/>
    <col min="5381" max="5381" width="18.140625" customWidth="1"/>
    <col min="5382" max="5382" width="13.140625" customWidth="1"/>
    <col min="5633" max="5633" width="6.28515625" customWidth="1"/>
    <col min="5634" max="5634" width="21.28515625" customWidth="1"/>
    <col min="5635" max="5635" width="38.5703125" customWidth="1"/>
    <col min="5636" max="5636" width="8.85546875" customWidth="1"/>
    <col min="5637" max="5637" width="18.140625" customWidth="1"/>
    <col min="5638" max="5638" width="13.140625" customWidth="1"/>
    <col min="5889" max="5889" width="6.28515625" customWidth="1"/>
    <col min="5890" max="5890" width="21.28515625" customWidth="1"/>
    <col min="5891" max="5891" width="38.5703125" customWidth="1"/>
    <col min="5892" max="5892" width="8.85546875" customWidth="1"/>
    <col min="5893" max="5893" width="18.140625" customWidth="1"/>
    <col min="5894" max="5894" width="13.140625" customWidth="1"/>
    <col min="6145" max="6145" width="6.28515625" customWidth="1"/>
    <col min="6146" max="6146" width="21.28515625" customWidth="1"/>
    <col min="6147" max="6147" width="38.5703125" customWidth="1"/>
    <col min="6148" max="6148" width="8.85546875" customWidth="1"/>
    <col min="6149" max="6149" width="18.140625" customWidth="1"/>
    <col min="6150" max="6150" width="13.140625" customWidth="1"/>
    <col min="6401" max="6401" width="6.28515625" customWidth="1"/>
    <col min="6402" max="6402" width="21.28515625" customWidth="1"/>
    <col min="6403" max="6403" width="38.5703125" customWidth="1"/>
    <col min="6404" max="6404" width="8.85546875" customWidth="1"/>
    <col min="6405" max="6405" width="18.140625" customWidth="1"/>
    <col min="6406" max="6406" width="13.140625" customWidth="1"/>
    <col min="6657" max="6657" width="6.28515625" customWidth="1"/>
    <col min="6658" max="6658" width="21.28515625" customWidth="1"/>
    <col min="6659" max="6659" width="38.5703125" customWidth="1"/>
    <col min="6660" max="6660" width="8.85546875" customWidth="1"/>
    <col min="6661" max="6661" width="18.140625" customWidth="1"/>
    <col min="6662" max="6662" width="13.140625" customWidth="1"/>
    <col min="6913" max="6913" width="6.28515625" customWidth="1"/>
    <col min="6914" max="6914" width="21.28515625" customWidth="1"/>
    <col min="6915" max="6915" width="38.5703125" customWidth="1"/>
    <col min="6916" max="6916" width="8.85546875" customWidth="1"/>
    <col min="6917" max="6917" width="18.140625" customWidth="1"/>
    <col min="6918" max="6918" width="13.140625" customWidth="1"/>
    <col min="7169" max="7169" width="6.28515625" customWidth="1"/>
    <col min="7170" max="7170" width="21.28515625" customWidth="1"/>
    <col min="7171" max="7171" width="38.5703125" customWidth="1"/>
    <col min="7172" max="7172" width="8.85546875" customWidth="1"/>
    <col min="7173" max="7173" width="18.140625" customWidth="1"/>
    <col min="7174" max="7174" width="13.140625" customWidth="1"/>
    <col min="7425" max="7425" width="6.28515625" customWidth="1"/>
    <col min="7426" max="7426" width="21.28515625" customWidth="1"/>
    <col min="7427" max="7427" width="38.5703125" customWidth="1"/>
    <col min="7428" max="7428" width="8.85546875" customWidth="1"/>
    <col min="7429" max="7429" width="18.140625" customWidth="1"/>
    <col min="7430" max="7430" width="13.140625" customWidth="1"/>
    <col min="7681" max="7681" width="6.28515625" customWidth="1"/>
    <col min="7682" max="7682" width="21.28515625" customWidth="1"/>
    <col min="7683" max="7683" width="38.5703125" customWidth="1"/>
    <col min="7684" max="7684" width="8.85546875" customWidth="1"/>
    <col min="7685" max="7685" width="18.140625" customWidth="1"/>
    <col min="7686" max="7686" width="13.140625" customWidth="1"/>
    <col min="7937" max="7937" width="6.28515625" customWidth="1"/>
    <col min="7938" max="7938" width="21.28515625" customWidth="1"/>
    <col min="7939" max="7939" width="38.5703125" customWidth="1"/>
    <col min="7940" max="7940" width="8.85546875" customWidth="1"/>
    <col min="7941" max="7941" width="18.140625" customWidth="1"/>
    <col min="7942" max="7942" width="13.140625" customWidth="1"/>
    <col min="8193" max="8193" width="6.28515625" customWidth="1"/>
    <col min="8194" max="8194" width="21.28515625" customWidth="1"/>
    <col min="8195" max="8195" width="38.5703125" customWidth="1"/>
    <col min="8196" max="8196" width="8.85546875" customWidth="1"/>
    <col min="8197" max="8197" width="18.140625" customWidth="1"/>
    <col min="8198" max="8198" width="13.140625" customWidth="1"/>
    <col min="8449" max="8449" width="6.28515625" customWidth="1"/>
    <col min="8450" max="8450" width="21.28515625" customWidth="1"/>
    <col min="8451" max="8451" width="38.5703125" customWidth="1"/>
    <col min="8452" max="8452" width="8.85546875" customWidth="1"/>
    <col min="8453" max="8453" width="18.140625" customWidth="1"/>
    <col min="8454" max="8454" width="13.140625" customWidth="1"/>
    <col min="8705" max="8705" width="6.28515625" customWidth="1"/>
    <col min="8706" max="8706" width="21.28515625" customWidth="1"/>
    <col min="8707" max="8707" width="38.5703125" customWidth="1"/>
    <col min="8708" max="8708" width="8.85546875" customWidth="1"/>
    <col min="8709" max="8709" width="18.140625" customWidth="1"/>
    <col min="8710" max="8710" width="13.140625" customWidth="1"/>
    <col min="8961" max="8961" width="6.28515625" customWidth="1"/>
    <col min="8962" max="8962" width="21.28515625" customWidth="1"/>
    <col min="8963" max="8963" width="38.5703125" customWidth="1"/>
    <col min="8964" max="8964" width="8.85546875" customWidth="1"/>
    <col min="8965" max="8965" width="18.140625" customWidth="1"/>
    <col min="8966" max="8966" width="13.140625" customWidth="1"/>
    <col min="9217" max="9217" width="6.28515625" customWidth="1"/>
    <col min="9218" max="9218" width="21.28515625" customWidth="1"/>
    <col min="9219" max="9219" width="38.5703125" customWidth="1"/>
    <col min="9220" max="9220" width="8.85546875" customWidth="1"/>
    <col min="9221" max="9221" width="18.140625" customWidth="1"/>
    <col min="9222" max="9222" width="13.140625" customWidth="1"/>
    <col min="9473" max="9473" width="6.28515625" customWidth="1"/>
    <col min="9474" max="9474" width="21.28515625" customWidth="1"/>
    <col min="9475" max="9475" width="38.5703125" customWidth="1"/>
    <col min="9476" max="9476" width="8.85546875" customWidth="1"/>
    <col min="9477" max="9477" width="18.140625" customWidth="1"/>
    <col min="9478" max="9478" width="13.140625" customWidth="1"/>
    <col min="9729" max="9729" width="6.28515625" customWidth="1"/>
    <col min="9730" max="9730" width="21.28515625" customWidth="1"/>
    <col min="9731" max="9731" width="38.5703125" customWidth="1"/>
    <col min="9732" max="9732" width="8.85546875" customWidth="1"/>
    <col min="9733" max="9733" width="18.140625" customWidth="1"/>
    <col min="9734" max="9734" width="13.140625" customWidth="1"/>
    <col min="9985" max="9985" width="6.28515625" customWidth="1"/>
    <col min="9986" max="9986" width="21.28515625" customWidth="1"/>
    <col min="9987" max="9987" width="38.5703125" customWidth="1"/>
    <col min="9988" max="9988" width="8.85546875" customWidth="1"/>
    <col min="9989" max="9989" width="18.140625" customWidth="1"/>
    <col min="9990" max="9990" width="13.140625" customWidth="1"/>
    <col min="10241" max="10241" width="6.28515625" customWidth="1"/>
    <col min="10242" max="10242" width="21.28515625" customWidth="1"/>
    <col min="10243" max="10243" width="38.5703125" customWidth="1"/>
    <col min="10244" max="10244" width="8.85546875" customWidth="1"/>
    <col min="10245" max="10245" width="18.140625" customWidth="1"/>
    <col min="10246" max="10246" width="13.140625" customWidth="1"/>
    <col min="10497" max="10497" width="6.28515625" customWidth="1"/>
    <col min="10498" max="10498" width="21.28515625" customWidth="1"/>
    <col min="10499" max="10499" width="38.5703125" customWidth="1"/>
    <col min="10500" max="10500" width="8.85546875" customWidth="1"/>
    <col min="10501" max="10501" width="18.140625" customWidth="1"/>
    <col min="10502" max="10502" width="13.140625" customWidth="1"/>
    <col min="10753" max="10753" width="6.28515625" customWidth="1"/>
    <col min="10754" max="10754" width="21.28515625" customWidth="1"/>
    <col min="10755" max="10755" width="38.5703125" customWidth="1"/>
    <col min="10756" max="10756" width="8.85546875" customWidth="1"/>
    <col min="10757" max="10757" width="18.140625" customWidth="1"/>
    <col min="10758" max="10758" width="13.140625" customWidth="1"/>
    <col min="11009" max="11009" width="6.28515625" customWidth="1"/>
    <col min="11010" max="11010" width="21.28515625" customWidth="1"/>
    <col min="11011" max="11011" width="38.5703125" customWidth="1"/>
    <col min="11012" max="11012" width="8.85546875" customWidth="1"/>
    <col min="11013" max="11013" width="18.140625" customWidth="1"/>
    <col min="11014" max="11014" width="13.140625" customWidth="1"/>
    <col min="11265" max="11265" width="6.28515625" customWidth="1"/>
    <col min="11266" max="11266" width="21.28515625" customWidth="1"/>
    <col min="11267" max="11267" width="38.5703125" customWidth="1"/>
    <col min="11268" max="11268" width="8.85546875" customWidth="1"/>
    <col min="11269" max="11269" width="18.140625" customWidth="1"/>
    <col min="11270" max="11270" width="13.140625" customWidth="1"/>
    <col min="11521" max="11521" width="6.28515625" customWidth="1"/>
    <col min="11522" max="11522" width="21.28515625" customWidth="1"/>
    <col min="11523" max="11523" width="38.5703125" customWidth="1"/>
    <col min="11524" max="11524" width="8.85546875" customWidth="1"/>
    <col min="11525" max="11525" width="18.140625" customWidth="1"/>
    <col min="11526" max="11526" width="13.140625" customWidth="1"/>
    <col min="11777" max="11777" width="6.28515625" customWidth="1"/>
    <col min="11778" max="11778" width="21.28515625" customWidth="1"/>
    <col min="11779" max="11779" width="38.5703125" customWidth="1"/>
    <col min="11780" max="11780" width="8.85546875" customWidth="1"/>
    <col min="11781" max="11781" width="18.140625" customWidth="1"/>
    <col min="11782" max="11782" width="13.140625" customWidth="1"/>
    <col min="12033" max="12033" width="6.28515625" customWidth="1"/>
    <col min="12034" max="12034" width="21.28515625" customWidth="1"/>
    <col min="12035" max="12035" width="38.5703125" customWidth="1"/>
    <col min="12036" max="12036" width="8.85546875" customWidth="1"/>
    <col min="12037" max="12037" width="18.140625" customWidth="1"/>
    <col min="12038" max="12038" width="13.140625" customWidth="1"/>
    <col min="12289" max="12289" width="6.28515625" customWidth="1"/>
    <col min="12290" max="12290" width="21.28515625" customWidth="1"/>
    <col min="12291" max="12291" width="38.5703125" customWidth="1"/>
    <col min="12292" max="12292" width="8.85546875" customWidth="1"/>
    <col min="12293" max="12293" width="18.140625" customWidth="1"/>
    <col min="12294" max="12294" width="13.140625" customWidth="1"/>
    <col min="12545" max="12545" width="6.28515625" customWidth="1"/>
    <col min="12546" max="12546" width="21.28515625" customWidth="1"/>
    <col min="12547" max="12547" width="38.5703125" customWidth="1"/>
    <col min="12548" max="12548" width="8.85546875" customWidth="1"/>
    <col min="12549" max="12549" width="18.140625" customWidth="1"/>
    <col min="12550" max="12550" width="13.140625" customWidth="1"/>
    <col min="12801" max="12801" width="6.28515625" customWidth="1"/>
    <col min="12802" max="12802" width="21.28515625" customWidth="1"/>
    <col min="12803" max="12803" width="38.5703125" customWidth="1"/>
    <col min="12804" max="12804" width="8.85546875" customWidth="1"/>
    <col min="12805" max="12805" width="18.140625" customWidth="1"/>
    <col min="12806" max="12806" width="13.140625" customWidth="1"/>
    <col min="13057" max="13057" width="6.28515625" customWidth="1"/>
    <col min="13058" max="13058" width="21.28515625" customWidth="1"/>
    <col min="13059" max="13059" width="38.5703125" customWidth="1"/>
    <col min="13060" max="13060" width="8.85546875" customWidth="1"/>
    <col min="13061" max="13061" width="18.140625" customWidth="1"/>
    <col min="13062" max="13062" width="13.140625" customWidth="1"/>
    <col min="13313" max="13313" width="6.28515625" customWidth="1"/>
    <col min="13314" max="13314" width="21.28515625" customWidth="1"/>
    <col min="13315" max="13315" width="38.5703125" customWidth="1"/>
    <col min="13316" max="13316" width="8.85546875" customWidth="1"/>
    <col min="13317" max="13317" width="18.140625" customWidth="1"/>
    <col min="13318" max="13318" width="13.140625" customWidth="1"/>
    <col min="13569" max="13569" width="6.28515625" customWidth="1"/>
    <col min="13570" max="13570" width="21.28515625" customWidth="1"/>
    <col min="13571" max="13571" width="38.5703125" customWidth="1"/>
    <col min="13572" max="13572" width="8.85546875" customWidth="1"/>
    <col min="13573" max="13573" width="18.140625" customWidth="1"/>
    <col min="13574" max="13574" width="13.140625" customWidth="1"/>
    <col min="13825" max="13825" width="6.28515625" customWidth="1"/>
    <col min="13826" max="13826" width="21.28515625" customWidth="1"/>
    <col min="13827" max="13827" width="38.5703125" customWidth="1"/>
    <col min="13828" max="13828" width="8.85546875" customWidth="1"/>
    <col min="13829" max="13829" width="18.140625" customWidth="1"/>
    <col min="13830" max="13830" width="13.140625" customWidth="1"/>
    <col min="14081" max="14081" width="6.28515625" customWidth="1"/>
    <col min="14082" max="14082" width="21.28515625" customWidth="1"/>
    <col min="14083" max="14083" width="38.5703125" customWidth="1"/>
    <col min="14084" max="14084" width="8.85546875" customWidth="1"/>
    <col min="14085" max="14085" width="18.140625" customWidth="1"/>
    <col min="14086" max="14086" width="13.140625" customWidth="1"/>
    <col min="14337" max="14337" width="6.28515625" customWidth="1"/>
    <col min="14338" max="14338" width="21.28515625" customWidth="1"/>
    <col min="14339" max="14339" width="38.5703125" customWidth="1"/>
    <col min="14340" max="14340" width="8.85546875" customWidth="1"/>
    <col min="14341" max="14341" width="18.140625" customWidth="1"/>
    <col min="14342" max="14342" width="13.140625" customWidth="1"/>
    <col min="14593" max="14593" width="6.28515625" customWidth="1"/>
    <col min="14594" max="14594" width="21.28515625" customWidth="1"/>
    <col min="14595" max="14595" width="38.5703125" customWidth="1"/>
    <col min="14596" max="14596" width="8.85546875" customWidth="1"/>
    <col min="14597" max="14597" width="18.140625" customWidth="1"/>
    <col min="14598" max="14598" width="13.140625" customWidth="1"/>
    <col min="14849" max="14849" width="6.28515625" customWidth="1"/>
    <col min="14850" max="14850" width="21.28515625" customWidth="1"/>
    <col min="14851" max="14851" width="38.5703125" customWidth="1"/>
    <col min="14852" max="14852" width="8.85546875" customWidth="1"/>
    <col min="14853" max="14853" width="18.140625" customWidth="1"/>
    <col min="14854" max="14854" width="13.140625" customWidth="1"/>
    <col min="15105" max="15105" width="6.28515625" customWidth="1"/>
    <col min="15106" max="15106" width="21.28515625" customWidth="1"/>
    <col min="15107" max="15107" width="38.5703125" customWidth="1"/>
    <col min="15108" max="15108" width="8.85546875" customWidth="1"/>
    <col min="15109" max="15109" width="18.140625" customWidth="1"/>
    <col min="15110" max="15110" width="13.140625" customWidth="1"/>
    <col min="15361" max="15361" width="6.28515625" customWidth="1"/>
    <col min="15362" max="15362" width="21.28515625" customWidth="1"/>
    <col min="15363" max="15363" width="38.5703125" customWidth="1"/>
    <col min="15364" max="15364" width="8.85546875" customWidth="1"/>
    <col min="15365" max="15365" width="18.140625" customWidth="1"/>
    <col min="15366" max="15366" width="13.140625" customWidth="1"/>
    <col min="15617" max="15617" width="6.28515625" customWidth="1"/>
    <col min="15618" max="15618" width="21.28515625" customWidth="1"/>
    <col min="15619" max="15619" width="38.5703125" customWidth="1"/>
    <col min="15620" max="15620" width="8.85546875" customWidth="1"/>
    <col min="15621" max="15621" width="18.140625" customWidth="1"/>
    <col min="15622" max="15622" width="13.140625" customWidth="1"/>
    <col min="15873" max="15873" width="6.28515625" customWidth="1"/>
    <col min="15874" max="15874" width="21.28515625" customWidth="1"/>
    <col min="15875" max="15875" width="38.5703125" customWidth="1"/>
    <col min="15876" max="15876" width="8.85546875" customWidth="1"/>
    <col min="15877" max="15877" width="18.140625" customWidth="1"/>
    <col min="15878" max="15878" width="13.140625" customWidth="1"/>
    <col min="16129" max="16129" width="6.28515625" customWidth="1"/>
    <col min="16130" max="16130" width="21.28515625" customWidth="1"/>
    <col min="16131" max="16131" width="38.5703125" customWidth="1"/>
    <col min="16132" max="16132" width="8.85546875" customWidth="1"/>
    <col min="16133" max="16133" width="18.140625" customWidth="1"/>
    <col min="16134" max="16134" width="13.140625" customWidth="1"/>
  </cols>
  <sheetData>
    <row r="1" spans="1:9" s="85" customFormat="1" ht="12.75" x14ac:dyDescent="0.2">
      <c r="A1" s="290" t="s">
        <v>115</v>
      </c>
      <c r="B1" s="291"/>
      <c r="C1" s="291"/>
      <c r="D1" s="291"/>
      <c r="E1" s="291"/>
      <c r="F1" s="291"/>
      <c r="G1" s="291"/>
      <c r="H1" s="291"/>
      <c r="I1" s="291"/>
    </row>
    <row r="2" spans="1:9" s="85" customFormat="1" ht="12.75" x14ac:dyDescent="0.2">
      <c r="A2" s="292" t="s">
        <v>4</v>
      </c>
      <c r="B2" s="291"/>
      <c r="C2" s="291"/>
      <c r="D2" s="291"/>
      <c r="E2" s="291"/>
      <c r="F2" s="291"/>
      <c r="G2" s="291"/>
      <c r="H2" s="291"/>
      <c r="I2" s="291"/>
    </row>
    <row r="3" spans="1:9" s="88" customFormat="1" ht="15.75" customHeight="1" x14ac:dyDescent="0.2">
      <c r="A3" s="463"/>
      <c r="B3" s="464"/>
      <c r="C3" s="464"/>
      <c r="D3" s="464"/>
      <c r="E3" s="464"/>
      <c r="F3" s="86" t="s">
        <v>1</v>
      </c>
      <c r="G3" s="87"/>
      <c r="H3" s="87"/>
    </row>
    <row r="4" spans="1:9" s="88" customFormat="1" ht="17.25" customHeight="1" x14ac:dyDescent="0.2">
      <c r="A4" s="465" t="s">
        <v>354</v>
      </c>
      <c r="B4" s="466"/>
      <c r="C4" s="466"/>
      <c r="D4" s="466"/>
      <c r="E4" s="466"/>
      <c r="F4" s="466"/>
      <c r="G4" s="466"/>
      <c r="H4" s="466"/>
    </row>
    <row r="5" spans="1:9" s="88" customFormat="1" ht="22.5" customHeight="1" x14ac:dyDescent="0.2">
      <c r="A5" s="467" t="s">
        <v>6</v>
      </c>
      <c r="B5" s="468"/>
      <c r="C5" s="468"/>
      <c r="D5" s="468"/>
      <c r="E5" s="468"/>
      <c r="F5" s="468"/>
      <c r="G5" s="468"/>
      <c r="H5" s="468"/>
    </row>
    <row r="6" spans="1:9" s="88" customFormat="1" ht="30.75" customHeight="1" x14ac:dyDescent="0.2">
      <c r="A6" s="455" t="s">
        <v>7</v>
      </c>
      <c r="B6" s="456"/>
      <c r="C6" s="462"/>
      <c r="D6" s="462"/>
      <c r="E6" s="462"/>
      <c r="F6" s="462"/>
      <c r="G6" s="89"/>
      <c r="H6" s="89"/>
    </row>
    <row r="7" spans="1:9" s="88" customFormat="1" ht="17.25" customHeight="1" x14ac:dyDescent="0.2">
      <c r="A7" s="455" t="s">
        <v>8</v>
      </c>
      <c r="B7" s="456"/>
      <c r="C7" s="89"/>
      <c r="D7" s="90"/>
      <c r="E7" s="89"/>
      <c r="F7" s="89"/>
      <c r="G7" s="89"/>
      <c r="H7" s="89"/>
    </row>
    <row r="8" spans="1:9" s="88" customFormat="1" ht="26.25" customHeight="1" x14ac:dyDescent="0.2">
      <c r="A8" s="457" t="s">
        <v>117</v>
      </c>
      <c r="B8" s="458"/>
      <c r="C8" s="459"/>
      <c r="D8" s="459"/>
      <c r="E8" s="459"/>
      <c r="F8" s="459"/>
      <c r="G8" s="91"/>
      <c r="H8" s="91"/>
    </row>
    <row r="9" spans="1:9" s="88" customFormat="1" ht="26.25" customHeight="1" x14ac:dyDescent="0.2">
      <c r="A9" s="460" t="s">
        <v>10</v>
      </c>
      <c r="B9" s="461"/>
      <c r="C9" s="92"/>
      <c r="D9" s="92"/>
      <c r="E9" s="93"/>
      <c r="F9" s="94"/>
      <c r="G9" s="92"/>
      <c r="H9" s="92"/>
    </row>
    <row r="10" spans="1:9" s="88" customFormat="1" ht="26.25" customHeight="1" x14ac:dyDescent="0.2">
      <c r="A10" s="460" t="s">
        <v>150</v>
      </c>
      <c r="B10" s="461"/>
      <c r="C10" s="95"/>
      <c r="D10" s="95"/>
      <c r="E10" s="95"/>
      <c r="F10" s="95"/>
      <c r="G10" s="95"/>
      <c r="H10" s="95"/>
    </row>
    <row r="11" spans="1:9" s="88" customFormat="1" ht="13.5" customHeight="1" x14ac:dyDescent="0.2">
      <c r="A11" s="455" t="s">
        <v>355</v>
      </c>
      <c r="B11" s="456"/>
      <c r="C11" s="462" t="s">
        <v>356</v>
      </c>
      <c r="D11" s="462"/>
      <c r="E11" s="462"/>
      <c r="F11" s="462"/>
      <c r="G11" s="89"/>
      <c r="H11" s="89"/>
    </row>
    <row r="12" spans="1:9" s="88" customFormat="1" ht="18" customHeight="1" x14ac:dyDescent="0.2">
      <c r="A12" s="96" t="s">
        <v>357</v>
      </c>
      <c r="B12" s="97"/>
      <c r="C12" s="462" t="s">
        <v>358</v>
      </c>
      <c r="D12" s="462"/>
      <c r="E12" s="462"/>
      <c r="F12" s="462"/>
      <c r="G12" s="89"/>
      <c r="H12" s="89"/>
    </row>
    <row r="13" spans="1:9" s="88" customFormat="1" ht="16.5" customHeight="1" x14ac:dyDescent="0.2">
      <c r="A13" s="98"/>
      <c r="B13" s="97"/>
      <c r="C13" s="462" t="s">
        <v>448</v>
      </c>
      <c r="D13" s="462"/>
      <c r="E13" s="462"/>
      <c r="F13" s="462"/>
      <c r="G13" s="89"/>
      <c r="H13" s="89"/>
    </row>
    <row r="14" spans="1:9" s="88" customFormat="1" ht="12" customHeight="1" x14ac:dyDescent="0.2">
      <c r="A14" s="98"/>
      <c r="B14" s="97"/>
      <c r="C14" s="99"/>
      <c r="D14" s="99"/>
      <c r="E14" s="99"/>
      <c r="F14" s="99"/>
      <c r="G14" s="89"/>
      <c r="H14" s="89"/>
    </row>
    <row r="15" spans="1:9" s="104" customFormat="1" ht="70.5" customHeight="1" x14ac:dyDescent="0.25">
      <c r="A15" s="100" t="s">
        <v>16</v>
      </c>
      <c r="B15" s="101" t="s">
        <v>359</v>
      </c>
      <c r="C15" s="101" t="s">
        <v>360</v>
      </c>
      <c r="D15" s="101" t="s">
        <v>19</v>
      </c>
      <c r="E15" s="101" t="s">
        <v>121</v>
      </c>
      <c r="F15" s="102" t="s">
        <v>361</v>
      </c>
      <c r="G15" s="103"/>
      <c r="H15" s="103"/>
    </row>
    <row r="16" spans="1:9" s="104" customFormat="1" ht="15.75" customHeight="1" x14ac:dyDescent="0.25">
      <c r="A16" s="100">
        <v>1</v>
      </c>
      <c r="B16" s="105">
        <v>2</v>
      </c>
      <c r="C16" s="106">
        <v>3</v>
      </c>
      <c r="D16" s="106">
        <v>4</v>
      </c>
      <c r="E16" s="101">
        <v>5</v>
      </c>
      <c r="F16" s="107">
        <v>6</v>
      </c>
      <c r="G16" s="103"/>
      <c r="H16" s="103"/>
    </row>
    <row r="17" spans="1:8" s="85" customFormat="1" ht="18" customHeight="1" x14ac:dyDescent="0.2">
      <c r="A17" s="100">
        <v>1</v>
      </c>
      <c r="B17" s="108" t="s">
        <v>362</v>
      </c>
      <c r="C17" s="109"/>
      <c r="D17" s="109"/>
      <c r="E17" s="110"/>
      <c r="F17" s="111"/>
      <c r="G17" s="112"/>
      <c r="H17" s="112"/>
    </row>
    <row r="18" spans="1:8" s="85" customFormat="1" ht="207.75" customHeight="1" x14ac:dyDescent="0.2">
      <c r="A18" s="100">
        <v>1</v>
      </c>
      <c r="B18" s="113" t="s">
        <v>363</v>
      </c>
      <c r="C18" s="113" t="s">
        <v>439</v>
      </c>
      <c r="D18" s="114" t="s">
        <v>364</v>
      </c>
      <c r="E18" s="217" t="s">
        <v>438</v>
      </c>
      <c r="F18" s="222">
        <f>956.34 * 60% * 1.3 * 1.2 * 1.15 * 1.02 * 3.7</f>
        <v>3884.9721150240002</v>
      </c>
      <c r="G18" s="112"/>
      <c r="H18" s="112"/>
    </row>
    <row r="19" spans="1:8" s="85" customFormat="1" ht="192" x14ac:dyDescent="0.2">
      <c r="A19" s="100">
        <v>2</v>
      </c>
      <c r="B19" s="113" t="s">
        <v>365</v>
      </c>
      <c r="C19" s="113" t="s">
        <v>440</v>
      </c>
      <c r="D19" s="114" t="s">
        <v>364</v>
      </c>
      <c r="E19" s="218" t="s">
        <v>442</v>
      </c>
      <c r="F19" s="223">
        <f>182.77*60%*1.3*1.15*3.7</f>
        <v>606.59535300000005</v>
      </c>
      <c r="G19" s="112"/>
      <c r="H19" s="112"/>
    </row>
    <row r="20" spans="1:8" s="85" customFormat="1" ht="170.25" customHeight="1" x14ac:dyDescent="0.2">
      <c r="A20" s="115" t="s">
        <v>326</v>
      </c>
      <c r="B20" s="113" t="s">
        <v>366</v>
      </c>
      <c r="C20" s="116" t="s">
        <v>441</v>
      </c>
      <c r="D20" s="114" t="s">
        <v>364</v>
      </c>
      <c r="E20" s="217" t="s">
        <v>443</v>
      </c>
      <c r="F20" s="223">
        <f>124.19*60%*1.3*1.15*3.7</f>
        <v>412.17419100000001</v>
      </c>
      <c r="G20" s="112"/>
      <c r="H20" s="112"/>
    </row>
    <row r="21" spans="1:8" s="85" customFormat="1" ht="159" customHeight="1" x14ac:dyDescent="0.2">
      <c r="A21" s="100">
        <v>4</v>
      </c>
      <c r="B21" s="113" t="s">
        <v>367</v>
      </c>
      <c r="C21" s="113" t="s">
        <v>444</v>
      </c>
      <c r="D21" s="113" t="s">
        <v>368</v>
      </c>
      <c r="E21" s="219" t="s">
        <v>445</v>
      </c>
      <c r="F21" s="224">
        <f>(242.97-((257.1-242.97)/(450-288))*(288-193)*0.6) * 60% * 0.5 * 1.3 * 3.7</f>
        <v>343.43159500000007</v>
      </c>
      <c r="G21" s="112"/>
      <c r="H21" s="112"/>
    </row>
    <row r="22" spans="1:8" s="85" customFormat="1" ht="125.25" customHeight="1" x14ac:dyDescent="0.2">
      <c r="A22" s="115" t="s">
        <v>140</v>
      </c>
      <c r="B22" s="113" t="s">
        <v>369</v>
      </c>
      <c r="C22" s="113" t="s">
        <v>446</v>
      </c>
      <c r="D22" s="113" t="s">
        <v>370</v>
      </c>
      <c r="E22" s="220" t="s">
        <v>447</v>
      </c>
      <c r="F22" s="224">
        <f>86.26*60%*1.3*3.7</f>
        <v>248.94636000000006</v>
      </c>
      <c r="G22" s="112"/>
      <c r="H22" s="117"/>
    </row>
    <row r="23" spans="1:8" s="85" customFormat="1" ht="36" x14ac:dyDescent="0.2">
      <c r="A23" s="100">
        <v>6</v>
      </c>
      <c r="B23" s="113" t="s">
        <v>371</v>
      </c>
      <c r="C23" s="113" t="s">
        <v>372</v>
      </c>
      <c r="D23" s="113"/>
      <c r="E23" s="221" t="s">
        <v>456</v>
      </c>
      <c r="F23" s="171">
        <f>F18*25%</f>
        <v>971.24302875600006</v>
      </c>
      <c r="G23" s="117"/>
      <c r="H23" s="117"/>
    </row>
    <row r="24" spans="1:8" s="85" customFormat="1" ht="100.5" customHeight="1" x14ac:dyDescent="0.2">
      <c r="A24" s="100">
        <v>7</v>
      </c>
      <c r="B24" s="118" t="s">
        <v>373</v>
      </c>
      <c r="C24" s="113" t="s">
        <v>449</v>
      </c>
      <c r="D24" s="101" t="s">
        <v>374</v>
      </c>
      <c r="E24" s="217" t="s">
        <v>450</v>
      </c>
      <c r="F24" s="222">
        <f>(1068.07+4.25*(0.4*10+0.6*2))*60%*3.7</f>
        <v>2420.1773999999996</v>
      </c>
      <c r="G24" s="112"/>
      <c r="H24" s="112"/>
    </row>
    <row r="25" spans="1:8" s="85" customFormat="1" ht="77.25" customHeight="1" x14ac:dyDescent="0.2">
      <c r="A25" s="100">
        <v>8</v>
      </c>
      <c r="B25" s="113" t="s">
        <v>375</v>
      </c>
      <c r="C25" s="168" t="s">
        <v>427</v>
      </c>
      <c r="D25" s="182" t="s">
        <v>376</v>
      </c>
      <c r="E25" s="168" t="s">
        <v>428</v>
      </c>
      <c r="F25" s="171">
        <f>77.5*50%*3.7</f>
        <v>143.375</v>
      </c>
      <c r="G25" s="112"/>
      <c r="H25" s="112"/>
    </row>
    <row r="26" spans="1:8" s="121" customFormat="1" ht="12.75" x14ac:dyDescent="0.2">
      <c r="A26" s="119"/>
      <c r="B26" s="477" t="s">
        <v>377</v>
      </c>
      <c r="C26" s="478"/>
      <c r="D26" s="478"/>
      <c r="E26" s="479"/>
      <c r="F26" s="225">
        <f>SUM(F18:F25)-0.0006</f>
        <v>9030.9144427800002</v>
      </c>
      <c r="G26" s="120"/>
      <c r="H26" s="120"/>
    </row>
    <row r="27" spans="1:8" s="121" customFormat="1" ht="30" customHeight="1" x14ac:dyDescent="0.2">
      <c r="A27" s="119"/>
      <c r="B27" s="480" t="s">
        <v>378</v>
      </c>
      <c r="C27" s="481"/>
      <c r="D27" s="481"/>
      <c r="E27" s="482"/>
      <c r="F27" s="225">
        <f>F26</f>
        <v>9030.9144427800002</v>
      </c>
      <c r="G27" s="120"/>
      <c r="H27" s="120"/>
    </row>
    <row r="28" spans="1:8" s="121" customFormat="1" ht="12.75" x14ac:dyDescent="0.2">
      <c r="A28" s="119"/>
      <c r="B28" s="477" t="s">
        <v>379</v>
      </c>
      <c r="C28" s="478"/>
      <c r="D28" s="479"/>
      <c r="E28" s="122"/>
      <c r="F28" s="225">
        <f>F27</f>
        <v>9030.9144427800002</v>
      </c>
      <c r="G28" s="120"/>
      <c r="H28" s="120"/>
    </row>
    <row r="29" spans="1:8" s="85" customFormat="1" ht="12.75" x14ac:dyDescent="0.2">
      <c r="A29" s="100"/>
      <c r="B29" s="469" t="s">
        <v>324</v>
      </c>
      <c r="C29" s="470"/>
      <c r="D29" s="471"/>
      <c r="E29" s="123">
        <v>0.18</v>
      </c>
      <c r="F29" s="226">
        <f>F28*0.18</f>
        <v>1625.5645997003999</v>
      </c>
      <c r="G29" s="112"/>
      <c r="H29" s="112"/>
    </row>
    <row r="30" spans="1:8" s="121" customFormat="1" ht="12.75" x14ac:dyDescent="0.2">
      <c r="A30" s="119"/>
      <c r="B30" s="472" t="s">
        <v>380</v>
      </c>
      <c r="C30" s="473"/>
      <c r="D30" s="474"/>
      <c r="E30" s="124"/>
      <c r="F30" s="225">
        <f>F28+F29</f>
        <v>10656.4790424804</v>
      </c>
      <c r="G30" s="120"/>
      <c r="H30" s="120"/>
    </row>
    <row r="31" spans="1:8" s="85" customFormat="1" ht="12.75" hidden="1" x14ac:dyDescent="0.2">
      <c r="A31" s="125"/>
      <c r="B31" s="126" t="s">
        <v>381</v>
      </c>
      <c r="C31" s="127"/>
      <c r="D31" s="127"/>
      <c r="E31" s="128">
        <f>F31/F26</f>
        <v>23.902950400840005</v>
      </c>
      <c r="F31" s="129">
        <f>863462*0.25</f>
        <v>215865.5</v>
      </c>
      <c r="G31" s="130"/>
      <c r="H31" s="130"/>
    </row>
    <row r="32" spans="1:8" s="85" customFormat="1" ht="12.75" hidden="1" x14ac:dyDescent="0.2">
      <c r="A32" s="125"/>
      <c r="B32" s="127" t="s">
        <v>382</v>
      </c>
      <c r="C32" s="127"/>
      <c r="D32" s="127"/>
      <c r="E32" s="131">
        <v>0.18</v>
      </c>
      <c r="F32" s="129">
        <f>F31*E32</f>
        <v>38855.79</v>
      </c>
      <c r="G32" s="130"/>
      <c r="H32" s="130"/>
    </row>
    <row r="33" spans="1:8" s="121" customFormat="1" ht="12.75" hidden="1" x14ac:dyDescent="0.2">
      <c r="A33" s="132"/>
      <c r="B33" s="133" t="s">
        <v>383</v>
      </c>
      <c r="C33" s="133"/>
      <c r="D33" s="133"/>
      <c r="E33" s="133"/>
      <c r="F33" s="134">
        <f>F31+F32</f>
        <v>254721.29</v>
      </c>
      <c r="G33" s="135"/>
      <c r="H33" s="135"/>
    </row>
    <row r="34" spans="1:8" s="85" customFormat="1" ht="12.75" x14ac:dyDescent="0.2">
      <c r="A34" s="136"/>
      <c r="B34" s="137"/>
      <c r="C34" s="137"/>
      <c r="D34" s="137"/>
      <c r="E34" s="137"/>
      <c r="F34" s="138"/>
      <c r="G34" s="130"/>
      <c r="H34" s="130"/>
    </row>
    <row r="35" spans="1:8" s="88" customFormat="1" ht="15.75" customHeight="1" x14ac:dyDescent="0.2">
      <c r="A35" s="475" t="s">
        <v>451</v>
      </c>
      <c r="B35" s="476"/>
      <c r="C35" s="476"/>
      <c r="D35" s="476"/>
      <c r="E35" s="476"/>
      <c r="F35" s="476"/>
      <c r="G35" s="476"/>
      <c r="H35" s="476"/>
    </row>
    <row r="36" spans="1:8" s="88" customFormat="1" ht="11.25" customHeight="1" x14ac:dyDescent="0.2">
      <c r="A36" s="139"/>
      <c r="B36" s="139"/>
      <c r="C36" s="139"/>
      <c r="D36" s="139"/>
      <c r="E36" s="140"/>
      <c r="F36" s="139"/>
      <c r="G36" s="139"/>
      <c r="H36" s="139"/>
    </row>
    <row r="37" spans="1:8" s="88" customFormat="1" ht="39.75" customHeight="1" x14ac:dyDescent="0.2">
      <c r="A37" s="318" t="s">
        <v>146</v>
      </c>
      <c r="B37" s="318"/>
      <c r="C37" s="318"/>
      <c r="D37" s="318"/>
      <c r="E37" s="318"/>
      <c r="F37" s="141"/>
      <c r="G37" s="141"/>
      <c r="H37" s="141"/>
    </row>
    <row r="38" spans="1:8" s="88" customFormat="1" ht="39.75" customHeight="1" x14ac:dyDescent="0.2">
      <c r="A38" s="318" t="s">
        <v>147</v>
      </c>
      <c r="B38" s="318"/>
      <c r="C38" s="318"/>
      <c r="D38" s="318"/>
      <c r="E38" s="318"/>
      <c r="F38" s="141"/>
      <c r="G38" s="141"/>
      <c r="H38" s="141"/>
    </row>
  </sheetData>
  <mergeCells count="24">
    <mergeCell ref="A6:B6"/>
    <mergeCell ref="C6:F6"/>
    <mergeCell ref="A1:I1"/>
    <mergeCell ref="A2:I2"/>
    <mergeCell ref="A3:E3"/>
    <mergeCell ref="A4:H4"/>
    <mergeCell ref="A5:H5"/>
    <mergeCell ref="B28:D28"/>
    <mergeCell ref="A7:B7"/>
    <mergeCell ref="A8:B8"/>
    <mergeCell ref="C8:F8"/>
    <mergeCell ref="A9:B9"/>
    <mergeCell ref="A10:B10"/>
    <mergeCell ref="A11:B11"/>
    <mergeCell ref="C11:F11"/>
    <mergeCell ref="C12:F12"/>
    <mergeCell ref="C13:F13"/>
    <mergeCell ref="B26:E26"/>
    <mergeCell ref="B27:E27"/>
    <mergeCell ref="B29:D29"/>
    <mergeCell ref="B30:D30"/>
    <mergeCell ref="A35:H35"/>
    <mergeCell ref="A37:E37"/>
    <mergeCell ref="A38:E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ССР 12-1</vt:lpstr>
      <vt:lpstr>12-1-1</vt:lpstr>
      <vt:lpstr>12-1-2</vt:lpstr>
      <vt:lpstr>12-1-3</vt:lpstr>
      <vt:lpstr>12-1-4</vt:lpstr>
      <vt:lpstr>12-1-5</vt:lpstr>
      <vt:lpstr>12-1-6</vt:lpstr>
      <vt:lpstr>12-1-7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СМЕТЧИК</cp:lastModifiedBy>
  <cp:lastPrinted>2014-10-21T12:38:51Z</cp:lastPrinted>
  <dcterms:created xsi:type="dcterms:W3CDTF">2014-10-17T13:15:51Z</dcterms:created>
  <dcterms:modified xsi:type="dcterms:W3CDTF">2014-10-22T06:04:40Z</dcterms:modified>
</cp:coreProperties>
</file>