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725" yWindow="180" windowWidth="13770" windowHeight="11805" tabRatio="832"/>
  </bookViews>
  <sheets>
    <sheet name="Общий РД_17.04.оформление" sheetId="12" r:id="rId1"/>
  </sheets>
  <definedNames>
    <definedName name="_xlnm.Print_Titles" localSheetId="0">'Общий РД_17.04.оформление'!$4:$14</definedName>
    <definedName name="_xlnm.Print_Area" localSheetId="0">'Общий РД_17.04.оформление'!$A$1:$F$348</definedName>
  </definedNames>
  <calcPr calcId="145621" fullPrecision="0"/>
</workbook>
</file>

<file path=xl/calcChain.xml><?xml version="1.0" encoding="utf-8"?>
<calcChain xmlns="http://schemas.openxmlformats.org/spreadsheetml/2006/main">
  <c r="E218" i="12" l="1"/>
  <c r="E216" i="12" l="1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79" i="12"/>
  <c r="E277" i="12"/>
  <c r="E275" i="12"/>
  <c r="E273" i="12"/>
  <c r="E271" i="12"/>
  <c r="E269" i="12"/>
  <c r="E267" i="12"/>
  <c r="E265" i="12"/>
  <c r="E263" i="12"/>
  <c r="E261" i="12"/>
  <c r="E259" i="12"/>
  <c r="E257" i="12"/>
  <c r="E255" i="12"/>
  <c r="E253" i="12"/>
  <c r="E251" i="12"/>
  <c r="E249" i="12"/>
  <c r="E247" i="12"/>
  <c r="E245" i="12"/>
  <c r="E243" i="12"/>
  <c r="E241" i="12"/>
  <c r="E239" i="12"/>
  <c r="E237" i="12"/>
  <c r="E235" i="12"/>
  <c r="E233" i="12"/>
  <c r="E231" i="12"/>
  <c r="E229" i="12"/>
  <c r="E227" i="12"/>
  <c r="E224" i="12"/>
  <c r="E222" i="12"/>
  <c r="E220" i="12"/>
  <c r="E214" i="12"/>
  <c r="E212" i="12"/>
  <c r="E210" i="12"/>
  <c r="E208" i="12"/>
  <c r="E206" i="12"/>
  <c r="E204" i="12"/>
  <c r="E202" i="12"/>
  <c r="E200" i="12"/>
  <c r="E198" i="12"/>
  <c r="E196" i="12"/>
  <c r="E194" i="12"/>
  <c r="E192" i="12"/>
  <c r="E190" i="12"/>
  <c r="E188" i="12"/>
  <c r="E186" i="12"/>
  <c r="E184" i="12"/>
  <c r="E182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8" i="12"/>
  <c r="E157" i="12"/>
  <c r="E156" i="12"/>
  <c r="E155" i="12"/>
  <c r="E154" i="12"/>
  <c r="E153" i="12"/>
  <c r="E151" i="12"/>
  <c r="E149" i="12"/>
  <c r="E147" i="12"/>
  <c r="E145" i="12"/>
  <c r="E143" i="12"/>
  <c r="E141" i="12"/>
  <c r="E139" i="12"/>
  <c r="E137" i="12"/>
  <c r="E135" i="12"/>
  <c r="E133" i="12"/>
  <c r="E131" i="12"/>
  <c r="E129" i="12"/>
  <c r="E127" i="12"/>
  <c r="E125" i="12"/>
  <c r="E123" i="12"/>
  <c r="E121" i="12"/>
  <c r="E119" i="12"/>
  <c r="E116" i="12"/>
  <c r="E115" i="12"/>
  <c r="E113" i="12"/>
  <c r="E111" i="12"/>
  <c r="E109" i="12"/>
  <c r="E107" i="12"/>
  <c r="E106" i="12"/>
  <c r="E104" i="12"/>
  <c r="E102" i="12"/>
  <c r="E100" i="12"/>
  <c r="E98" i="12"/>
  <c r="E96" i="12"/>
  <c r="E94" i="12"/>
  <c r="E92" i="12"/>
  <c r="E90" i="12"/>
  <c r="E88" i="12"/>
  <c r="E86" i="12"/>
  <c r="E84" i="12"/>
  <c r="E82" i="12"/>
  <c r="E80" i="12"/>
  <c r="E78" i="12"/>
  <c r="E76" i="12"/>
  <c r="E74" i="12"/>
  <c r="E72" i="12"/>
  <c r="E70" i="12"/>
  <c r="E67" i="12"/>
  <c r="E66" i="12"/>
  <c r="E64" i="12"/>
  <c r="E62" i="12"/>
  <c r="E56" i="12"/>
  <c r="E54" i="12"/>
  <c r="E52" i="12"/>
  <c r="E50" i="12"/>
  <c r="E48" i="12"/>
  <c r="E46" i="12"/>
  <c r="E44" i="12"/>
  <c r="E42" i="12"/>
  <c r="E40" i="12"/>
  <c r="E38" i="12"/>
  <c r="E36" i="12"/>
  <c r="E34" i="12"/>
  <c r="E32" i="12"/>
  <c r="E30" i="12"/>
  <c r="E28" i="12"/>
  <c r="E26" i="12"/>
  <c r="E23" i="12"/>
</calcChain>
</file>

<file path=xl/sharedStrings.xml><?xml version="1.0" encoding="utf-8"?>
<sst xmlns="http://schemas.openxmlformats.org/spreadsheetml/2006/main" count="969" uniqueCount="655">
  <si>
    <t>Обоснование</t>
  </si>
  <si>
    <t>Наименование материала</t>
  </si>
  <si>
    <t>№№ п.п.</t>
  </si>
  <si>
    <t>6.1</t>
  </si>
  <si>
    <t>2.1</t>
  </si>
  <si>
    <t>1.1</t>
  </si>
  <si>
    <t>1.2</t>
  </si>
  <si>
    <t>1.3</t>
  </si>
  <si>
    <t>шт.</t>
  </si>
  <si>
    <t>1.6</t>
  </si>
  <si>
    <t>м3</t>
  </si>
  <si>
    <t>1.5</t>
  </si>
  <si>
    <t xml:space="preserve">1,03 - транспортные расходы                                                              </t>
  </si>
  <si>
    <t>1.4</t>
  </si>
  <si>
    <t>руб., без НДС</t>
  </si>
  <si>
    <t>Сметная цена в баз. уровне по состоянию на 01.01.2000 г.</t>
  </si>
  <si>
    <t>—ІІ—</t>
  </si>
  <si>
    <t>Согласовано:</t>
  </si>
  <si>
    <t>шт</t>
  </si>
  <si>
    <t>на материалы, изделия и конструкции, стоимость которых определена по прайс-листам, калькуляциям и использована при определении сметной стоимости строительства</t>
  </si>
  <si>
    <t xml:space="preserve">                Реестр цен              </t>
  </si>
  <si>
    <t>Раздел 6. Оборудование</t>
  </si>
  <si>
    <t>т</t>
  </si>
  <si>
    <t>5,81 - индекс на СМР на 1 кв. 2013 года -Письмо Министерства регионального развития РФ от Письмо № 1951-ВТ/10 от 12.02.2013 года  Приложение 1 стр.4</t>
  </si>
  <si>
    <t>Щебень гранитный марка 1200 фр.70-120</t>
  </si>
  <si>
    <t xml:space="preserve"> Цена:1200/1,18/5,81</t>
  </si>
  <si>
    <t>Блок фундамента сборный ж/б Ф1п(л)-12-150</t>
  </si>
  <si>
    <t>Блок экрана Ф3</t>
  </si>
  <si>
    <t>Блок фундамента сборный ж/б Ф1п(л)-15-165</t>
  </si>
  <si>
    <t>Блок фундамента сборный ж/б Ф1п(л)-10-130</t>
  </si>
  <si>
    <t>1.7.</t>
  </si>
  <si>
    <t>Блок фундамента сборный ж/б Ф1п(л)-20-200</t>
  </si>
  <si>
    <t>Блок фундамента сборный ж/б Ф2-20-305</t>
  </si>
  <si>
    <t>1.8.</t>
  </si>
  <si>
    <t>Блок фундамента сборный ж/б Ф2-15-255</t>
  </si>
  <si>
    <t>1.9.</t>
  </si>
  <si>
    <t>Спиральновитые гофрированные металлические трубы д.1200 мм, толщ.2,5мм</t>
  </si>
  <si>
    <t>Бандаж для труб д.1200 мм (для соединения секций)</t>
  </si>
  <si>
    <t>1.10.</t>
  </si>
  <si>
    <t>2.2.</t>
  </si>
  <si>
    <t>Спиральновитые гофрированные металлические трубы д.2000 мм, толщ.2,5мм</t>
  </si>
  <si>
    <t>2.3.</t>
  </si>
  <si>
    <t>2.4.</t>
  </si>
  <si>
    <t>Бандаж для труб д.2000 мм (для соединения секций)</t>
  </si>
  <si>
    <t>Спиральновитые гофрированные металлические трубы д.1500 мм, толщ.2,5мм</t>
  </si>
  <si>
    <t>2.5.</t>
  </si>
  <si>
    <t>Бандаж для труб д.1500 мм (для соединения секций)</t>
  </si>
  <si>
    <t>2.6.</t>
  </si>
  <si>
    <t>Спиральновитые гофрированные металлические трубы д.1000 мм, толщ.2,5мм</t>
  </si>
  <si>
    <t>2.7.</t>
  </si>
  <si>
    <t>Бандаж для труб д.1000 мм (для соединения секций)</t>
  </si>
  <si>
    <t>2.8.</t>
  </si>
  <si>
    <t>Столб порошковый RAL7040 50х50, Н-3000мм</t>
  </si>
  <si>
    <t>Панель 3D сварная оцинкованная (Zn), 3-4 мм, 2500х2000</t>
  </si>
  <si>
    <t>2.9.</t>
  </si>
  <si>
    <t>2.10.</t>
  </si>
  <si>
    <t>Металлическое крепление с саморезом с уплотнителем Zn 4,8*29</t>
  </si>
  <si>
    <t>2.11.</t>
  </si>
  <si>
    <t>2.12.</t>
  </si>
  <si>
    <t>СББ "Егоза" АКЛ-М д.600мм(10м) 3скр., 48 витков, 7,8кг</t>
  </si>
  <si>
    <t>2.13.</t>
  </si>
  <si>
    <t>1.11.</t>
  </si>
  <si>
    <t>1.12.</t>
  </si>
  <si>
    <t>6.2.</t>
  </si>
  <si>
    <t>6.3.</t>
  </si>
  <si>
    <t>6.4.</t>
  </si>
  <si>
    <t>Буфер осевой (длина 1300 мм) с маской</t>
  </si>
  <si>
    <t>Резиновая крошка (450кг на 1 буфер)</t>
  </si>
  <si>
    <t>кг</t>
  </si>
  <si>
    <t xml:space="preserve">К6105  Автоматический выключатель S201 C3А/1п/ 6,0кА на Din-рейку STOS201 C3 (ABB) </t>
  </si>
  <si>
    <t>5.1</t>
  </si>
  <si>
    <t>АПВ АСУ НО Рассвет</t>
  </si>
  <si>
    <t>6.5</t>
  </si>
  <si>
    <t>2.14.</t>
  </si>
  <si>
    <t>2.15.</t>
  </si>
  <si>
    <t>2.16.</t>
  </si>
  <si>
    <t>2.17.</t>
  </si>
  <si>
    <t>2.18.</t>
  </si>
  <si>
    <t>Интегрированный комплект UlisseCompact VIDEOTEC UC1PVWA000A</t>
  </si>
  <si>
    <t>2.21.</t>
  </si>
  <si>
    <t>Прайс-лист ООО "БЛ ТРЕЙД"</t>
  </si>
  <si>
    <t>5.2.</t>
  </si>
  <si>
    <t>Кронштейн К1К-2,0-2,0-0,075-0,06</t>
  </si>
  <si>
    <t>5.3.</t>
  </si>
  <si>
    <t>6.6.</t>
  </si>
  <si>
    <t>6.8.</t>
  </si>
  <si>
    <t>6.9.</t>
  </si>
  <si>
    <t>6.10.</t>
  </si>
  <si>
    <t>Прайс-лист ЗАО "Флотенк"</t>
  </si>
  <si>
    <t>6.11.</t>
  </si>
  <si>
    <t>Прайс-лист Siemens</t>
  </si>
  <si>
    <t>Аппарат телефонный настенный SIEMENS Euroset 5010</t>
  </si>
  <si>
    <t>Прайс ООО "АБЗ-ВАД"</t>
  </si>
  <si>
    <t>Прайс-лист ООО "АКТ-Строй" №77  от 14.03.2013 год</t>
  </si>
  <si>
    <t xml:space="preserve">Прайс-лист СБ Акорн </t>
  </si>
  <si>
    <t>Прайс-лист "Тайм-Система"</t>
  </si>
  <si>
    <t>Прайс-лист Компания"АйПи-Климат"</t>
  </si>
  <si>
    <t>6.13.</t>
  </si>
  <si>
    <t>6.14.</t>
  </si>
  <si>
    <t>6.15.</t>
  </si>
  <si>
    <t>6.17.</t>
  </si>
  <si>
    <t>5.4.</t>
  </si>
  <si>
    <t>2.22.</t>
  </si>
  <si>
    <t>Прайс-лист ЗАО "ЦеСИС"</t>
  </si>
  <si>
    <t>2.23.</t>
  </si>
  <si>
    <t>Комплект козырькового заграждения ДАБР 425.729.018</t>
  </si>
  <si>
    <t>пм</t>
  </si>
  <si>
    <t>6.18.</t>
  </si>
  <si>
    <t>6.21.</t>
  </si>
  <si>
    <t>6.25.</t>
  </si>
  <si>
    <t>6.26.</t>
  </si>
  <si>
    <t>Металлодетектор ручной CEIA PD 140/VR</t>
  </si>
  <si>
    <t>6.32.</t>
  </si>
  <si>
    <t>6.33.</t>
  </si>
  <si>
    <t>5.7.</t>
  </si>
  <si>
    <t>5.8.</t>
  </si>
  <si>
    <t>Прайс-лист ООО "Радий"</t>
  </si>
  <si>
    <t>Устройство коммутационное УК-ВК/02</t>
  </si>
  <si>
    <t>5.9.</t>
  </si>
  <si>
    <t>Прайс-лист ООО "Ирсэт"</t>
  </si>
  <si>
    <t>Оповещатель звуковой 12В, Тон-1С-12</t>
  </si>
  <si>
    <t>5.10.</t>
  </si>
  <si>
    <t>5.11.</t>
  </si>
  <si>
    <t>Прайс-лист ООО "Электротехника и Автоматика"</t>
  </si>
  <si>
    <t>Светоуказатель "Выход"  KRISTALL TL-12</t>
  </si>
  <si>
    <t>Монтажное устройство для 212-3СУ (ДИП-3СУ)</t>
  </si>
  <si>
    <t>2.25.</t>
  </si>
  <si>
    <t>2.26.</t>
  </si>
  <si>
    <t>Секция заграждения ДАБР.425729.047-01</t>
  </si>
  <si>
    <t>Дополнительная опора ДАБР.305622.029</t>
  </si>
  <si>
    <t>6.35.</t>
  </si>
  <si>
    <t>Стол для металлических предметов 600х300х750</t>
  </si>
  <si>
    <t>Стол для досмотра багажа и ручной клади 1200х600</t>
  </si>
  <si>
    <t>Прайс-лист   "Антей"</t>
  </si>
  <si>
    <t>м</t>
  </si>
  <si>
    <t>6.46.</t>
  </si>
  <si>
    <t>Мини-канал ТМС 22/1х10</t>
  </si>
  <si>
    <t>Цена: 5209,14/5,81*1,03*1,02</t>
  </si>
  <si>
    <t>Щебеночно-мастичная смесь ЩМА-15  по СТО 34390716.042-2012 на ПБВ-60  по ГОСТ  Р 52056-2003 на щебне габбро-диабаз</t>
  </si>
  <si>
    <t>1.13.</t>
  </si>
  <si>
    <t>1.14.</t>
  </si>
  <si>
    <t>Лоток железобетонный ЛК75.360.150-10</t>
  </si>
  <si>
    <t>Плита укрепления  П-1</t>
  </si>
  <si>
    <t>Приточно-вытяжная установка Domekt REGO 400PE</t>
  </si>
  <si>
    <t>V-Кронштейн под колючую проволоку (уголок 35*35*4 мм, L450мм со сварным соединением)</t>
  </si>
  <si>
    <t>1.10.1</t>
  </si>
  <si>
    <t>1.10.2</t>
  </si>
  <si>
    <t xml:space="preserve">Дорожный блокиратор гидравлический RKB 400  </t>
  </si>
  <si>
    <t>Модуль для синхронизации работы дорожного блокиратора со шлагбаумом</t>
  </si>
  <si>
    <t>2.19.</t>
  </si>
  <si>
    <t xml:space="preserve">Конструкции металлических опор РМП-22,75 (10,5543т/шт) </t>
  </si>
  <si>
    <t>Конструкции металлических опор РМП-22,75  (4,512т/шт)</t>
  </si>
  <si>
    <t>Конструкции металлических опор РМП-24,5  (4,75т/шт)</t>
  </si>
  <si>
    <t xml:space="preserve">Конструкции металлических опор РМП-24,5 (10,8326т/шт) </t>
  </si>
  <si>
    <t>Конструкции металлических опор РМП-26,25 (5,333т/шт)</t>
  </si>
  <si>
    <t xml:space="preserve">Конструкции металлических опор РМП-28 (5,93т/шт) </t>
  </si>
  <si>
    <t>Светофор красный  и зеленый , диаметр линз 200, светодиодный Т8.1</t>
  </si>
  <si>
    <t>Коммерческое предложение ООО "АПС-СПб"</t>
  </si>
  <si>
    <t xml:space="preserve">Светильники с натриевыми лампами: жку 50n-250-001 эпра с приемником мощности, ip65 (без ламп) </t>
  </si>
  <si>
    <t>Лоток MAXI ЛВ 20.29.33 бетонный с решеткой водоприемной ВЧ 50 кл. Е</t>
  </si>
  <si>
    <t>Торцевая заглушка к лотку ЛВ-20.29.33-Б</t>
  </si>
  <si>
    <t>1.10.3</t>
  </si>
  <si>
    <t>Торцевая заглушка к лотку ЛВ-30.38.41</t>
  </si>
  <si>
    <t>1.10.4</t>
  </si>
  <si>
    <t>1.10.5</t>
  </si>
  <si>
    <t>1.10.6</t>
  </si>
  <si>
    <t>Счет на оплату №25 от 22.08.2013 ООО "ГеоИнжПроект"</t>
  </si>
  <si>
    <t>Геомембрана HDPE толщина 1,5/5/50</t>
  </si>
  <si>
    <t>Система обнаружения делящихся и радиоактивных материалов стационарная таможенная" ЯНТАРЬ -1ПЗ"</t>
  </si>
  <si>
    <t>Система обнаружения делящихся и радиоактивных материалов стационарная таможенная" ЯНТАРЬ -1А"</t>
  </si>
  <si>
    <t>к-т</t>
  </si>
  <si>
    <t>ЗАО "Аспект Северо-Запад" Приложение №1 к Договору №260713-КП/П от 26.07.13</t>
  </si>
  <si>
    <t>Закладная платформа для системы "Янтарь-1А" ДЦКИ.301312.001</t>
  </si>
  <si>
    <t>Комплект видеонаблюдения ВН-04П</t>
  </si>
  <si>
    <t>Комплект видеонаблюдения ВН-02АЦ-21</t>
  </si>
  <si>
    <t>Шкаф телекоммуникационный ШКВ-02-01</t>
  </si>
  <si>
    <t>ООО "Технология", Приложение №1 к договору субподряда № 05/13 от 05 июля 2013г.</t>
  </si>
  <si>
    <t>Шлагбаум  CAME L=6м</t>
  </si>
  <si>
    <t>Стационарный многозонный металлодетектор METEOR-6V</t>
  </si>
  <si>
    <t>Ворота откатные с электроприводом L=6м</t>
  </si>
  <si>
    <t>ООО "Техно-С.Петербург сервис", Приложение №1 к Договору № 1/ТВ-12/13 от 02 декабря 2013г.</t>
  </si>
  <si>
    <t>Ручной прибор обнаружения опасных жидкостей Lqtest</t>
  </si>
  <si>
    <t>Средство обнаружения взрывчатых веществ Пилот М1</t>
  </si>
  <si>
    <t>Компьютеризованный портативный детектор взрывчатых веществ с пробоотборником (МО-2М)</t>
  </si>
  <si>
    <t>Устройство для защиты от взрыва "Фонтан-2" модели 10 У - унитарн.локализ.взрыва ВВ</t>
  </si>
  <si>
    <t>Тумба мобильная с з. 40*45*54 "ольха"</t>
  </si>
  <si>
    <t>Кресло СН-661 текстиль чёрный</t>
  </si>
  <si>
    <t>Гардероб 76*55*200 "орех пегас"</t>
  </si>
  <si>
    <t>Вешалка напольная, чёрный</t>
  </si>
  <si>
    <t>6.40.1</t>
  </si>
  <si>
    <t>6.40.2</t>
  </si>
  <si>
    <t>6.40.3</t>
  </si>
  <si>
    <t>6.40.4</t>
  </si>
  <si>
    <t>6.40.5</t>
  </si>
  <si>
    <t>6.40.6</t>
  </si>
  <si>
    <t>6.40.7</t>
  </si>
  <si>
    <t>6.40.8</t>
  </si>
  <si>
    <t>6.40.9</t>
  </si>
  <si>
    <t>6.40.10</t>
  </si>
  <si>
    <t>6.40.11</t>
  </si>
  <si>
    <t>6.41</t>
  </si>
  <si>
    <t>Жалюзи</t>
  </si>
  <si>
    <t>6.42</t>
  </si>
  <si>
    <t>6.43</t>
  </si>
  <si>
    <t>м2</t>
  </si>
  <si>
    <t>1.15.</t>
  </si>
  <si>
    <t>Передвижная лестница 903044989</t>
  </si>
  <si>
    <t>6.40.12</t>
  </si>
  <si>
    <t>6.44</t>
  </si>
  <si>
    <t>6.19.</t>
  </si>
  <si>
    <t>6.23.</t>
  </si>
  <si>
    <t>6.24.</t>
  </si>
  <si>
    <t>6.45</t>
  </si>
  <si>
    <t>Пескоуловитель Betomax ПУ-20.29.60-Б бетонный с решеткой щелевой чугунной ВЧ кл. Е (комплект)</t>
  </si>
  <si>
    <t>Лоток водоотводной BetoMax ЛВ-30.38.41 бетонный с решеткой щелевой чугунной ВЧ кл.Е</t>
  </si>
  <si>
    <t>Лоток водоотводной BetoMax ЛВ-30.38.51 бетонный с решеткой щелевой чугунной ВЧ50 кл.Е</t>
  </si>
  <si>
    <t>Прайс-лист ООО "Озон" №304 от 28.05.2013 г.</t>
  </si>
  <si>
    <t>6.22</t>
  </si>
  <si>
    <t>6.60.</t>
  </si>
  <si>
    <t>6.61</t>
  </si>
  <si>
    <t>6.62</t>
  </si>
  <si>
    <t>6.63</t>
  </si>
  <si>
    <t>6.64</t>
  </si>
  <si>
    <t>6.65</t>
  </si>
  <si>
    <t>6.66</t>
  </si>
  <si>
    <t>Стол двухдверный 800*580*830</t>
  </si>
  <si>
    <t>Витринная полка настенная 800*306*720</t>
  </si>
  <si>
    <t>Досмотровый комплект с диодовой подсветкой Перескоп -185</t>
  </si>
  <si>
    <t>6.67</t>
  </si>
  <si>
    <t>6.68</t>
  </si>
  <si>
    <t>6.69</t>
  </si>
  <si>
    <t>6.70</t>
  </si>
  <si>
    <t>6.71</t>
  </si>
  <si>
    <t>6.72</t>
  </si>
  <si>
    <t>6.73</t>
  </si>
  <si>
    <t>6.74</t>
  </si>
  <si>
    <t>6.75</t>
  </si>
  <si>
    <t>6.77</t>
  </si>
  <si>
    <t>6.88</t>
  </si>
  <si>
    <t>6.89</t>
  </si>
  <si>
    <t>6.90</t>
  </si>
  <si>
    <t>6.91</t>
  </si>
  <si>
    <t>6.92</t>
  </si>
  <si>
    <t>6.93</t>
  </si>
  <si>
    <t>6.94</t>
  </si>
  <si>
    <t>6.95</t>
  </si>
  <si>
    <t>6.96</t>
  </si>
  <si>
    <t>6.97</t>
  </si>
  <si>
    <t>6.98</t>
  </si>
  <si>
    <t>6.99</t>
  </si>
  <si>
    <t>6.100</t>
  </si>
  <si>
    <t>6.101</t>
  </si>
  <si>
    <t>6.102</t>
  </si>
  <si>
    <t>6.103</t>
  </si>
  <si>
    <t>6.104</t>
  </si>
  <si>
    <t>6.105</t>
  </si>
  <si>
    <t>6.106</t>
  </si>
  <si>
    <t>6.107</t>
  </si>
  <si>
    <t>6.108</t>
  </si>
  <si>
    <t>6.109</t>
  </si>
  <si>
    <t>6.110</t>
  </si>
  <si>
    <t>6.111</t>
  </si>
  <si>
    <t>6.112</t>
  </si>
  <si>
    <t>6.116</t>
  </si>
  <si>
    <t>6.117</t>
  </si>
  <si>
    <t>6.118</t>
  </si>
  <si>
    <t>6.119</t>
  </si>
  <si>
    <t>6.121</t>
  </si>
  <si>
    <t>6.122</t>
  </si>
  <si>
    <t>6.124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</si>
  <si>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</si>
  <si>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</si>
  <si>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</si>
  <si>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</si>
  <si>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</si>
  <si>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</si>
  <si>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</si>
  <si>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</si>
  <si>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</si>
  <si>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</si>
  <si>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</si>
  <si>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</si>
  <si>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</si>
  <si>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</si>
  <si>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</si>
  <si>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</si>
  <si>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5.29</t>
  </si>
  <si>
    <t>5.30</t>
  </si>
  <si>
    <t>5.31</t>
  </si>
  <si>
    <t>6.125</t>
  </si>
  <si>
    <t>6.126</t>
  </si>
  <si>
    <t>6.127</t>
  </si>
  <si>
    <t>6.128</t>
  </si>
  <si>
    <t>6.129</t>
  </si>
  <si>
    <t>6.130</t>
  </si>
  <si>
    <t>6.131</t>
  </si>
  <si>
    <t>6.132</t>
  </si>
  <si>
    <t>6.133</t>
  </si>
  <si>
    <t>6.134</t>
  </si>
  <si>
    <t>6.135</t>
  </si>
  <si>
    <t>6.136</t>
  </si>
  <si>
    <t>6.137</t>
  </si>
  <si>
    <t>221/1</t>
  </si>
  <si>
    <t>197/1</t>
  </si>
  <si>
    <t>247/1</t>
  </si>
  <si>
    <t>Прайс-лист РОСПОЛИМЕР</t>
  </si>
  <si>
    <t>Манжета конусная резиновая разъёмная ПМТД – Р</t>
  </si>
  <si>
    <t xml:space="preserve">Укрытие резиновых манжет У-ПМТД-С </t>
  </si>
  <si>
    <t>Раздел 7. Прочее оборудование и инвентарь</t>
  </si>
  <si>
    <t>6.138</t>
  </si>
  <si>
    <t>5.5.1</t>
  </si>
  <si>
    <t>5.5.2</t>
  </si>
  <si>
    <t>Шкаф уличный типа OTN</t>
  </si>
  <si>
    <t>5.5.3</t>
  </si>
  <si>
    <t>Термошкаф с системой климат-контроля телекоммуникационный в сборе</t>
  </si>
  <si>
    <t>5.5.4</t>
  </si>
  <si>
    <t xml:space="preserve">Дорожная станция </t>
  </si>
  <si>
    <t>5.5.5</t>
  </si>
  <si>
    <t>Табло переменной информации</t>
  </si>
  <si>
    <t>Пассивый транспортный детектор (двойной технологии) DT351-852</t>
  </si>
  <si>
    <t>237/1</t>
  </si>
  <si>
    <t>237/2</t>
  </si>
  <si>
    <t>230/2</t>
  </si>
  <si>
    <t>230/3</t>
  </si>
  <si>
    <t>230/4</t>
  </si>
  <si>
    <t>Кольцо предохранительной диэлектрическое "Спейсер"</t>
  </si>
  <si>
    <t>На основании Дополнительного соглашения №65/1-доп</t>
  </si>
  <si>
    <t>2КТПН (~2х63кВА)</t>
  </si>
  <si>
    <t>Счет на оплату №512 от 13.06.2013                                                ООО "АСУ ТП Н-Автоматика"</t>
  </si>
  <si>
    <t>5.32</t>
  </si>
  <si>
    <t>Прайс-лист "Невские материалы"</t>
  </si>
  <si>
    <r>
      <rPr>
        <b/>
        <sz val="11"/>
        <color theme="1"/>
        <rFont val="Times New Roman"/>
        <family val="1"/>
        <charset val="204"/>
      </rPr>
      <t xml:space="preserve">Алюминиевые гофрированные воздуховоды Экофлекс д=100 * 3 м </t>
    </r>
    <r>
      <rPr>
        <sz val="11"/>
        <color theme="1"/>
        <rFont val="Times New Roman"/>
        <family val="1"/>
        <charset val="204"/>
      </rPr>
      <t xml:space="preserve">                                      Цена: 170/1,18/5,81*1,03*1,02</t>
    </r>
  </si>
  <si>
    <t>Кабель КПСВВ 4*2*0,22</t>
  </si>
  <si>
    <t>5.10.1</t>
  </si>
  <si>
    <t>Кабель НВМ 1*0,35</t>
  </si>
  <si>
    <t>Прайс-лист "Балтпромкомплект"</t>
  </si>
  <si>
    <t>Цена: 2,3/1,18/5,81*1,03*1,02</t>
  </si>
  <si>
    <t>Кабель огнестойкий для систем ПС  КПКЭВнг</t>
  </si>
  <si>
    <t>Цена: 34,80/1,18/5,81*1,03*1,02</t>
  </si>
  <si>
    <t>5.10.2</t>
  </si>
  <si>
    <t>Прайс-лист "Актив маркет"</t>
  </si>
  <si>
    <r>
      <t xml:space="preserve">Извещатель пожарный ручной ИПР-Су3           </t>
    </r>
    <r>
      <rPr>
        <sz val="11"/>
        <color theme="1"/>
        <rFont val="Times New Roman"/>
        <family val="1"/>
        <charset val="204"/>
      </rPr>
      <t>Цена: 126/1,18/3,5*1,03*1,012</t>
    </r>
  </si>
  <si>
    <t>5.24.1</t>
  </si>
  <si>
    <t>Цена: 38,75/1,18/3,5*1,03*1,012</t>
  </si>
  <si>
    <t>5.16.1</t>
  </si>
  <si>
    <t>6.74.1</t>
  </si>
  <si>
    <t>6.78</t>
  </si>
  <si>
    <t>2.27</t>
  </si>
  <si>
    <t>Прайс-лист ООО "БЛ Трейд"</t>
  </si>
  <si>
    <r>
      <t xml:space="preserve">Закладная деталь фундамента                          </t>
    </r>
    <r>
      <rPr>
        <sz val="11"/>
        <color theme="1"/>
        <rFont val="Times New Roman"/>
        <family val="1"/>
        <charset val="204"/>
      </rPr>
      <t>Цена: 11500/1,18/5,81*1,03</t>
    </r>
  </si>
  <si>
    <t>Цена: 4832,45/1,18/5,81*1,03</t>
  </si>
  <si>
    <t>Цена: 9397/1,18/5,81*1,03</t>
  </si>
  <si>
    <t>5.2.1</t>
  </si>
  <si>
    <t>5.3.1.</t>
  </si>
  <si>
    <t xml:space="preserve">Прайс-лист "Электромонтаж" </t>
  </si>
  <si>
    <t>Цена: 439,17/1,18/5,81*1,03</t>
  </si>
  <si>
    <t>1.16</t>
  </si>
  <si>
    <t>Прайс-лист ООО "СетьСвет"</t>
  </si>
  <si>
    <r>
      <t xml:space="preserve">Цоколь к опорам ф276*425 Н-540/Б 54.00.01 СБ  </t>
    </r>
    <r>
      <rPr>
        <sz val="11"/>
        <color theme="1"/>
        <rFont val="Times New Roman"/>
        <family val="1"/>
        <charset val="204"/>
      </rPr>
      <t>Цена: 2100/1,18/5,81*1,03</t>
    </r>
  </si>
  <si>
    <t>5.34</t>
  </si>
  <si>
    <t>Прайс-лист "NEVA SV"</t>
  </si>
  <si>
    <t>6.140</t>
  </si>
  <si>
    <t>Прайс-лист "In SAT"</t>
  </si>
  <si>
    <r>
      <rPr>
        <b/>
        <sz val="11"/>
        <color theme="1"/>
        <rFont val="Times New Roman"/>
        <family val="1"/>
        <charset val="204"/>
      </rPr>
      <t xml:space="preserve">Коммутатор JetNet 5010G-W: Gigabit Ethernet 7 * 10/100 Base-TX, 3-x комбинированных Gigabit RJ-45/SFP (оптоволокно), расширенный температурный диапазон </t>
    </r>
    <r>
      <rPr>
        <sz val="11"/>
        <color theme="1"/>
        <rFont val="Times New Roman"/>
        <family val="1"/>
        <charset val="204"/>
      </rPr>
      <t xml:space="preserve">                                         Цена: 23279/1,18/3,5*1,03*1,02</t>
    </r>
  </si>
  <si>
    <t>6.139</t>
  </si>
  <si>
    <t>5.35</t>
  </si>
  <si>
    <t>Прайс-лист "Ciscosales"</t>
  </si>
  <si>
    <r>
      <rPr>
        <b/>
        <sz val="11"/>
        <color theme="1"/>
        <rFont val="Times New Roman"/>
        <family val="1"/>
        <charset val="204"/>
      </rPr>
      <t>Коммутаторы WS-C2960S-24PS-L Catalyst 2960S 24 GigE PoE 370W, 4*SFP LAN Base</t>
    </r>
    <r>
      <rPr>
        <sz val="11"/>
        <color theme="1"/>
        <rFont val="Times New Roman"/>
        <family val="1"/>
        <charset val="204"/>
      </rPr>
      <t xml:space="preserve">                              Цена: 82038/1,18/3,5*1,03*1,012</t>
    </r>
  </si>
  <si>
    <t>5.33</t>
  </si>
  <si>
    <t>Прайс-лист "Born SPb"</t>
  </si>
  <si>
    <t>Поворотная видеокамера VIDEOTEC (UC1PVWAZ01A)</t>
  </si>
  <si>
    <t>Прайс-лист ООО "Карелприродресурс"</t>
  </si>
  <si>
    <t>Щебеночно-песчаная смесь гранит С-5</t>
  </si>
  <si>
    <t xml:space="preserve"> Цена: 1845/1,18/5,81</t>
  </si>
  <si>
    <t>Прайс-лист "Астра-интерком"</t>
  </si>
  <si>
    <t>Прайс-лист ЗАО "Диэлектрические кабельные системы" (DKC)</t>
  </si>
  <si>
    <t>200/1</t>
  </si>
  <si>
    <t>201/1</t>
  </si>
  <si>
    <t>198/1</t>
  </si>
  <si>
    <t>199/1</t>
  </si>
  <si>
    <t>202/1</t>
  </si>
  <si>
    <t>203/1</t>
  </si>
  <si>
    <t>251/1</t>
  </si>
  <si>
    <t>256/1</t>
  </si>
  <si>
    <t>1.2.1.</t>
  </si>
  <si>
    <t xml:space="preserve"> от 05.06.2013г к Договору №65 от 29.04.2013г</t>
  </si>
  <si>
    <t>Ед. изм-я</t>
  </si>
  <si>
    <t>№ стр</t>
  </si>
  <si>
    <t>а)</t>
  </si>
  <si>
    <t>б)</t>
  </si>
  <si>
    <t>3,5- индекс на оборудование на 1 кв. 2013 года -Письмо Министерства регионального развития РФ от Письмо  № 1951-ВТ/10 от 12.02.2013 года  Приложение 5 стр.23</t>
  </si>
  <si>
    <t>в)</t>
  </si>
  <si>
    <t>г)</t>
  </si>
  <si>
    <t xml:space="preserve">1,02 - загот.-складские расходы (строительные материалы, изделия и конструкции (за исключением металлоконструкций)                                                          </t>
  </si>
  <si>
    <t>д)</t>
  </si>
  <si>
    <t>1,0075 - загот.-складские расходы (металлические строительные конструкции)</t>
  </si>
  <si>
    <t>е)</t>
  </si>
  <si>
    <t xml:space="preserve">1,012 - загот.-складские расходы  (оборудование) </t>
  </si>
  <si>
    <t>Раздел 1. Общестроительные материалы</t>
  </si>
  <si>
    <t>Справочник цен ОАО"АГРОСТРОЙКОНСТРУКЦИЯ" от 26.11.2012 г.</t>
  </si>
  <si>
    <t>Коммерческое предложение ООО "СТК ПромБетон"</t>
  </si>
  <si>
    <t>Коммерческое предложение ЗАО "СТАНДАРТПАРК" от 02.06.2013г.</t>
  </si>
  <si>
    <t>Прайс-лист ООО "ЭкоДорСнаб"</t>
  </si>
  <si>
    <t>Коммерческое предложение ООО "ПК "Армотэк"</t>
  </si>
  <si>
    <t>Прайс-лист ООО "СпецПромЖБИ"</t>
  </si>
  <si>
    <t xml:space="preserve">ЗАО "Аспект Северо-Запад" Приложение №1 к Договору №260713-КП/П от 26.07.13  </t>
  </si>
  <si>
    <t>Коммерческое предложение ООО "ТД МГК" №92/13от 09.04.2013 год</t>
  </si>
  <si>
    <t>Коммерческое предложение ООО "ПРОМСТРОЙ- РЕСУРС" №13/42 от 13.05.2013 г.</t>
  </si>
  <si>
    <t>Коммерческое предложение  ООО "ПРОМСТРОЙРЕСУРС" №13/50 от 31.05.2013 г.</t>
  </si>
  <si>
    <t>Сметный расчет ООО "Т-Траффик" Приложение №1 к Договору №2СМР-ВАД от 01.06.2013</t>
  </si>
  <si>
    <t>Прайс-лист ЗАО "ЛИНДЕКС" (Lindex Texnologies (Eurolan))</t>
  </si>
  <si>
    <t>Прайс-лист  "Lindex Texnologies"</t>
  </si>
  <si>
    <t>Прайс-лист Компания "АйПи-Климат"</t>
  </si>
  <si>
    <t>Коммерческое предложение ООО "СК"Квартет-Строй"</t>
  </si>
  <si>
    <t xml:space="preserve">ООО "Технология", Приложение №1 к договору субподряда № 05/13 от 05 июля 2013г.      </t>
  </si>
  <si>
    <r>
      <t xml:space="preserve">ООО "Техно-С.Петербург сервис", </t>
    </r>
    <r>
      <rPr>
        <sz val="10"/>
        <color theme="1"/>
        <rFont val="Times New Roman"/>
        <family val="1"/>
        <charset val="204"/>
      </rPr>
      <t xml:space="preserve">Приложение №1 к доп.согл. №1 от 07.10.2013 к Договору № 03/09-ПУЛ от 03 сентября 2013г.  </t>
    </r>
    <r>
      <rPr>
        <b/>
        <sz val="10"/>
        <color theme="1"/>
        <rFont val="Times New Roman"/>
        <family val="1"/>
        <charset val="204"/>
      </rPr>
      <t xml:space="preserve">  </t>
    </r>
  </si>
  <si>
    <t xml:space="preserve">ООО "Балтик-строй", Счёт №1104 </t>
  </si>
  <si>
    <t xml:space="preserve">ЗАО "НПО СМ", Счёт №1370 </t>
  </si>
  <si>
    <r>
      <t xml:space="preserve">ООО "Группа Компаний Триэль", </t>
    </r>
    <r>
      <rPr>
        <sz val="9"/>
        <color theme="1"/>
        <rFont val="Times New Roman"/>
        <family val="1"/>
        <charset val="204"/>
      </rPr>
      <t xml:space="preserve">Счет №2093 </t>
    </r>
  </si>
  <si>
    <r>
      <t xml:space="preserve">ООО "Группа Компаний Триэль", </t>
    </r>
    <r>
      <rPr>
        <sz val="9"/>
        <color theme="1"/>
        <rFont val="Times New Roman"/>
        <family val="1"/>
        <charset val="204"/>
      </rPr>
      <t xml:space="preserve">Счет №2279 </t>
    </r>
  </si>
  <si>
    <r>
      <t xml:space="preserve">ООО "Торговый Дом "АРТЕЛЬ", </t>
    </r>
    <r>
      <rPr>
        <sz val="9"/>
        <color theme="1"/>
        <rFont val="Times New Roman"/>
        <family val="1"/>
        <charset val="204"/>
      </rPr>
      <t>Счет №486 от 28.08.13г.</t>
    </r>
  </si>
  <si>
    <t>Прайс-лист НВП Болид</t>
  </si>
  <si>
    <t>Прайс-лист "Эл-кая компания риф"</t>
  </si>
  <si>
    <t>Прайс-лист "Нева связь"</t>
  </si>
  <si>
    <t>Прайс-лист "Итриум"</t>
  </si>
  <si>
    <t>Прайс-лист "Актив" гипермаркет</t>
  </si>
  <si>
    <t>Прайс-лист "Квантум"</t>
  </si>
  <si>
    <t xml:space="preserve">Прайс-лист "Карат-связь 96" </t>
  </si>
  <si>
    <t>Прайс-лист "220В"</t>
  </si>
  <si>
    <t>Прайс-лист "Минимакс"</t>
  </si>
  <si>
    <t>Прайс-лист "Комплект поставка"</t>
  </si>
  <si>
    <t>Прайс-лист "Гермес трейд комплект"</t>
  </si>
  <si>
    <t>Прайс-лист "Domination"</t>
  </si>
  <si>
    <t>Прайс-лист "Секьюрети маркет"</t>
  </si>
  <si>
    <t>Прайс-лист "Born spb"</t>
  </si>
  <si>
    <t>Прайс-лист "Ситилинк"</t>
  </si>
  <si>
    <t>Прайс-лист "Безар Импер"</t>
  </si>
  <si>
    <t xml:space="preserve">Прайс-лист "Lindex Texnologies" </t>
  </si>
  <si>
    <t xml:space="preserve">Прайс-лист "CT-TRON"   </t>
  </si>
  <si>
    <t xml:space="preserve">Прайс-лист "Сisko"   </t>
  </si>
  <si>
    <t>Прайс-лист "Техно-сити"</t>
  </si>
  <si>
    <t>Прайс-лист  "Алпа Технолоджи"</t>
  </si>
  <si>
    <r>
      <t xml:space="preserve">Прайс-лист "Сisko"   </t>
    </r>
    <r>
      <rPr>
        <b/>
        <sz val="11"/>
        <color theme="1"/>
        <rFont val="Times New Roman"/>
        <family val="1"/>
        <charset val="204"/>
      </rPr>
      <t xml:space="preserve"> </t>
    </r>
  </si>
  <si>
    <t>Раздел 2. Металлические конструкции</t>
  </si>
  <si>
    <t>Раздел 5. Материалы для спец.работ</t>
  </si>
  <si>
    <t>Цена: 21060/5,81*1,03*1,02</t>
  </si>
  <si>
    <t>Цена: 7808/5,81*1,03*1,02</t>
  </si>
  <si>
    <t>Цена: 21116/5,81*1,03*1,02</t>
  </si>
  <si>
    <t>Цена: 14687/5,81*1,03*1,02</t>
  </si>
  <si>
    <t>Цена: 27500/1,18/5,81*1,03*1,02</t>
  </si>
  <si>
    <t>Цена: 39300/1,18/5,81*1,03*1,02</t>
  </si>
  <si>
    <t>Цена: 32800/1,18/5,81*1,03*1,02</t>
  </si>
  <si>
    <t>Цена: 7393/1,18/5,81*1,03*1,02</t>
  </si>
  <si>
    <t>Цена: 210/1,18/5,81*1,03*1,02</t>
  </si>
  <si>
    <t>Цена: 7470/1,18/5,81*1,03*1,02</t>
  </si>
  <si>
    <t>Цена: 11875/1,18/5,81*1,03*1,02</t>
  </si>
  <si>
    <t>Цена: 280/1,18/5,81*1,03*1,02</t>
  </si>
  <si>
    <t>Цена: 169/1,18/5,81</t>
  </si>
  <si>
    <t>Цена: 13500/1,18/5,81*1,02</t>
  </si>
  <si>
    <t>Цена: 24/1,18/5,81*1,02</t>
  </si>
  <si>
    <t>Цена: 24500/1,18/5,81*1,02</t>
  </si>
  <si>
    <t>Цена: 400/1,18/5,81*1,03*1,02</t>
  </si>
  <si>
    <t>Цена: 15 806/1,18/5,81*1,03*1,02</t>
  </si>
  <si>
    <t>Цена: 13300/5,81/1,18</t>
  </si>
  <si>
    <t>Цена: 12900/5,81/1,18</t>
  </si>
  <si>
    <t>Цена: 22400/5,81/1,18</t>
  </si>
  <si>
    <t>Цена: 21400/5,81/1,18</t>
  </si>
  <si>
    <t>Цена: 16400/5,81/1,18</t>
  </si>
  <si>
    <t>Цена: 16000/5,81/1,18</t>
  </si>
  <si>
    <t>Цена: 11000/5,81/1,18</t>
  </si>
  <si>
    <t>Цена: 10750/5,81/1,18</t>
  </si>
  <si>
    <t>Цена: 714/1,18/5,81*1,03*1,0075</t>
  </si>
  <si>
    <t>Цена: 1260/5,81/1,18*1,03*1,0075</t>
  </si>
  <si>
    <t>Цена: 64/5,81/1,18*1,03*1,0075</t>
  </si>
  <si>
    <t>Цена: 819/5,81/1,18*1,03*1,0075</t>
  </si>
  <si>
    <t>Цена: 1184/5,81/1,18*1,03*1,0075</t>
  </si>
  <si>
    <t>Цена: 1372059/1,18/5,81</t>
  </si>
  <si>
    <t>Цена:590275/1,18/5,81</t>
  </si>
  <si>
    <t>Цена:617500/1,18/5,81</t>
  </si>
  <si>
    <t>Цена: 1408238/1,18/5,81</t>
  </si>
  <si>
    <t>Цена: 693000/1,18/5,81</t>
  </si>
  <si>
    <t>Цена: 770000/1,18/5,81</t>
  </si>
  <si>
    <t>Цена: 325 000/5,81*1,03*1,0075</t>
  </si>
  <si>
    <t>Цена: 41455/1,18/5,81*1,03*1,02</t>
  </si>
  <si>
    <t>Цена: 8590/1,18/5,81*1,03*1,02</t>
  </si>
  <si>
    <t>Цена: 3890/1,18/5,81*1,03*1,02</t>
  </si>
  <si>
    <t>Цена: 6150/1,18/5,81*1,03*1,02</t>
  </si>
  <si>
    <t>Цена: 12797/1,18/5,81*1,03*1,02</t>
  </si>
  <si>
    <t>Цена:19487/1,18/5,81*1,03*1,02</t>
  </si>
  <si>
    <t>Цена:1200664,00/1,18/3,5</t>
  </si>
  <si>
    <t>Цена: 325030,24/1,18/3,5</t>
  </si>
  <si>
    <t>Цена: 860843,16/1,18/3,5</t>
  </si>
  <si>
    <t>Цена: 92445,78/1,18/3,5</t>
  </si>
  <si>
    <t>Цена:17,21/1,18/5,81*1,03*1,02</t>
  </si>
  <si>
    <t>Цена:433,65/1,18/3,5*1,03*1,012</t>
  </si>
  <si>
    <t>Цена: 243/1,18/3,5*1,03*1,012</t>
  </si>
  <si>
    <t>Цена:15,98/1,18/5,81*1,03*1,02</t>
  </si>
  <si>
    <t>Цена:130/1,18/3,5*1,03*1,012</t>
  </si>
  <si>
    <r>
      <rPr>
        <b/>
        <sz val="11"/>
        <color theme="1"/>
        <rFont val="Times New Roman"/>
        <family val="1"/>
        <charset val="204"/>
      </rPr>
      <t>Кабель КИПЭВ 4*2*0,6</t>
    </r>
    <r>
      <rPr>
        <sz val="11"/>
        <color theme="1"/>
        <rFont val="Times New Roman"/>
        <family val="1"/>
        <charset val="204"/>
      </rPr>
      <t xml:space="preserve">                                           Цена: 148,23/1,18/5,81*1,03*1,02</t>
    </r>
  </si>
  <si>
    <r>
      <rPr>
        <b/>
        <sz val="11"/>
        <color theme="1"/>
        <rFont val="Times New Roman"/>
        <family val="1"/>
        <charset val="204"/>
      </rPr>
      <t>Бокс оптический укомплектованный</t>
    </r>
    <r>
      <rPr>
        <sz val="11"/>
        <color theme="1"/>
        <rFont val="Times New Roman"/>
        <family val="1"/>
        <charset val="204"/>
      </rPr>
      <t xml:space="preserve">               Цена: 1530/1,18/5,81*1,03</t>
    </r>
  </si>
  <si>
    <r>
      <rPr>
        <b/>
        <sz val="11"/>
        <color theme="1"/>
        <rFont val="Times New Roman"/>
        <family val="1"/>
        <charset val="204"/>
      </rPr>
      <t xml:space="preserve">Кросс оптический укомплектованный               </t>
    </r>
    <r>
      <rPr>
        <sz val="11"/>
        <color theme="1"/>
        <rFont val="Times New Roman"/>
        <family val="1"/>
        <charset val="204"/>
      </rPr>
      <t xml:space="preserve"> Цена: 3770/1,18/5,81*1,03</t>
    </r>
  </si>
  <si>
    <t>Цена: 1 585 850/1,18/3,5</t>
  </si>
  <si>
    <t>Цена: 1 884 735/1,18/3,5</t>
  </si>
  <si>
    <t>Цена: 2098635/1,18/3,5</t>
  </si>
  <si>
    <t>Цена:  150637/1,18/3,5*1,03*1,012</t>
  </si>
  <si>
    <t>Цена: 75000/1,18/3,5*1,03*1,012</t>
  </si>
  <si>
    <t>Цена:3055000/3,5/1,18*1,03*1,012</t>
  </si>
  <si>
    <t>Цена: 26986/3,5*1,03*1,012</t>
  </si>
  <si>
    <t>Обогреватель 1250</t>
  </si>
  <si>
    <t>Цена: 103 360/1,18/3,5*1,012</t>
  </si>
  <si>
    <t>Резервуар ёмкостью 5 м3</t>
  </si>
  <si>
    <t>Цена:92500/1,18/3,5*1,03*1,012</t>
  </si>
  <si>
    <t>Цена:114 000/3,5*1,03*1,012</t>
  </si>
  <si>
    <t>Цена: 558 454/1,18/3,5*1,03*1,012</t>
  </si>
  <si>
    <t>Цена: 2 112 828/1,18/3,5*1,03*1,012</t>
  </si>
  <si>
    <t>Цена: 46846/1,18/3,5*1,03*1,012</t>
  </si>
  <si>
    <t>Цена: 129 210/1,18/3,5*1,03*1,012</t>
  </si>
  <si>
    <t>Цена: 212 800/1,18/3,5*1,03*1,012</t>
  </si>
  <si>
    <t>Цена: 2 365 060/1,18/3,5*1,03*1,012</t>
  </si>
  <si>
    <r>
      <rPr>
        <b/>
        <sz val="11"/>
        <color theme="1"/>
        <rFont val="Times New Roman"/>
        <family val="1"/>
        <charset val="204"/>
      </rPr>
      <t>Опора ТАНС.12.040.000</t>
    </r>
    <r>
      <rPr>
        <sz val="11"/>
        <color theme="1"/>
        <rFont val="Times New Roman"/>
        <family val="1"/>
        <charset val="204"/>
      </rPr>
      <t xml:space="preserve">                                           Цена: 24995,25/1,18/5,81*1,03</t>
    </r>
  </si>
  <si>
    <r>
      <rPr>
        <b/>
        <sz val="11"/>
        <color theme="1"/>
        <rFont val="Times New Roman"/>
        <family val="1"/>
        <charset val="204"/>
      </rPr>
      <t>Кабель UPT25 пар cat.3</t>
    </r>
    <r>
      <rPr>
        <sz val="11"/>
        <color theme="1"/>
        <rFont val="Times New Roman"/>
        <family val="1"/>
        <charset val="204"/>
      </rPr>
      <t xml:space="preserve">                                          Цена: 81,19/1,18/5,81*1,03*1,02</t>
    </r>
  </si>
  <si>
    <r>
      <rPr>
        <b/>
        <sz val="11"/>
        <color theme="1"/>
        <rFont val="Times New Roman"/>
        <family val="1"/>
        <charset val="204"/>
      </rPr>
      <t xml:space="preserve">Телефонный кабель RJ12                                   </t>
    </r>
    <r>
      <rPr>
        <sz val="11"/>
        <color theme="1"/>
        <rFont val="Times New Roman"/>
        <family val="1"/>
        <charset val="204"/>
      </rPr>
      <t>Цена: 1,98/1,18/5,81*1,03*1,02</t>
    </r>
  </si>
  <si>
    <r>
      <rPr>
        <b/>
        <sz val="11"/>
        <color theme="1"/>
        <rFont val="Times New Roman"/>
        <family val="1"/>
        <charset val="204"/>
      </rPr>
      <t xml:space="preserve">Кабель витая пара 4x2 </t>
    </r>
    <r>
      <rPr>
        <sz val="11"/>
        <color theme="1"/>
        <rFont val="Times New Roman"/>
        <family val="1"/>
        <charset val="204"/>
      </rPr>
      <t xml:space="preserve">                                        Цена: 3,77/1,18/5,81*1,03*1,02</t>
    </r>
  </si>
  <si>
    <r>
      <rPr>
        <b/>
        <sz val="11"/>
        <color theme="1"/>
        <rFont val="Times New Roman"/>
        <family val="1"/>
        <charset val="204"/>
      </rPr>
      <t>Держатель с защелкой 32 мм</t>
    </r>
    <r>
      <rPr>
        <sz val="11"/>
        <color theme="1"/>
        <rFont val="Times New Roman"/>
        <family val="1"/>
        <charset val="204"/>
      </rPr>
      <t xml:space="preserve"> Цена:12,75/1,18/5,81*1,03*1,02</t>
    </r>
  </si>
  <si>
    <r>
      <rPr>
        <b/>
        <sz val="11"/>
        <color theme="1"/>
        <rFont val="Times New Roman"/>
        <family val="1"/>
        <charset val="204"/>
      </rPr>
      <t xml:space="preserve">Коробка под два модуля                                         </t>
    </r>
    <r>
      <rPr>
        <sz val="11"/>
        <color theme="1"/>
        <rFont val="Times New Roman"/>
        <family val="1"/>
        <charset val="204"/>
      </rPr>
      <t>Цена: 69,15/1,18/5,81*1,03*1,02</t>
    </r>
  </si>
  <si>
    <r>
      <rPr>
        <b/>
        <sz val="11"/>
        <color theme="1"/>
        <rFont val="Times New Roman"/>
        <family val="1"/>
        <charset val="204"/>
      </rPr>
      <t xml:space="preserve">Розетка компьютерная RJ 45                                    </t>
    </r>
    <r>
      <rPr>
        <sz val="11"/>
        <color theme="1"/>
        <rFont val="Times New Roman"/>
        <family val="1"/>
        <charset val="204"/>
      </rPr>
      <t>Цена: 244,48/1,18/5,81*1,03*1,02</t>
    </r>
  </si>
  <si>
    <r>
      <rPr>
        <b/>
        <sz val="11"/>
        <color theme="1"/>
        <rFont val="Times New Roman"/>
        <family val="1"/>
        <charset val="204"/>
      </rPr>
      <t xml:space="preserve">Миниканал с крышкой ТМС 40/2*17 </t>
    </r>
    <r>
      <rPr>
        <sz val="11"/>
        <color theme="1"/>
        <rFont val="Times New Roman"/>
        <family val="1"/>
        <charset val="204"/>
      </rPr>
      <t>Цена:64/1,18/5,81*1,03*1,02</t>
    </r>
  </si>
  <si>
    <r>
      <rPr>
        <b/>
        <sz val="11"/>
        <color theme="1"/>
        <rFont val="Times New Roman"/>
        <family val="1"/>
        <charset val="204"/>
      </rPr>
      <t>Плоский угол APSP</t>
    </r>
    <r>
      <rPr>
        <sz val="11"/>
        <color theme="1"/>
        <rFont val="Times New Roman"/>
        <family val="1"/>
        <charset val="204"/>
      </rPr>
      <t xml:space="preserve">                                            Цена: 1041,23/1,18/5,81*1,03*1,02</t>
    </r>
  </si>
  <si>
    <r>
      <rPr>
        <b/>
        <sz val="11"/>
        <color theme="1"/>
        <rFont val="Times New Roman"/>
        <family val="1"/>
        <charset val="204"/>
      </rPr>
      <t xml:space="preserve">Соединение на стык                                                  </t>
    </r>
    <r>
      <rPr>
        <sz val="11"/>
        <color theme="1"/>
        <rFont val="Times New Roman"/>
        <family val="1"/>
        <charset val="204"/>
      </rPr>
      <t>Цена: 58,04/1,18/5,81*1,03*1,02</t>
    </r>
  </si>
  <si>
    <r>
      <rPr>
        <b/>
        <sz val="11"/>
        <color theme="1"/>
        <rFont val="Times New Roman"/>
        <family val="1"/>
        <charset val="204"/>
      </rPr>
      <t xml:space="preserve">Напольный канал GSP-N 75*17  </t>
    </r>
    <r>
      <rPr>
        <sz val="11"/>
        <color theme="1"/>
        <rFont val="Times New Roman"/>
        <family val="1"/>
        <charset val="204"/>
      </rPr>
      <t>Цена:275,63/1,18/5,81*1,03*1,02</t>
    </r>
  </si>
  <si>
    <r>
      <rPr>
        <b/>
        <sz val="11"/>
        <color theme="1"/>
        <rFont val="Times New Roman"/>
        <family val="1"/>
        <charset val="204"/>
      </rPr>
      <t>Угол плоский GSP-N 75*17</t>
    </r>
    <r>
      <rPr>
        <sz val="11"/>
        <color theme="1"/>
        <rFont val="Times New Roman"/>
        <family val="1"/>
        <charset val="204"/>
      </rPr>
      <t xml:space="preserve">                                  Цена: 291/1,18/5,81*1,03*1,02</t>
    </r>
  </si>
  <si>
    <r>
      <rPr>
        <b/>
        <sz val="11"/>
        <color theme="1"/>
        <rFont val="Times New Roman"/>
        <family val="1"/>
        <charset val="204"/>
      </rPr>
      <t xml:space="preserve">Напольная башенка в комплекте с базой         </t>
    </r>
    <r>
      <rPr>
        <sz val="11"/>
        <color theme="1"/>
        <rFont val="Times New Roman"/>
        <family val="1"/>
        <charset val="204"/>
      </rPr>
      <t xml:space="preserve"> Цена: 2272,21/1,18/5,81*1,03*1,02</t>
    </r>
  </si>
  <si>
    <r>
      <rPr>
        <b/>
        <sz val="11"/>
        <color theme="1"/>
        <rFont val="Times New Roman"/>
        <family val="1"/>
        <charset val="204"/>
      </rPr>
      <t>Каркас на 4 модуля</t>
    </r>
    <r>
      <rPr>
        <sz val="11"/>
        <color theme="1"/>
        <rFont val="Times New Roman"/>
        <family val="1"/>
        <charset val="204"/>
      </rPr>
      <t xml:space="preserve">                                                 Цена: 34/1,18/5,81*1,03*1,02</t>
    </r>
  </si>
  <si>
    <r>
      <rPr>
        <b/>
        <sz val="11"/>
        <color theme="1"/>
        <rFont val="Times New Roman"/>
        <family val="1"/>
        <charset val="204"/>
      </rPr>
      <t xml:space="preserve">Рамка </t>
    </r>
    <r>
      <rPr>
        <sz val="11"/>
        <color theme="1"/>
        <rFont val="Times New Roman"/>
        <family val="1"/>
        <charset val="204"/>
      </rPr>
      <t>Цена: 42,12/1,18/5,81*1,03*1,02</t>
    </r>
  </si>
  <si>
    <r>
      <rPr>
        <b/>
        <sz val="11"/>
        <color theme="1"/>
        <rFont val="Times New Roman"/>
        <family val="1"/>
        <charset val="204"/>
      </rPr>
      <t>Розетка телефонная</t>
    </r>
    <r>
      <rPr>
        <sz val="11"/>
        <color theme="1"/>
        <rFont val="Times New Roman"/>
        <family val="1"/>
        <charset val="204"/>
      </rPr>
      <t xml:space="preserve">  RJ 12 кат.5е                     Цена: 133,84/1,18/5,81*1,03*1,02</t>
    </r>
  </si>
  <si>
    <r>
      <rPr>
        <b/>
        <sz val="11"/>
        <color theme="1"/>
        <rFont val="Times New Roman"/>
        <family val="1"/>
        <charset val="204"/>
      </rPr>
      <t>Заглушка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Цена: 16,8/1,18/5,81*1,03*1,02</t>
    </r>
  </si>
  <si>
    <r>
      <rPr>
        <b/>
        <sz val="11"/>
        <color theme="1"/>
        <rFont val="Times New Roman"/>
        <family val="1"/>
        <charset val="204"/>
      </rPr>
      <t xml:space="preserve">Коммутационный шнур LC-LC 2*9/125 3м          </t>
    </r>
    <r>
      <rPr>
        <sz val="11"/>
        <color theme="1"/>
        <rFont val="Times New Roman"/>
        <family val="1"/>
        <charset val="204"/>
      </rPr>
      <t xml:space="preserve">  Цена: 1676,97/1,18/5,81*1,03*1,02</t>
    </r>
  </si>
  <si>
    <r>
      <rPr>
        <b/>
        <sz val="11"/>
        <color theme="1"/>
        <rFont val="Times New Roman"/>
        <family val="1"/>
        <charset val="204"/>
      </rPr>
      <t>Коммутационный шнур RJ12-RJ12 5e 2м</t>
    </r>
    <r>
      <rPr>
        <sz val="11"/>
        <color theme="1"/>
        <rFont val="Times New Roman"/>
        <family val="1"/>
        <charset val="204"/>
      </rPr>
      <t xml:space="preserve">              Цена: 11,3/1,18/5,81*1,03*1,02</t>
    </r>
  </si>
  <si>
    <r>
      <rPr>
        <b/>
        <sz val="11"/>
        <color theme="1"/>
        <rFont val="Times New Roman"/>
        <family val="1"/>
        <charset val="204"/>
      </rPr>
      <t xml:space="preserve"> Коммутационный шнур UTP 5е</t>
    </r>
    <r>
      <rPr>
        <sz val="11"/>
        <color theme="1"/>
        <rFont val="Times New Roman"/>
        <family val="1"/>
        <charset val="204"/>
      </rPr>
      <t xml:space="preserve">                      Цена: 193,45/1,18/5,81*1,03*1,02</t>
    </r>
  </si>
  <si>
    <r>
      <t xml:space="preserve">Очистные сооружения поверхностного стока в корпусе из полиэтилена низкого давления (ПНД), </t>
    </r>
    <r>
      <rPr>
        <sz val="10"/>
        <color theme="1"/>
        <rFont val="Times New Roman"/>
        <family val="1"/>
        <charset val="204"/>
      </rPr>
      <t>производительность 20 л/с (L-7,5 м; диам.2 м)</t>
    </r>
  </si>
  <si>
    <r>
      <t xml:space="preserve">Очистные сооружения поверхностного стока в корпусе из полиэтилена низкого давления (ПНД), </t>
    </r>
    <r>
      <rPr>
        <sz val="10"/>
        <color theme="1"/>
        <rFont val="Times New Roman"/>
        <family val="1"/>
        <charset val="204"/>
      </rPr>
      <t>производительность 30 л/с (L-9 м, диам.2 м)</t>
    </r>
  </si>
  <si>
    <r>
      <t>Очистные сооружения поверхностного стока в корпусе из полиэтилена низкого давления (ПНД),</t>
    </r>
    <r>
      <rPr>
        <sz val="10"/>
        <color theme="1"/>
        <rFont val="Times New Roman"/>
        <family val="1"/>
        <charset val="204"/>
      </rPr>
      <t xml:space="preserve"> производительность 40 л/с (L-6 м, диам.2 м) х2</t>
    </r>
  </si>
  <si>
    <r>
      <t>Рентгеновская досмотровая установка  HiScan51800si</t>
    </r>
    <r>
      <rPr>
        <sz val="11"/>
        <color theme="1"/>
        <rFont val="Times New Roman"/>
        <family val="1"/>
        <charset val="204"/>
      </rPr>
      <t xml:space="preserve"> (в комплекте)</t>
    </r>
  </si>
  <si>
    <r>
      <t xml:space="preserve">Стол письменный 90*60*75 </t>
    </r>
    <r>
      <rPr>
        <sz val="11"/>
        <color theme="1"/>
        <rFont val="Times New Roman"/>
        <family val="1"/>
        <charset val="204"/>
      </rPr>
      <t xml:space="preserve"> "орех пегас"</t>
    </r>
  </si>
  <si>
    <r>
      <t>Стеллаж широкий 76*39*200</t>
    </r>
    <r>
      <rPr>
        <sz val="11"/>
        <color theme="1"/>
        <rFont val="Times New Roman"/>
        <family val="1"/>
        <charset val="204"/>
      </rPr>
      <t xml:space="preserve"> "орех пегас"</t>
    </r>
  </si>
  <si>
    <r>
      <t>Обеденная группа Премиум - 1</t>
    </r>
    <r>
      <rPr>
        <sz val="11"/>
        <color theme="1"/>
        <rFont val="Times New Roman"/>
        <family val="1"/>
        <charset val="204"/>
      </rPr>
      <t xml:space="preserve"> (стол + 4 стула)</t>
    </r>
  </si>
  <si>
    <r>
      <t xml:space="preserve">Шкаф метал. </t>
    </r>
    <r>
      <rPr>
        <b/>
        <sz val="9"/>
        <color theme="1"/>
        <rFont val="Times New Roman"/>
        <family val="1"/>
        <charset val="204"/>
      </rPr>
      <t xml:space="preserve">1985*1000*485  </t>
    </r>
    <r>
      <rPr>
        <sz val="9"/>
        <color theme="1"/>
        <rFont val="Times New Roman"/>
        <family val="1"/>
        <charset val="204"/>
      </rPr>
      <t>(двери жалюзи) 4 полки</t>
    </r>
  </si>
  <si>
    <r>
      <t xml:space="preserve">Стол компьютерный  </t>
    </r>
    <r>
      <rPr>
        <sz val="9"/>
        <color theme="1"/>
        <rFont val="Times New Roman"/>
        <family val="1"/>
        <charset val="204"/>
      </rPr>
      <t>Фортуна - 22.1 700х500х750  мм. "орех пегас"</t>
    </r>
  </si>
  <si>
    <r>
      <t xml:space="preserve">ООО "Диджит", </t>
    </r>
    <r>
      <rPr>
        <sz val="9"/>
        <color theme="1"/>
        <rFont val="Times New Roman"/>
        <family val="1"/>
        <charset val="204"/>
      </rPr>
      <t>Счет №УК00005962 от 29.10.13г.</t>
    </r>
  </si>
  <si>
    <r>
      <t xml:space="preserve">Чайник </t>
    </r>
    <r>
      <rPr>
        <sz val="11"/>
        <color theme="1"/>
        <rFont val="Times New Roman"/>
        <family val="1"/>
        <charset val="204"/>
      </rPr>
      <t>Bosch TWK-7706RU</t>
    </r>
  </si>
  <si>
    <r>
      <t xml:space="preserve">СВЧ соло сенсор </t>
    </r>
    <r>
      <rPr>
        <sz val="11"/>
        <color theme="1"/>
        <rFont val="Times New Roman"/>
        <family val="1"/>
        <charset val="204"/>
      </rPr>
      <t>Bosch НМТ84М421</t>
    </r>
  </si>
  <si>
    <r>
      <t xml:space="preserve">Холодильник </t>
    </r>
    <r>
      <rPr>
        <sz val="11"/>
        <color theme="1"/>
        <rFont val="Times New Roman"/>
        <family val="1"/>
        <charset val="204"/>
      </rPr>
      <t>Bosch KGV36VW13R белый</t>
    </r>
  </si>
  <si>
    <r>
      <t xml:space="preserve">ООО "Аквасток", </t>
    </r>
    <r>
      <rPr>
        <sz val="9"/>
        <color theme="1"/>
        <rFont val="Times New Roman"/>
        <family val="1"/>
        <charset val="204"/>
      </rPr>
      <t>Счет № СП596 от 19.07.13г.</t>
    </r>
  </si>
  <si>
    <r>
      <t>Алюминиево-резиновый половик</t>
    </r>
    <r>
      <rPr>
        <sz val="11"/>
        <color theme="1"/>
        <rFont val="Times New Roman"/>
        <family val="1"/>
        <charset val="204"/>
      </rPr>
      <t xml:space="preserve"> 60/40</t>
    </r>
  </si>
  <si>
    <r>
      <t>Алюминиево-резиновый половик</t>
    </r>
    <r>
      <rPr>
        <sz val="11"/>
        <color theme="1"/>
        <rFont val="Times New Roman"/>
        <family val="1"/>
        <charset val="204"/>
      </rPr>
      <t xml:space="preserve"> (на заказ)</t>
    </r>
  </si>
  <si>
    <r>
      <t xml:space="preserve">Кнопка тревожная Астра-321                                 </t>
    </r>
    <r>
      <rPr>
        <sz val="11"/>
        <color theme="1"/>
        <rFont val="Times New Roman"/>
        <family val="1"/>
        <charset val="204"/>
      </rPr>
      <t>Цена: 163/1,18/3,5*1,03*1,012</t>
    </r>
  </si>
  <si>
    <r>
      <t>Аккумулятор 12 В, емкость 17 А/час</t>
    </r>
    <r>
      <rPr>
        <sz val="11"/>
        <color theme="1"/>
        <rFont val="Times New Roman"/>
        <family val="1"/>
        <charset val="204"/>
      </rPr>
      <t xml:space="preserve">              Цена: 1180,25/1,18/3,5*1,03*1,012</t>
    </r>
  </si>
  <si>
    <r>
      <t xml:space="preserve">Кабель для пожарной и охранной сигнальной емк. КПСВВ 2x2x0.22                                       </t>
    </r>
    <r>
      <rPr>
        <sz val="11"/>
        <color theme="1"/>
        <rFont val="Times New Roman"/>
        <family val="1"/>
        <charset val="204"/>
      </rPr>
      <t>Цена: 15,98/1,18/5,81*1,02*1,03</t>
    </r>
  </si>
  <si>
    <r>
      <t xml:space="preserve">Считыватель проксимити карт Matrix 2-EH </t>
    </r>
    <r>
      <rPr>
        <sz val="11"/>
        <color theme="1"/>
        <rFont val="Times New Roman"/>
        <family val="1"/>
        <charset val="204"/>
      </rPr>
      <t>Цена:1030/1,18/3,5*1,03*1,012</t>
    </r>
  </si>
  <si>
    <r>
      <t xml:space="preserve">Турникет трипод Perco TTR-04.1 AE                </t>
    </r>
    <r>
      <rPr>
        <sz val="11"/>
        <color theme="1"/>
        <rFont val="Times New Roman"/>
        <family val="1"/>
        <charset val="204"/>
      </rPr>
      <t>Цена: 57114/1,18/3,5*1,03*1,012</t>
    </r>
  </si>
  <si>
    <r>
      <t xml:space="preserve">Турникет трипод Perco RTD-12.2                     </t>
    </r>
    <r>
      <rPr>
        <sz val="11"/>
        <color theme="1"/>
        <rFont val="Times New Roman"/>
        <family val="1"/>
        <charset val="204"/>
      </rPr>
      <t>Цена: 177631,8/1,18/3,5*1,03*1,012</t>
    </r>
  </si>
  <si>
    <r>
      <t xml:space="preserve">Рип -12 исп. 01П                                                    </t>
    </r>
    <r>
      <rPr>
        <sz val="11"/>
        <color theme="1"/>
        <rFont val="Times New Roman"/>
        <family val="1"/>
        <charset val="204"/>
      </rPr>
      <t>Цена: 2610,41/1,18/3,5*1,03*1,012</t>
    </r>
  </si>
  <si>
    <r>
      <t xml:space="preserve">Реверсивный рубильник                                  </t>
    </r>
    <r>
      <rPr>
        <sz val="11"/>
        <color theme="1"/>
        <rFont val="Times New Roman"/>
        <family val="1"/>
        <charset val="204"/>
      </rPr>
      <t>Цена: 2311/5,81/1,18*1,02*1,03</t>
    </r>
  </si>
  <si>
    <r>
      <t xml:space="preserve">ABB Авт.выкл. 3пол. C 63А  S203  6кА </t>
    </r>
    <r>
      <rPr>
        <sz val="11"/>
        <color theme="1"/>
        <rFont val="Times New Roman"/>
        <family val="1"/>
        <charset val="204"/>
      </rPr>
      <t>Цена:916,99/5,81/1,18*1,02*1,03</t>
    </r>
  </si>
  <si>
    <r>
      <t xml:space="preserve">ABB Авт.выкл. 3пол. C 20А  S203  6кА  </t>
    </r>
    <r>
      <rPr>
        <sz val="11"/>
        <color theme="1"/>
        <rFont val="Times New Roman"/>
        <family val="1"/>
        <charset val="204"/>
      </rPr>
      <t>Цена:579,94/5,81/1,18*1,02*1,03</t>
    </r>
  </si>
  <si>
    <r>
      <t xml:space="preserve">ABB Авт.выкл. 3пол. C 25А  S203  6кА           </t>
    </r>
    <r>
      <rPr>
        <sz val="11"/>
        <color theme="1"/>
        <rFont val="Times New Roman"/>
        <family val="1"/>
        <charset val="204"/>
      </rPr>
      <t>Цена: 604,15/5,81/1,18*1,02*1,03</t>
    </r>
  </si>
  <si>
    <r>
      <t xml:space="preserve">ABB Авт.выкл. 3пол. C 16А  S203  6кА            </t>
    </r>
    <r>
      <rPr>
        <sz val="11"/>
        <color theme="1"/>
        <rFont val="Times New Roman"/>
        <family val="1"/>
        <charset val="204"/>
      </rPr>
      <t>Цена: 490,78/5,81/1,18*1,02*1,03</t>
    </r>
  </si>
  <si>
    <r>
      <t xml:space="preserve">ABB Авт.выкл. 3пол. C 6А  S203  6кА             </t>
    </r>
    <r>
      <rPr>
        <sz val="11"/>
        <color theme="1"/>
        <rFont val="Times New Roman"/>
        <family val="1"/>
        <charset val="204"/>
      </rPr>
      <t>Цена: 651,04/5,81/1,18*1,02*1,03</t>
    </r>
  </si>
  <si>
    <r>
      <t xml:space="preserve"> Рубильник ОТ 40А                                             </t>
    </r>
    <r>
      <rPr>
        <sz val="11"/>
        <color theme="1"/>
        <rFont val="Times New Roman"/>
        <family val="1"/>
        <charset val="204"/>
      </rPr>
      <t>Цена: 450/5,81/1,18*1,02*1,03</t>
    </r>
  </si>
  <si>
    <r>
      <t xml:space="preserve"> Рубильник ОТ 10А                                          </t>
    </r>
    <r>
      <rPr>
        <sz val="11"/>
        <color theme="1"/>
        <rFont val="Times New Roman"/>
        <family val="1"/>
        <charset val="204"/>
      </rPr>
      <t>Цена: 340/5,81/1,18*1,02*1,03</t>
    </r>
  </si>
  <si>
    <r>
      <t xml:space="preserve">ABB Авт.выкл. 3пол. C 10А  S201 6кА            </t>
    </r>
    <r>
      <rPr>
        <sz val="11"/>
        <color theme="1"/>
        <rFont val="Times New Roman"/>
        <family val="1"/>
        <charset val="204"/>
      </rPr>
      <t>Цена: 144,89/5,81/1,18*1,02*1,03</t>
    </r>
  </si>
  <si>
    <r>
      <t xml:space="preserve">ABB Авт.выкл. 3пол. C 16А  S201 6кА  </t>
    </r>
    <r>
      <rPr>
        <sz val="11"/>
        <color theme="1"/>
        <rFont val="Times New Roman"/>
        <family val="1"/>
        <charset val="204"/>
      </rPr>
      <t>Цена:144,89/5,81/1,18*1,02*1,03</t>
    </r>
  </si>
  <si>
    <r>
      <t xml:space="preserve">ABB Авт.выкл. 3пол. C 6А  S201 6кА </t>
    </r>
    <r>
      <rPr>
        <sz val="11"/>
        <color theme="1"/>
        <rFont val="Times New Roman"/>
        <family val="1"/>
        <charset val="204"/>
      </rPr>
      <t>Цена:179,09/5,81/1,18*1,02*1,03</t>
    </r>
  </si>
  <si>
    <r>
      <t xml:space="preserve">УЗО  ABB F202 2/25A  30mA </t>
    </r>
    <r>
      <rPr>
        <sz val="11"/>
        <color theme="1"/>
        <rFont val="Times New Roman"/>
        <family val="1"/>
        <charset val="204"/>
      </rPr>
      <t>Цена:1096,47/5,81/1,18*1,02*1,03</t>
    </r>
  </si>
  <si>
    <r>
      <t xml:space="preserve">Миниканал c отгибающейся крышкой 22x10 мм </t>
    </r>
    <r>
      <rPr>
        <sz val="11"/>
        <color theme="1"/>
        <rFont val="Times New Roman"/>
        <family val="1"/>
        <charset val="204"/>
      </rPr>
      <t>Цена:39,28/5,81/1,18*1,02*1,03</t>
    </r>
  </si>
  <si>
    <r>
      <t xml:space="preserve">TA-GN 100x40 Короб с крышкой, с направляющими для установки разделителей </t>
    </r>
    <r>
      <rPr>
        <sz val="11"/>
        <color theme="1"/>
        <rFont val="Times New Roman"/>
        <family val="1"/>
        <charset val="204"/>
      </rPr>
      <t>Цена:39,28/5,81/1,18*1,02*1,03</t>
    </r>
  </si>
  <si>
    <r>
      <t xml:space="preserve">Лоток лестничный 200x80 мм L=3 м </t>
    </r>
    <r>
      <rPr>
        <sz val="11"/>
        <color theme="1"/>
        <rFont val="Times New Roman"/>
        <family val="1"/>
        <charset val="204"/>
      </rPr>
      <t>Цена:541,2/5,81/1,18*1,02*1,03</t>
    </r>
  </si>
  <si>
    <r>
      <t xml:space="preserve">Розетка кабельная                                               </t>
    </r>
    <r>
      <rPr>
        <sz val="11"/>
        <color theme="1"/>
        <rFont val="Times New Roman"/>
        <family val="1"/>
        <charset val="204"/>
      </rPr>
      <t>Цена: 262,5/5,81/1,18*1,02*1,03</t>
    </r>
  </si>
  <si>
    <r>
      <t xml:space="preserve">Розетка кабельная IP44 16A 2P+E 230V           </t>
    </r>
    <r>
      <rPr>
        <sz val="11"/>
        <color theme="1"/>
        <rFont val="Times New Roman"/>
        <family val="1"/>
        <charset val="204"/>
      </rPr>
      <t>Цена: 150,94/5,81/1,18*1,03*1,02</t>
    </r>
  </si>
  <si>
    <r>
      <t xml:space="preserve">Блок питания "аварийный"  </t>
    </r>
    <r>
      <rPr>
        <sz val="11"/>
        <color theme="1"/>
        <rFont val="Times New Roman"/>
        <family val="1"/>
        <charset val="204"/>
      </rPr>
      <t>Цена:2200/5,81/1,18*1,02*1,03</t>
    </r>
  </si>
  <si>
    <r>
      <t xml:space="preserve">Источник бесперебойного питания APC1100В </t>
    </r>
    <r>
      <rPr>
        <sz val="11"/>
        <color theme="1"/>
        <rFont val="Times New Roman"/>
        <family val="1"/>
        <charset val="204"/>
      </rPr>
      <t>Цена: 6210/1,18/3,5*1,03*1,012</t>
    </r>
  </si>
  <si>
    <r>
      <t xml:space="preserve">Кнопка открывания двери с подсветкой КОД сп2 </t>
    </r>
    <r>
      <rPr>
        <sz val="11"/>
        <color theme="1"/>
        <rFont val="Times New Roman"/>
        <family val="1"/>
        <charset val="204"/>
      </rPr>
      <t>Цена: 268,88/1,18/3,5*1,03*1,012</t>
    </r>
  </si>
  <si>
    <r>
      <t xml:space="preserve">Сигнальная лампа оранжевая                           </t>
    </r>
    <r>
      <rPr>
        <sz val="11"/>
        <color theme="1"/>
        <rFont val="Times New Roman"/>
        <family val="1"/>
        <charset val="204"/>
      </rPr>
      <t>Цена: 22,14/1,18/3,5*1,03*1,012</t>
    </r>
  </si>
  <si>
    <r>
      <rPr>
        <b/>
        <sz val="11"/>
        <color theme="1"/>
        <rFont val="Times New Roman"/>
        <family val="1"/>
        <charset val="204"/>
      </rPr>
      <t>Шкаф напольный Racknet 26u</t>
    </r>
    <r>
      <rPr>
        <sz val="11"/>
        <color theme="1"/>
        <rFont val="Times New Roman"/>
        <family val="1"/>
        <charset val="204"/>
      </rPr>
      <t xml:space="preserve">                           Цена: 21664,34/1,18/3,5*1,03*1,012</t>
    </r>
  </si>
  <si>
    <r>
      <rPr>
        <b/>
        <sz val="11"/>
        <color theme="1"/>
        <rFont val="Times New Roman"/>
        <family val="1"/>
        <charset val="204"/>
      </rPr>
      <t xml:space="preserve">Блок розеток 19*7*220                                       </t>
    </r>
    <r>
      <rPr>
        <sz val="11"/>
        <color theme="1"/>
        <rFont val="Times New Roman"/>
        <family val="1"/>
        <charset val="204"/>
      </rPr>
      <t>Цена: 2020/1,18/3,5*1,03*1,012</t>
    </r>
  </si>
  <si>
    <r>
      <rPr>
        <b/>
        <sz val="11"/>
        <color theme="1"/>
        <rFont val="Times New Roman"/>
        <family val="1"/>
        <charset val="204"/>
      </rPr>
      <t xml:space="preserve">Модуль вентиляторный </t>
    </r>
    <r>
      <rPr>
        <sz val="11"/>
        <color theme="1"/>
        <rFont val="Times New Roman"/>
        <family val="1"/>
        <charset val="204"/>
      </rPr>
      <t xml:space="preserve">                                           Цена: 2954,77/1,18/3,5*1,03*1,012</t>
    </r>
  </si>
  <si>
    <r>
      <rPr>
        <b/>
        <sz val="11"/>
        <color theme="1"/>
        <rFont val="Times New Roman"/>
        <family val="1"/>
        <charset val="204"/>
      </rPr>
      <t>Комплект заземления</t>
    </r>
    <r>
      <rPr>
        <sz val="11"/>
        <color theme="1"/>
        <rFont val="Times New Roman"/>
        <family val="1"/>
        <charset val="204"/>
      </rPr>
      <t xml:space="preserve">                                          Цена: 1018,39/1,18/3,5*1,03*1,012</t>
    </r>
  </si>
  <si>
    <r>
      <rPr>
        <b/>
        <sz val="11"/>
        <color theme="1"/>
        <rFont val="Times New Roman"/>
        <family val="1"/>
        <charset val="204"/>
      </rPr>
      <t>Коммутатор Cisko Catalyst</t>
    </r>
    <r>
      <rPr>
        <sz val="11"/>
        <color theme="1"/>
        <rFont val="Times New Roman"/>
        <family val="1"/>
        <charset val="204"/>
      </rPr>
      <t xml:space="preserve">                                  Цена: 178770/1,18/3,5*1,03*1,012</t>
    </r>
  </si>
  <si>
    <r>
      <rPr>
        <b/>
        <sz val="11"/>
        <color theme="1"/>
        <rFont val="Times New Roman"/>
        <family val="1"/>
        <charset val="204"/>
      </rPr>
      <t xml:space="preserve">GE SFP LC connektor LX/LN transceiver             </t>
    </r>
    <r>
      <rPr>
        <sz val="11"/>
        <color theme="1"/>
        <rFont val="Times New Roman"/>
        <family val="1"/>
        <charset val="204"/>
      </rPr>
      <t>Цена: 696,5/1,18/3,5*1,03*1,012</t>
    </r>
  </si>
  <si>
    <r>
      <rPr>
        <b/>
        <sz val="11"/>
        <color theme="1"/>
        <rFont val="Times New Roman"/>
        <family val="1"/>
        <charset val="204"/>
      </rPr>
      <t>Коммутационная панель 24 порта</t>
    </r>
    <r>
      <rPr>
        <sz val="11"/>
        <color theme="1"/>
        <rFont val="Times New Roman"/>
        <family val="1"/>
        <charset val="204"/>
      </rPr>
      <t xml:space="preserve">                        Цена: 1331,654/1,18/3,5*1,03*1,012</t>
    </r>
  </si>
  <si>
    <r>
      <rPr>
        <b/>
        <sz val="11"/>
        <color theme="1"/>
        <rFont val="Times New Roman"/>
        <family val="1"/>
        <charset val="204"/>
      </rPr>
      <t>Телефонная панель 16 портов</t>
    </r>
    <r>
      <rPr>
        <sz val="11"/>
        <color theme="1"/>
        <rFont val="Times New Roman"/>
        <family val="1"/>
        <charset val="204"/>
      </rPr>
      <t xml:space="preserve">                              Цена: 987,63/3,5*1,03*1,012</t>
    </r>
  </si>
  <si>
    <r>
      <rPr>
        <b/>
        <sz val="11"/>
        <color theme="1"/>
        <rFont val="Times New Roman"/>
        <family val="1"/>
        <charset val="204"/>
      </rPr>
      <t>Телефонный аппарат кнопочный</t>
    </r>
    <r>
      <rPr>
        <sz val="11"/>
        <color theme="1"/>
        <rFont val="Times New Roman"/>
        <family val="1"/>
        <charset val="204"/>
      </rPr>
      <t xml:space="preserve">                          Цена: 990/1,18/3,5*1,03*1,012</t>
    </r>
  </si>
  <si>
    <r>
      <rPr>
        <b/>
        <sz val="11"/>
        <color theme="1"/>
        <rFont val="Times New Roman"/>
        <family val="1"/>
        <charset val="204"/>
      </rPr>
      <t xml:space="preserve">Прибор приемо-контрольный Сигнал 20М        </t>
    </r>
    <r>
      <rPr>
        <sz val="11"/>
        <color theme="1"/>
        <rFont val="Times New Roman"/>
        <family val="1"/>
        <charset val="204"/>
      </rPr>
      <t xml:space="preserve">   Цена: 3140/1,18/3,5*1,03*1,012</t>
    </r>
  </si>
  <si>
    <r>
      <rPr>
        <b/>
        <sz val="11"/>
        <color theme="1"/>
        <rFont val="Times New Roman"/>
        <family val="1"/>
        <charset val="204"/>
      </rPr>
      <t xml:space="preserve">Модуль 1000BASE-LX/LH SFP transceiver module, MMF/SMF, 1310nm, DOM, GLC-LH-SMD.      </t>
    </r>
    <r>
      <rPr>
        <sz val="11"/>
        <color theme="1"/>
        <rFont val="Times New Roman"/>
        <family val="1"/>
        <charset val="204"/>
      </rPr>
      <t xml:space="preserve">    Цена: 22450/1,18/3,5*1,03*1,012</t>
    </r>
  </si>
  <si>
    <t>Цена: 265 000/1,18/3,5*1,03*1,012</t>
  </si>
  <si>
    <t>Цена:15400/1,18/3,5*1,012</t>
  </si>
  <si>
    <t>Цена: 15 000/1,18/3,5*1,012</t>
  </si>
  <si>
    <t>Цена: 130000/1,18/3,5</t>
  </si>
  <si>
    <t>Цена: 108 268,33/1,18/3,5*1,03*1,0075</t>
  </si>
  <si>
    <t>Обогреватель 750</t>
  </si>
  <si>
    <t>Цена: 20 759/3,5*1,03*1,012</t>
  </si>
  <si>
    <t>Цена: 28 403/3,5*1,03*1,012</t>
  </si>
  <si>
    <t>Цена: 2 745/1,18/3,5*1,03*1,012</t>
  </si>
  <si>
    <t>Цена: 3 714/1,18/3,5*1,03*1,012</t>
  </si>
  <si>
    <t>Цена: 9 375/1,18/3,5*1,03*1,012</t>
  </si>
  <si>
    <t>Цена: 6 308/1,18/3,5*1,03*1,012</t>
  </si>
  <si>
    <t>Цена: 9 215/1,18/3,5*1,03*1,012</t>
  </si>
  <si>
    <t>Цена: 15 360/1,18/3,5*1,03*1,012</t>
  </si>
  <si>
    <t>Цена: 21 340/1,18/3,5*1,03*1,012</t>
  </si>
  <si>
    <t>Цена: 1 955/1,18/3,5*1,03*1,012</t>
  </si>
  <si>
    <t>Цена: 2 893/1,18/3,5*1,03*1,012</t>
  </si>
  <si>
    <t>Цена: 8 892/1,18/3,5*1,03*1,012</t>
  </si>
  <si>
    <t>Цена: 7 470/1,18/3,5*1,03*1,012</t>
  </si>
  <si>
    <t>Цена: 4 304/1,18/3,5*1,03*1,012</t>
  </si>
  <si>
    <t>Цена: 1 258/1,18/3,5*1,03*1,012</t>
  </si>
  <si>
    <t>Цена: 1 330/1,18/3,5*1,03*1,012</t>
  </si>
  <si>
    <t>Цена: 4 370/1,18/3,5*1,03*1,012</t>
  </si>
  <si>
    <t>Цена: 14 190/1,18/3,5*1,03*1,012</t>
  </si>
  <si>
    <t>Цена: 2 440/1,18/3,5*1,03*1,012</t>
  </si>
  <si>
    <t>Цена: 10 175/1,18/3,5*1,03*1,012</t>
  </si>
  <si>
    <t>Цена: 9 240/1,18/3,5*1,03*1,012</t>
  </si>
  <si>
    <t>Цена: 69 000/1,18/3,5*1,03*1,012</t>
  </si>
  <si>
    <t>Цена: 395 000/1,18/3,5*1,03*1,012</t>
  </si>
  <si>
    <t>Цена: 30 000/1,18/3,5*1,03*1,012</t>
  </si>
  <si>
    <t>Цена: 15 000/1,18/3,5*1,03*1,012</t>
  </si>
  <si>
    <t>Цена: 6 500/1,18/3,5*1,03*1,012</t>
  </si>
  <si>
    <t>Цена: 606 000/1,18/3,5*1,03*1,012</t>
  </si>
  <si>
    <r>
      <t xml:space="preserve">Извещетель магнитоконтактный на размыкание, пласт. корпус малогабаритный1                           </t>
    </r>
    <r>
      <rPr>
        <sz val="11"/>
        <color theme="1"/>
        <rFont val="Times New Roman"/>
        <family val="1"/>
        <charset val="204"/>
      </rPr>
      <t>Цена: 123/1,18/3,5*1,03*1,012</t>
    </r>
  </si>
  <si>
    <r>
      <t xml:space="preserve">Извещатель акустические                                 </t>
    </r>
    <r>
      <rPr>
        <sz val="11"/>
        <color theme="1"/>
        <rFont val="Times New Roman"/>
        <family val="1"/>
        <charset val="204"/>
      </rPr>
      <t>Цена: 536,90/1,18/3,5*1,03*1,012</t>
    </r>
  </si>
  <si>
    <r>
      <t>Аккумуляторный бокс 2x17 А/ч-12В</t>
    </r>
    <r>
      <rPr>
        <sz val="11"/>
        <color theme="1"/>
        <rFont val="Times New Roman"/>
        <family val="1"/>
        <charset val="204"/>
      </rPr>
      <t xml:space="preserve">                Цена: 1257,88/1,18/3,5*1,03*1,012</t>
    </r>
  </si>
  <si>
    <r>
      <t>Рип -12 исп. 02П</t>
    </r>
    <r>
      <rPr>
        <sz val="11"/>
        <color theme="1"/>
        <rFont val="Times New Roman"/>
        <family val="1"/>
        <charset val="204"/>
      </rPr>
      <t xml:space="preserve">                                                       Цена: 2423,72/1,18/3,5*1,03*1,012</t>
    </r>
  </si>
  <si>
    <r>
      <t xml:space="preserve">Котроллер КБУ                  </t>
    </r>
    <r>
      <rPr>
        <sz val="11"/>
        <color theme="1"/>
        <rFont val="Times New Roman"/>
        <family val="1"/>
        <charset val="204"/>
      </rPr>
      <t>Цена:17000/1,18/3,5*1,03*1,012</t>
    </r>
  </si>
  <si>
    <r>
      <t xml:space="preserve">Алюминевая колона                                                 </t>
    </r>
    <r>
      <rPr>
        <sz val="11"/>
        <color theme="1"/>
        <rFont val="Times New Roman"/>
        <family val="1"/>
        <charset val="204"/>
      </rPr>
      <t>Цена: 4000/5,81/1,18*1,02*1,03</t>
    </r>
  </si>
  <si>
    <r>
      <t xml:space="preserve">Видеосервер Domination                                           </t>
    </r>
    <r>
      <rPr>
        <sz val="11"/>
        <color theme="1"/>
        <rFont val="Times New Roman"/>
        <family val="1"/>
        <charset val="204"/>
      </rPr>
      <t>Цена: 41000/1,18/3,5*1,03*1,012</t>
    </r>
  </si>
  <si>
    <r>
      <t xml:space="preserve">ТВ камера наружного исполнения КСМ-3311 </t>
    </r>
    <r>
      <rPr>
        <sz val="11"/>
        <color theme="1"/>
        <rFont val="Times New Roman"/>
        <family val="1"/>
        <charset val="204"/>
      </rPr>
      <t>Цена: 22520/1,18/3,5*1,03*1,012</t>
    </r>
  </si>
  <si>
    <r>
      <t xml:space="preserve">ТВ камера внутреннего исполнения КСМ-7311 </t>
    </r>
    <r>
      <rPr>
        <sz val="11"/>
        <color theme="1"/>
        <rFont val="Times New Roman"/>
        <family val="1"/>
        <charset val="204"/>
      </rPr>
      <t>Цена: 30890/1,18/3,5*1,03*1,012</t>
    </r>
  </si>
  <si>
    <r>
      <t xml:space="preserve">Блок питания PR816-12D                                      </t>
    </r>
    <r>
      <rPr>
        <sz val="11"/>
        <color theme="1"/>
        <rFont val="Times New Roman"/>
        <family val="1"/>
        <charset val="204"/>
      </rPr>
      <t>Цена: 7608/1,18/3,5*1,03*1,012</t>
    </r>
  </si>
  <si>
    <r>
      <t xml:space="preserve">Внешний жесткий диск                                             </t>
    </r>
    <r>
      <rPr>
        <sz val="11"/>
        <color theme="1"/>
        <rFont val="Times New Roman"/>
        <family val="1"/>
        <charset val="204"/>
      </rPr>
      <t>Цена: 5490/1,18/3,5*1,03*1,012</t>
    </r>
  </si>
  <si>
    <r>
      <t xml:space="preserve">Досмотровой комплект с диодной подсветкой Взгляд -012                                                               </t>
    </r>
    <r>
      <rPr>
        <sz val="11"/>
        <color theme="1"/>
        <rFont val="Times New Roman"/>
        <family val="1"/>
        <charset val="204"/>
      </rPr>
      <t>Цена: 6400/1,18/3,5*1,03*1,012</t>
    </r>
  </si>
  <si>
    <r>
      <t xml:space="preserve">Персональный компьютер                                       </t>
    </r>
    <r>
      <rPr>
        <sz val="11"/>
        <color theme="1"/>
        <rFont val="Times New Roman"/>
        <family val="1"/>
        <charset val="204"/>
      </rPr>
      <t>Цена: 24350/1,18/3,5*1,03*1,012</t>
    </r>
  </si>
  <si>
    <r>
      <t xml:space="preserve">Монитор                                                             </t>
    </r>
    <r>
      <rPr>
        <sz val="11"/>
        <color theme="1"/>
        <rFont val="Times New Roman"/>
        <family val="1"/>
        <charset val="204"/>
      </rPr>
      <t>Цена: 7170/1,18/3,5*1,03*1,012</t>
    </r>
  </si>
  <si>
    <r>
      <t>Комплект фотоэлементов для наружной установки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Цена: 31,24/1,18/3,5*1,03*1,012</t>
    </r>
  </si>
  <si>
    <r>
      <rPr>
        <b/>
        <sz val="11"/>
        <color theme="1"/>
        <rFont val="Times New Roman"/>
        <family val="1"/>
        <charset val="204"/>
      </rPr>
      <t>Кабельный организатор с кольцами</t>
    </r>
    <r>
      <rPr>
        <sz val="11"/>
        <color theme="1"/>
        <rFont val="Times New Roman"/>
        <family val="1"/>
        <charset val="204"/>
      </rPr>
      <t xml:space="preserve">                       Цена: 86,94/1,18/3,5*1,03*1,012</t>
    </r>
  </si>
  <si>
    <r>
      <rPr>
        <b/>
        <sz val="11"/>
        <color theme="1"/>
        <rFont val="Times New Roman"/>
        <family val="1"/>
        <charset val="204"/>
      </rPr>
      <t xml:space="preserve">Оптическая комутационная панель 24 порта, COS LC  SM                                                              </t>
    </r>
    <r>
      <rPr>
        <sz val="11"/>
        <color theme="1"/>
        <rFont val="Times New Roman"/>
        <family val="1"/>
        <charset val="204"/>
      </rPr>
      <t>Цена: 5920/1,18/3,5*1,03*1,012</t>
    </r>
  </si>
  <si>
    <t>___________________________</t>
  </si>
  <si>
    <r>
      <rPr>
        <b/>
        <sz val="9"/>
        <color theme="1"/>
        <rFont val="Times New Roman"/>
        <family val="1"/>
        <charset val="204"/>
      </rPr>
      <t xml:space="preserve">  "</t>
    </r>
    <r>
      <rPr>
        <b/>
        <sz val="11"/>
        <color theme="1"/>
        <rFont val="Times New Roman"/>
        <family val="1"/>
        <charset val="204"/>
      </rPr>
      <t>___</t>
    </r>
    <r>
      <rPr>
        <b/>
        <sz val="9"/>
        <color theme="1"/>
        <rFont val="Times New Roman"/>
        <family val="1"/>
        <charset val="204"/>
      </rPr>
      <t>"</t>
    </r>
    <r>
      <rPr>
        <b/>
        <sz val="11"/>
        <color theme="1"/>
        <rFont val="Times New Roman"/>
        <family val="1"/>
        <charset val="204"/>
      </rPr>
      <t>__________________2013г.</t>
    </r>
  </si>
  <si>
    <t>Цена: 990/1,18/3,5*1,03*1,012</t>
  </si>
  <si>
    <r>
      <t xml:space="preserve">Стол компьютерный 800*600*800 </t>
    </r>
    <r>
      <rPr>
        <b/>
        <sz val="9"/>
        <color theme="1"/>
        <rFont val="Times New Roman"/>
        <family val="1"/>
        <charset val="204"/>
      </rPr>
      <t>Фортуна - 16,1 "орех Пегас"</t>
    </r>
  </si>
  <si>
    <r>
      <rPr>
        <b/>
        <sz val="11"/>
        <color theme="1"/>
        <rFont val="Times New Roman"/>
        <family val="1"/>
        <charset val="204"/>
      </rPr>
      <t xml:space="preserve">ИБП 2200ВА                                                            </t>
    </r>
    <r>
      <rPr>
        <sz val="11"/>
        <color theme="1"/>
        <rFont val="Times New Roman"/>
        <family val="1"/>
        <charset val="204"/>
      </rPr>
      <t>Цена: 45230/1,18/3,5*1,03*1,012</t>
    </r>
  </si>
  <si>
    <r>
      <t xml:space="preserve">Кабель FTP 4PR 24AWG CAT5e 305м наружный "Quantum™"                           </t>
    </r>
    <r>
      <rPr>
        <sz val="11"/>
        <color theme="1"/>
        <rFont val="Times New Roman"/>
        <family val="1"/>
        <charset val="204"/>
      </rPr>
      <t>Цена:12,78/1,18/5,81*1,02*1,03</t>
    </r>
  </si>
  <si>
    <t>Цена: 2950524,03/1,18/3,5</t>
  </si>
  <si>
    <t>Цена: 3 434 700/1,18/3,5*1,012</t>
  </si>
  <si>
    <t>Объект</t>
  </si>
  <si>
    <t xml:space="preserve">Составил_______________ </t>
  </si>
  <si>
    <t xml:space="preserve">Проверил_______________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</si>
</sst>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b/>
      <sz val="11"/>
      <color rgb="FF0000F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Arial Cyr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4" fontId="1" fillId="0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right" vertical="top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/>
    </xf>
    <xf numFmtId="49" fontId="3" fillId="0" borderId="2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49" fontId="4" fillId="0" borderId="2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49" fontId="3" fillId="0" borderId="19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3" fontId="3" fillId="0" borderId="20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3" fontId="3" fillId="0" borderId="22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49" fontId="3" fillId="0" borderId="2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left" vertical="center" wrapText="1"/>
    </xf>
    <xf numFmtId="3" fontId="3" fillId="0" borderId="31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left" vertical="center" wrapText="1"/>
    </xf>
    <xf numFmtId="4" fontId="4" fillId="0" borderId="15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vertical="center" wrapText="1"/>
    </xf>
    <xf numFmtId="16" fontId="2" fillId="0" borderId="19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/>
    </xf>
    <xf numFmtId="16" fontId="3" fillId="0" borderId="19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2" fillId="0" borderId="24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48"/>
  <sheetViews>
    <sheetView tabSelected="1" view="pageBreakPreview" topLeftCell="A10" zoomScale="97" zoomScaleNormal="100" zoomScaleSheetLayoutView="97" workbookViewId="0">
      <selection activeCell="I24" sqref="I24"/>
    </sheetView>
  </sheetViews>
  <sheetFormatPr defaultColWidth="9.140625" defaultRowHeight="15" x14ac:dyDescent="0.2"/>
  <cols>
    <col min="1" max="1" width="7.42578125" style="27" customWidth="1"/>
    <col min="2" max="2" width="43.28515625" style="17" customWidth="1"/>
    <col min="3" max="3" width="47.85546875" style="28" customWidth="1"/>
    <col min="4" max="4" width="10" style="28" customWidth="1"/>
    <col min="5" max="5" width="13.7109375" style="29" customWidth="1"/>
    <col min="6" max="6" width="7.7109375" style="23" customWidth="1"/>
    <col min="7" max="7" width="17" style="2" customWidth="1"/>
    <col min="8" max="9" width="9.140625" style="2"/>
    <col min="10" max="10" width="11.28515625" style="2" customWidth="1"/>
    <col min="11" max="16384" width="9.140625" style="2"/>
  </cols>
  <sheetData>
    <row r="1" spans="1:6" ht="0.6" customHeight="1" x14ac:dyDescent="0.2"/>
    <row r="2" spans="1:6" ht="0.6" customHeight="1" x14ac:dyDescent="0.2"/>
    <row r="3" spans="1:6" ht="0.6" customHeight="1" x14ac:dyDescent="0.2"/>
    <row r="4" spans="1:6" ht="33" customHeight="1" x14ac:dyDescent="0.2">
      <c r="A4" s="15" t="s">
        <v>652</v>
      </c>
      <c r="B4" s="15"/>
      <c r="C4" s="15"/>
      <c r="D4" s="15"/>
      <c r="E4" s="15"/>
      <c r="F4" s="15"/>
    </row>
    <row r="5" spans="1:6" ht="14.25" x14ac:dyDescent="0.2">
      <c r="A5" s="16"/>
      <c r="C5" s="18"/>
      <c r="D5" s="19" t="s">
        <v>17</v>
      </c>
      <c r="E5" s="19"/>
      <c r="F5" s="19"/>
    </row>
    <row r="6" spans="1:6" x14ac:dyDescent="0.2">
      <c r="A6" s="16"/>
      <c r="B6" s="20" t="s">
        <v>326</v>
      </c>
      <c r="C6" s="20"/>
      <c r="D6" s="21" t="s">
        <v>644</v>
      </c>
      <c r="E6" s="21"/>
      <c r="F6" s="21"/>
    </row>
    <row r="7" spans="1:6" x14ac:dyDescent="0.2">
      <c r="A7" s="16"/>
      <c r="B7" s="20" t="s">
        <v>385</v>
      </c>
      <c r="C7" s="20"/>
      <c r="D7" s="21" t="s">
        <v>644</v>
      </c>
      <c r="E7" s="21"/>
      <c r="F7" s="21"/>
    </row>
    <row r="8" spans="1:6" x14ac:dyDescent="0.2">
      <c r="A8" s="16"/>
      <c r="C8" s="18"/>
      <c r="D8" s="22" t="s">
        <v>645</v>
      </c>
      <c r="E8" s="18"/>
    </row>
    <row r="9" spans="1:6" x14ac:dyDescent="0.2">
      <c r="A9" s="16"/>
      <c r="C9" s="18"/>
      <c r="D9" s="22"/>
      <c r="E9" s="18"/>
    </row>
    <row r="10" spans="1:6" ht="15.75" x14ac:dyDescent="0.2">
      <c r="A10" s="24" t="s">
        <v>20</v>
      </c>
      <c r="B10" s="24"/>
      <c r="C10" s="24"/>
      <c r="D10" s="24"/>
      <c r="E10" s="24"/>
    </row>
    <row r="11" spans="1:6" ht="26.45" customHeight="1" x14ac:dyDescent="0.2">
      <c r="A11" s="25" t="s">
        <v>19</v>
      </c>
      <c r="B11" s="25"/>
      <c r="C11" s="25"/>
      <c r="D11" s="25"/>
      <c r="E11" s="25"/>
      <c r="F11" s="26"/>
    </row>
    <row r="12" spans="1:6" ht="15.75" thickBot="1" x14ac:dyDescent="0.25">
      <c r="E12" s="29" t="s">
        <v>14</v>
      </c>
    </row>
    <row r="13" spans="1:6" ht="50.25" customHeight="1" thickBot="1" x14ac:dyDescent="0.25">
      <c r="A13" s="30" t="s">
        <v>2</v>
      </c>
      <c r="B13" s="31" t="s">
        <v>0</v>
      </c>
      <c r="C13" s="31" t="s">
        <v>1</v>
      </c>
      <c r="D13" s="31" t="s">
        <v>386</v>
      </c>
      <c r="E13" s="32" t="s">
        <v>15</v>
      </c>
      <c r="F13" s="33" t="s">
        <v>387</v>
      </c>
    </row>
    <row r="14" spans="1:6" ht="10.5" customHeight="1" thickBot="1" x14ac:dyDescent="0.25">
      <c r="A14" s="34">
        <v>1</v>
      </c>
      <c r="B14" s="35">
        <v>2</v>
      </c>
      <c r="C14" s="35">
        <v>3</v>
      </c>
      <c r="D14" s="35">
        <v>4</v>
      </c>
      <c r="E14" s="36">
        <v>5</v>
      </c>
      <c r="F14" s="37">
        <v>6</v>
      </c>
    </row>
    <row r="15" spans="1:6" ht="25.9" customHeight="1" x14ac:dyDescent="0.2">
      <c r="A15" s="38" t="s">
        <v>388</v>
      </c>
      <c r="B15" s="39" t="s">
        <v>23</v>
      </c>
      <c r="C15" s="39"/>
      <c r="D15" s="40"/>
      <c r="E15" s="41"/>
      <c r="F15" s="42"/>
    </row>
    <row r="16" spans="1:6" ht="25.9" customHeight="1" x14ac:dyDescent="0.2">
      <c r="A16" s="38" t="s">
        <v>389</v>
      </c>
      <c r="B16" s="39" t="s">
        <v>390</v>
      </c>
      <c r="C16" s="39"/>
      <c r="D16" s="40"/>
      <c r="E16" s="41"/>
      <c r="F16" s="42"/>
    </row>
    <row r="17" spans="1:7" x14ac:dyDescent="0.2">
      <c r="A17" s="38" t="s">
        <v>391</v>
      </c>
      <c r="B17" s="39" t="s">
        <v>12</v>
      </c>
      <c r="C17" s="39"/>
      <c r="D17" s="40"/>
      <c r="E17" s="41"/>
      <c r="F17" s="42"/>
    </row>
    <row r="18" spans="1:7" x14ac:dyDescent="0.2">
      <c r="A18" s="38" t="s">
        <v>392</v>
      </c>
      <c r="B18" s="39" t="s">
        <v>393</v>
      </c>
      <c r="C18" s="39"/>
      <c r="D18" s="39"/>
      <c r="E18" s="39"/>
      <c r="F18" s="42"/>
    </row>
    <row r="19" spans="1:7" x14ac:dyDescent="0.2">
      <c r="A19" s="38" t="s">
        <v>394</v>
      </c>
      <c r="B19" s="39" t="s">
        <v>395</v>
      </c>
      <c r="C19" s="39"/>
      <c r="D19" s="40"/>
      <c r="E19" s="41"/>
      <c r="F19" s="42"/>
    </row>
    <row r="20" spans="1:7" x14ac:dyDescent="0.2">
      <c r="A20" s="38" t="s">
        <v>396</v>
      </c>
      <c r="B20" s="39" t="s">
        <v>397</v>
      </c>
      <c r="C20" s="39"/>
      <c r="D20" s="40"/>
      <c r="E20" s="41"/>
      <c r="F20" s="42"/>
    </row>
    <row r="21" spans="1:7" ht="18.600000000000001" customHeight="1" x14ac:dyDescent="0.2">
      <c r="A21" s="43"/>
      <c r="B21" s="44" t="s">
        <v>398</v>
      </c>
      <c r="C21" s="44"/>
      <c r="D21" s="45"/>
      <c r="E21" s="46"/>
      <c r="F21" s="47"/>
    </row>
    <row r="22" spans="1:7" ht="20.25" customHeight="1" x14ac:dyDescent="0.2">
      <c r="A22" s="48" t="s">
        <v>5</v>
      </c>
      <c r="B22" s="49" t="s">
        <v>92</v>
      </c>
      <c r="C22" s="50" t="s">
        <v>138</v>
      </c>
      <c r="D22" s="51"/>
      <c r="E22" s="52"/>
      <c r="F22" s="53"/>
    </row>
    <row r="23" spans="1:7" ht="25.9" customHeight="1" x14ac:dyDescent="0.2">
      <c r="A23" s="54"/>
      <c r="B23" s="55"/>
      <c r="C23" s="56"/>
      <c r="D23" s="57" t="s">
        <v>22</v>
      </c>
      <c r="E23" s="58">
        <f>5209.14/5.81*1.03*1.02</f>
        <v>941.95</v>
      </c>
      <c r="F23" s="59">
        <v>120</v>
      </c>
    </row>
    <row r="24" spans="1:7" x14ac:dyDescent="0.2">
      <c r="A24" s="54"/>
      <c r="B24" s="55"/>
      <c r="C24" s="60" t="s">
        <v>137</v>
      </c>
      <c r="D24" s="61"/>
      <c r="E24" s="58"/>
      <c r="F24" s="62"/>
    </row>
    <row r="25" spans="1:7" ht="16.149999999999999" customHeight="1" x14ac:dyDescent="0.2">
      <c r="A25" s="63" t="s">
        <v>6</v>
      </c>
      <c r="B25" s="64" t="s">
        <v>93</v>
      </c>
      <c r="C25" s="65" t="s">
        <v>24</v>
      </c>
      <c r="D25" s="51"/>
      <c r="E25" s="52"/>
      <c r="F25" s="66"/>
    </row>
    <row r="26" spans="1:7" ht="16.149999999999999" customHeight="1" x14ac:dyDescent="0.2">
      <c r="A26" s="67"/>
      <c r="B26" s="68"/>
      <c r="C26" s="69" t="s">
        <v>25</v>
      </c>
      <c r="D26" s="57" t="s">
        <v>10</v>
      </c>
      <c r="E26" s="58">
        <f>1200/1.18/5.81</f>
        <v>175.03</v>
      </c>
      <c r="F26" s="59">
        <v>121</v>
      </c>
    </row>
    <row r="27" spans="1:7" ht="16.149999999999999" customHeight="1" x14ac:dyDescent="0.2">
      <c r="A27" s="63"/>
      <c r="B27" s="64" t="s">
        <v>371</v>
      </c>
      <c r="C27" s="65" t="s">
        <v>372</v>
      </c>
      <c r="D27" s="51"/>
      <c r="E27" s="52"/>
      <c r="F27" s="66"/>
    </row>
    <row r="28" spans="1:7" ht="16.149999999999999" customHeight="1" x14ac:dyDescent="0.2">
      <c r="A28" s="67" t="s">
        <v>384</v>
      </c>
      <c r="B28" s="68"/>
      <c r="C28" s="69" t="s">
        <v>373</v>
      </c>
      <c r="D28" s="57" t="s">
        <v>10</v>
      </c>
      <c r="E28" s="58">
        <f>1845/1.18/5.81</f>
        <v>269.12</v>
      </c>
      <c r="F28" s="59">
        <v>270</v>
      </c>
    </row>
    <row r="29" spans="1:7" s="5" customFormat="1" ht="19.149999999999999" customHeight="1" x14ac:dyDescent="0.2">
      <c r="A29" s="63" t="s">
        <v>7</v>
      </c>
      <c r="B29" s="70" t="s">
        <v>399</v>
      </c>
      <c r="C29" s="65" t="s">
        <v>26</v>
      </c>
      <c r="D29" s="51"/>
      <c r="E29" s="52"/>
      <c r="F29" s="71"/>
      <c r="G29" s="4"/>
    </row>
    <row r="30" spans="1:7" s="5" customFormat="1" ht="27.6" customHeight="1" x14ac:dyDescent="0.2">
      <c r="A30" s="72"/>
      <c r="B30" s="73"/>
      <c r="C30" s="74" t="s">
        <v>445</v>
      </c>
      <c r="D30" s="57" t="s">
        <v>18</v>
      </c>
      <c r="E30" s="58">
        <f>21060/5.81*1.03*1.02</f>
        <v>3808.2</v>
      </c>
      <c r="F30" s="75">
        <v>124</v>
      </c>
      <c r="G30" s="4"/>
    </row>
    <row r="31" spans="1:7" s="5" customFormat="1" ht="22.15" customHeight="1" x14ac:dyDescent="0.2">
      <c r="A31" s="63" t="s">
        <v>13</v>
      </c>
      <c r="B31" s="76" t="s">
        <v>16</v>
      </c>
      <c r="C31" s="77" t="s">
        <v>27</v>
      </c>
      <c r="D31" s="51"/>
      <c r="E31" s="52"/>
      <c r="F31" s="71"/>
      <c r="G31" s="4"/>
    </row>
    <row r="32" spans="1:7" s="5" customFormat="1" ht="16.899999999999999" customHeight="1" x14ac:dyDescent="0.2">
      <c r="A32" s="67"/>
      <c r="B32" s="78"/>
      <c r="C32" s="79" t="s">
        <v>446</v>
      </c>
      <c r="D32" s="57" t="s">
        <v>18</v>
      </c>
      <c r="E32" s="58">
        <f>7808/5.81*1.03*1.02</f>
        <v>1411.89</v>
      </c>
      <c r="F32" s="75">
        <v>124</v>
      </c>
      <c r="G32" s="4"/>
    </row>
    <row r="33" spans="1:7" s="5" customFormat="1" ht="19.899999999999999" customHeight="1" x14ac:dyDescent="0.2">
      <c r="A33" s="63" t="s">
        <v>11</v>
      </c>
      <c r="B33" s="76" t="s">
        <v>16</v>
      </c>
      <c r="C33" s="77" t="s">
        <v>28</v>
      </c>
      <c r="D33" s="80"/>
      <c r="E33" s="52"/>
      <c r="F33" s="71"/>
      <c r="G33" s="4"/>
    </row>
    <row r="34" spans="1:7" s="5" customFormat="1" ht="16.5" customHeight="1" x14ac:dyDescent="0.2">
      <c r="A34" s="67"/>
      <c r="B34" s="81"/>
      <c r="C34" s="69" t="s">
        <v>447</v>
      </c>
      <c r="D34" s="57" t="s">
        <v>18</v>
      </c>
      <c r="E34" s="58">
        <f>21116/5.81*1.03*1.02</f>
        <v>3818.33</v>
      </c>
      <c r="F34" s="75">
        <v>124</v>
      </c>
      <c r="G34" s="4"/>
    </row>
    <row r="35" spans="1:7" s="5" customFormat="1" ht="19.899999999999999" customHeight="1" x14ac:dyDescent="0.2">
      <c r="A35" s="63" t="s">
        <v>9</v>
      </c>
      <c r="B35" s="76" t="s">
        <v>16</v>
      </c>
      <c r="C35" s="65" t="s">
        <v>29</v>
      </c>
      <c r="D35" s="80"/>
      <c r="E35" s="52"/>
      <c r="F35" s="71"/>
      <c r="G35" s="4"/>
    </row>
    <row r="36" spans="1:7" s="5" customFormat="1" ht="19.899999999999999" customHeight="1" x14ac:dyDescent="0.2">
      <c r="A36" s="82"/>
      <c r="B36" s="83"/>
      <c r="C36" s="79" t="s">
        <v>448</v>
      </c>
      <c r="D36" s="84" t="s">
        <v>18</v>
      </c>
      <c r="E36" s="85">
        <f xml:space="preserve"> 14687/5.81*1.03*1.02</f>
        <v>2655.79</v>
      </c>
      <c r="F36" s="75">
        <v>124</v>
      </c>
      <c r="G36" s="4"/>
    </row>
    <row r="37" spans="1:7" s="5" customFormat="1" ht="19.899999999999999" customHeight="1" x14ac:dyDescent="0.2">
      <c r="A37" s="48" t="s">
        <v>30</v>
      </c>
      <c r="B37" s="70" t="s">
        <v>400</v>
      </c>
      <c r="C37" s="86" t="s">
        <v>31</v>
      </c>
      <c r="D37" s="87"/>
      <c r="E37" s="88"/>
      <c r="F37" s="71"/>
      <c r="G37" s="4"/>
    </row>
    <row r="38" spans="1:7" s="5" customFormat="1" ht="19.899999999999999" customHeight="1" x14ac:dyDescent="0.2">
      <c r="A38" s="82"/>
      <c r="B38" s="73"/>
      <c r="C38" s="79" t="s">
        <v>449</v>
      </c>
      <c r="D38" s="84" t="s">
        <v>18</v>
      </c>
      <c r="E38" s="89">
        <f>27500/1.18/5.81*1.03*1.02</f>
        <v>4214.17</v>
      </c>
      <c r="F38" s="75">
        <v>127</v>
      </c>
      <c r="G38" s="4"/>
    </row>
    <row r="39" spans="1:7" s="5" customFormat="1" ht="19.899999999999999" customHeight="1" x14ac:dyDescent="0.2">
      <c r="A39" s="67" t="s">
        <v>33</v>
      </c>
      <c r="B39" s="76" t="s">
        <v>16</v>
      </c>
      <c r="C39" s="77" t="s">
        <v>32</v>
      </c>
      <c r="D39" s="61"/>
      <c r="E39" s="58"/>
      <c r="F39" s="71"/>
      <c r="G39" s="4"/>
    </row>
    <row r="40" spans="1:7" s="5" customFormat="1" ht="19.899999999999999" customHeight="1" x14ac:dyDescent="0.2">
      <c r="A40" s="82"/>
      <c r="B40" s="78"/>
      <c r="C40" s="79" t="s">
        <v>450</v>
      </c>
      <c r="D40" s="90" t="s">
        <v>18</v>
      </c>
      <c r="E40" s="85">
        <f>39300/1.18/5.81*1.03*1.02</f>
        <v>6022.43</v>
      </c>
      <c r="F40" s="75">
        <v>127</v>
      </c>
      <c r="G40" s="4"/>
    </row>
    <row r="41" spans="1:7" s="5" customFormat="1" ht="19.899999999999999" customHeight="1" x14ac:dyDescent="0.2">
      <c r="A41" s="63" t="s">
        <v>35</v>
      </c>
      <c r="B41" s="76" t="s">
        <v>16</v>
      </c>
      <c r="C41" s="91" t="s">
        <v>34</v>
      </c>
      <c r="D41" s="61"/>
      <c r="E41" s="58"/>
      <c r="F41" s="71"/>
      <c r="G41" s="4"/>
    </row>
    <row r="42" spans="1:7" s="5" customFormat="1" ht="19.899999999999999" customHeight="1" x14ac:dyDescent="0.2">
      <c r="A42" s="82"/>
      <c r="B42" s="78"/>
      <c r="C42" s="74" t="s">
        <v>451</v>
      </c>
      <c r="D42" s="84" t="s">
        <v>18</v>
      </c>
      <c r="E42" s="85">
        <f>32800/1.18/5.81*1.03*1.02</f>
        <v>5026.3500000000004</v>
      </c>
      <c r="F42" s="75">
        <v>127</v>
      </c>
      <c r="G42" s="4"/>
    </row>
    <row r="43" spans="1:7" s="5" customFormat="1" ht="27.6" customHeight="1" x14ac:dyDescent="0.2">
      <c r="A43" s="67" t="s">
        <v>38</v>
      </c>
      <c r="B43" s="92" t="s">
        <v>401</v>
      </c>
      <c r="C43" s="91" t="s">
        <v>159</v>
      </c>
      <c r="D43" s="93"/>
      <c r="E43" s="58"/>
      <c r="F43" s="71"/>
      <c r="G43" s="4"/>
    </row>
    <row r="44" spans="1:7" s="5" customFormat="1" x14ac:dyDescent="0.2">
      <c r="A44" s="94"/>
      <c r="B44" s="95"/>
      <c r="C44" s="79" t="s">
        <v>452</v>
      </c>
      <c r="D44" s="57" t="s">
        <v>18</v>
      </c>
      <c r="E44" s="89">
        <f>7393/1.18/5.81*1.03*1.02</f>
        <v>1132.92</v>
      </c>
      <c r="F44" s="96">
        <v>128</v>
      </c>
      <c r="G44" s="4"/>
    </row>
    <row r="45" spans="1:7" s="5" customFormat="1" x14ac:dyDescent="0.2">
      <c r="A45" s="67" t="s">
        <v>145</v>
      </c>
      <c r="B45" s="76" t="s">
        <v>16</v>
      </c>
      <c r="C45" s="91" t="s">
        <v>160</v>
      </c>
      <c r="D45" s="80"/>
      <c r="E45" s="58"/>
      <c r="F45" s="75"/>
      <c r="G45" s="4"/>
    </row>
    <row r="46" spans="1:7" s="5" customFormat="1" x14ac:dyDescent="0.2">
      <c r="A46" s="97"/>
      <c r="B46" s="83"/>
      <c r="C46" s="74" t="s">
        <v>453</v>
      </c>
      <c r="D46" s="84" t="s">
        <v>18</v>
      </c>
      <c r="E46" s="89">
        <f>210/1.18/5.81*1.03*1.02</f>
        <v>32.18</v>
      </c>
      <c r="F46" s="96">
        <v>128</v>
      </c>
      <c r="G46" s="4"/>
    </row>
    <row r="47" spans="1:7" s="5" customFormat="1" ht="38.450000000000003" customHeight="1" x14ac:dyDescent="0.2">
      <c r="A47" s="67" t="s">
        <v>146</v>
      </c>
      <c r="B47" s="76" t="s">
        <v>16</v>
      </c>
      <c r="C47" s="91" t="s">
        <v>213</v>
      </c>
      <c r="D47" s="98"/>
      <c r="E47" s="58"/>
      <c r="F47" s="75"/>
      <c r="G47" s="4"/>
    </row>
    <row r="48" spans="1:7" s="5" customFormat="1" x14ac:dyDescent="0.2">
      <c r="A48" s="97"/>
      <c r="B48" s="83"/>
      <c r="C48" s="60" t="s">
        <v>454</v>
      </c>
      <c r="D48" s="57" t="s">
        <v>170</v>
      </c>
      <c r="E48" s="58">
        <f>7470/1.18/5.81*1.03*1.02</f>
        <v>1144.72</v>
      </c>
      <c r="F48" s="96">
        <v>128</v>
      </c>
      <c r="G48" s="4"/>
    </row>
    <row r="49" spans="1:7" s="5" customFormat="1" ht="27.6" customHeight="1" x14ac:dyDescent="0.2">
      <c r="A49" s="67" t="s">
        <v>161</v>
      </c>
      <c r="B49" s="76" t="s">
        <v>16</v>
      </c>
      <c r="C49" s="86" t="s">
        <v>214</v>
      </c>
      <c r="D49" s="87"/>
      <c r="E49" s="52"/>
      <c r="F49" s="75"/>
      <c r="G49" s="4"/>
    </row>
    <row r="50" spans="1:7" s="5" customFormat="1" x14ac:dyDescent="0.2">
      <c r="A50" s="97"/>
      <c r="B50" s="83"/>
      <c r="C50" s="79" t="s">
        <v>455</v>
      </c>
      <c r="D50" s="84" t="s">
        <v>8</v>
      </c>
      <c r="E50" s="85">
        <f>11875/1.18/5.81*1.03*1.02</f>
        <v>1819.75</v>
      </c>
      <c r="F50" s="96">
        <v>128</v>
      </c>
      <c r="G50" s="4"/>
    </row>
    <row r="51" spans="1:7" s="5" customFormat="1" ht="19.5" customHeight="1" x14ac:dyDescent="0.2">
      <c r="A51" s="63" t="s">
        <v>163</v>
      </c>
      <c r="B51" s="76" t="s">
        <v>16</v>
      </c>
      <c r="C51" s="86" t="s">
        <v>162</v>
      </c>
      <c r="D51" s="87"/>
      <c r="E51" s="52"/>
      <c r="F51" s="75"/>
      <c r="G51" s="4"/>
    </row>
    <row r="52" spans="1:7" s="5" customFormat="1" x14ac:dyDescent="0.2">
      <c r="A52" s="97"/>
      <c r="B52" s="83"/>
      <c r="C52" s="79" t="s">
        <v>456</v>
      </c>
      <c r="D52" s="84" t="s">
        <v>18</v>
      </c>
      <c r="E52" s="85">
        <f>280/1.18/5.81*1.03*1.02</f>
        <v>42.91</v>
      </c>
      <c r="F52" s="96">
        <v>128</v>
      </c>
      <c r="G52" s="4"/>
    </row>
    <row r="53" spans="1:7" s="5" customFormat="1" ht="39.6" customHeight="1" x14ac:dyDescent="0.2">
      <c r="A53" s="63" t="s">
        <v>164</v>
      </c>
      <c r="B53" s="76" t="s">
        <v>16</v>
      </c>
      <c r="C53" s="91" t="s">
        <v>215</v>
      </c>
      <c r="D53" s="57"/>
      <c r="E53" s="58"/>
      <c r="F53" s="75"/>
      <c r="G53" s="4"/>
    </row>
    <row r="54" spans="1:7" s="5" customFormat="1" ht="17.45" customHeight="1" x14ac:dyDescent="0.2">
      <c r="A54" s="97"/>
      <c r="B54" s="83"/>
      <c r="C54" s="79" t="s">
        <v>455</v>
      </c>
      <c r="D54" s="90" t="s">
        <v>8</v>
      </c>
      <c r="E54" s="85">
        <f>11875/1.18/5.81*1.03*1.02</f>
        <v>1819.75</v>
      </c>
      <c r="F54" s="96">
        <v>128</v>
      </c>
      <c r="G54" s="4"/>
    </row>
    <row r="55" spans="1:7" s="5" customFormat="1" ht="16.899999999999999" customHeight="1" x14ac:dyDescent="0.2">
      <c r="A55" s="63" t="s">
        <v>165</v>
      </c>
      <c r="B55" s="64" t="s">
        <v>166</v>
      </c>
      <c r="C55" s="91" t="s">
        <v>167</v>
      </c>
      <c r="D55" s="57"/>
      <c r="E55" s="58"/>
      <c r="F55" s="75"/>
      <c r="G55" s="4"/>
    </row>
    <row r="56" spans="1:7" s="5" customFormat="1" ht="16.899999999999999" customHeight="1" x14ac:dyDescent="0.2">
      <c r="A56" s="54"/>
      <c r="B56" s="99"/>
      <c r="C56" s="79" t="s">
        <v>457</v>
      </c>
      <c r="D56" s="57" t="s">
        <v>18</v>
      </c>
      <c r="E56" s="58">
        <f>169/1.18/5.81</f>
        <v>24.65</v>
      </c>
      <c r="F56" s="75">
        <v>129</v>
      </c>
      <c r="G56" s="4"/>
    </row>
    <row r="57" spans="1:7" s="5" customFormat="1" ht="16.899999999999999" customHeight="1" x14ac:dyDescent="0.2">
      <c r="A57" s="48" t="s">
        <v>61</v>
      </c>
      <c r="B57" s="49" t="s">
        <v>402</v>
      </c>
      <c r="C57" s="86" t="s">
        <v>66</v>
      </c>
      <c r="D57" s="80"/>
      <c r="E57" s="52"/>
      <c r="F57" s="71"/>
      <c r="G57" s="4"/>
    </row>
    <row r="58" spans="1:7" s="5" customFormat="1" ht="16.899999999999999" customHeight="1" x14ac:dyDescent="0.2">
      <c r="A58" s="82"/>
      <c r="B58" s="100"/>
      <c r="C58" s="79" t="s">
        <v>458</v>
      </c>
      <c r="D58" s="90" t="s">
        <v>8</v>
      </c>
      <c r="E58" s="85">
        <v>2008.52</v>
      </c>
      <c r="F58" s="75">
        <v>145</v>
      </c>
      <c r="G58" s="6"/>
    </row>
    <row r="59" spans="1:7" s="5" customFormat="1" ht="16.899999999999999" customHeight="1" x14ac:dyDescent="0.2">
      <c r="A59" s="67" t="s">
        <v>62</v>
      </c>
      <c r="B59" s="76" t="s">
        <v>16</v>
      </c>
      <c r="C59" s="77" t="s">
        <v>67</v>
      </c>
      <c r="D59" s="98"/>
      <c r="E59" s="58"/>
      <c r="F59" s="71"/>
      <c r="G59" s="4"/>
    </row>
    <row r="60" spans="1:7" s="5" customFormat="1" ht="16.899999999999999" customHeight="1" x14ac:dyDescent="0.2">
      <c r="A60" s="82"/>
      <c r="B60" s="101"/>
      <c r="C60" s="79" t="s">
        <v>459</v>
      </c>
      <c r="D60" s="90" t="s">
        <v>68</v>
      </c>
      <c r="E60" s="85">
        <v>3.57</v>
      </c>
      <c r="F60" s="96">
        <v>145</v>
      </c>
      <c r="G60" s="4"/>
    </row>
    <row r="61" spans="1:7" s="5" customFormat="1" ht="16.899999999999999" customHeight="1" x14ac:dyDescent="0.2">
      <c r="A61" s="67" t="s">
        <v>139</v>
      </c>
      <c r="B61" s="70" t="s">
        <v>403</v>
      </c>
      <c r="C61" s="77" t="s">
        <v>141</v>
      </c>
      <c r="D61" s="98"/>
      <c r="E61" s="58"/>
      <c r="F61" s="75"/>
      <c r="G61" s="4"/>
    </row>
    <row r="62" spans="1:7" s="5" customFormat="1" ht="16.899999999999999" customHeight="1" x14ac:dyDescent="0.2">
      <c r="A62" s="82"/>
      <c r="B62" s="73"/>
      <c r="C62" s="79" t="s">
        <v>460</v>
      </c>
      <c r="D62" s="90" t="s">
        <v>18</v>
      </c>
      <c r="E62" s="85">
        <f>24500/1.18/5.81*1.02</f>
        <v>3645.09</v>
      </c>
      <c r="F62" s="75">
        <v>146</v>
      </c>
      <c r="G62" s="4"/>
    </row>
    <row r="63" spans="1:7" s="5" customFormat="1" ht="16.899999999999999" customHeight="1" x14ac:dyDescent="0.2">
      <c r="A63" s="67" t="s">
        <v>140</v>
      </c>
      <c r="B63" s="49" t="s">
        <v>404</v>
      </c>
      <c r="C63" s="77" t="s">
        <v>142</v>
      </c>
      <c r="D63" s="98"/>
      <c r="E63" s="58"/>
      <c r="F63" s="71"/>
      <c r="G63" s="4"/>
    </row>
    <row r="64" spans="1:7" s="5" customFormat="1" ht="16.899999999999999" customHeight="1" x14ac:dyDescent="0.2">
      <c r="A64" s="82"/>
      <c r="B64" s="101"/>
      <c r="C64" s="79" t="s">
        <v>461</v>
      </c>
      <c r="D64" s="90" t="s">
        <v>18</v>
      </c>
      <c r="E64" s="85">
        <f>400/1.18/5.81*1.03*1.02</f>
        <v>61.3</v>
      </c>
      <c r="F64" s="75">
        <v>147</v>
      </c>
      <c r="G64" s="4"/>
    </row>
    <row r="65" spans="1:7" ht="33" customHeight="1" x14ac:dyDescent="0.2">
      <c r="A65" s="63" t="s">
        <v>205</v>
      </c>
      <c r="B65" s="70" t="s">
        <v>405</v>
      </c>
      <c r="C65" s="102" t="s">
        <v>172</v>
      </c>
      <c r="D65" s="80"/>
      <c r="E65" s="52"/>
      <c r="F65" s="53"/>
      <c r="G65" s="7"/>
    </row>
    <row r="66" spans="1:7" ht="17.45" customHeight="1" x14ac:dyDescent="0.2">
      <c r="A66" s="82"/>
      <c r="B66" s="73"/>
      <c r="C66" s="79" t="s">
        <v>462</v>
      </c>
      <c r="D66" s="90" t="s">
        <v>18</v>
      </c>
      <c r="E66" s="85">
        <f>15806/1.18/5.81*1.03*1.02</f>
        <v>2422.15</v>
      </c>
      <c r="F66" s="103">
        <v>216</v>
      </c>
      <c r="G66" s="8"/>
    </row>
    <row r="67" spans="1:7" ht="36" customHeight="1" x14ac:dyDescent="0.2">
      <c r="A67" s="104" t="s">
        <v>356</v>
      </c>
      <c r="B67" s="105" t="s">
        <v>357</v>
      </c>
      <c r="C67" s="106" t="s">
        <v>358</v>
      </c>
      <c r="D67" s="107" t="s">
        <v>18</v>
      </c>
      <c r="E67" s="88">
        <f>2100/1.18/5.81*1.03</f>
        <v>315.5</v>
      </c>
      <c r="F67" s="108">
        <v>130</v>
      </c>
      <c r="G67" s="3"/>
    </row>
    <row r="68" spans="1:7" ht="13.9" customHeight="1" x14ac:dyDescent="0.2">
      <c r="A68" s="109"/>
      <c r="B68" s="44" t="s">
        <v>443</v>
      </c>
      <c r="C68" s="44"/>
      <c r="D68" s="40"/>
      <c r="E68" s="110"/>
      <c r="F68" s="111"/>
    </row>
    <row r="69" spans="1:7" ht="28.9" customHeight="1" x14ac:dyDescent="0.2">
      <c r="A69" s="48" t="s">
        <v>4</v>
      </c>
      <c r="B69" s="49" t="s">
        <v>406</v>
      </c>
      <c r="C69" s="86" t="s">
        <v>36</v>
      </c>
      <c r="D69" s="51"/>
      <c r="E69" s="52"/>
      <c r="F69" s="62"/>
    </row>
    <row r="70" spans="1:7" x14ac:dyDescent="0.2">
      <c r="A70" s="94"/>
      <c r="B70" s="112"/>
      <c r="C70" s="79" t="s">
        <v>463</v>
      </c>
      <c r="D70" s="84" t="s">
        <v>106</v>
      </c>
      <c r="E70" s="85">
        <f>13300/1.18/5.81</f>
        <v>1939.96</v>
      </c>
      <c r="F70" s="103">
        <v>148</v>
      </c>
    </row>
    <row r="71" spans="1:7" ht="29.45" customHeight="1" x14ac:dyDescent="0.2">
      <c r="A71" s="67" t="s">
        <v>39</v>
      </c>
      <c r="B71" s="76" t="s">
        <v>16</v>
      </c>
      <c r="C71" s="77" t="s">
        <v>37</v>
      </c>
      <c r="D71" s="61"/>
      <c r="E71" s="58"/>
      <c r="F71" s="53"/>
    </row>
    <row r="72" spans="1:7" ht="14.45" customHeight="1" x14ac:dyDescent="0.2">
      <c r="A72" s="82"/>
      <c r="B72" s="101"/>
      <c r="C72" s="79" t="s">
        <v>464</v>
      </c>
      <c r="D72" s="84" t="s">
        <v>8</v>
      </c>
      <c r="E72" s="85">
        <f>12900/5.81/1.18</f>
        <v>1881.62</v>
      </c>
      <c r="F72" s="103">
        <v>148</v>
      </c>
    </row>
    <row r="73" spans="1:7" ht="28.9" customHeight="1" x14ac:dyDescent="0.2">
      <c r="A73" s="67" t="s">
        <v>41</v>
      </c>
      <c r="B73" s="76" t="s">
        <v>16</v>
      </c>
      <c r="C73" s="77" t="s">
        <v>40</v>
      </c>
      <c r="D73" s="57"/>
      <c r="E73" s="58"/>
      <c r="F73" s="66"/>
    </row>
    <row r="74" spans="1:7" ht="13.15" customHeight="1" x14ac:dyDescent="0.2">
      <c r="A74" s="82"/>
      <c r="B74" s="101"/>
      <c r="C74" s="79" t="s">
        <v>465</v>
      </c>
      <c r="D74" s="90" t="s">
        <v>106</v>
      </c>
      <c r="E74" s="85">
        <f>22400/5.81/1.18</f>
        <v>3267.31</v>
      </c>
      <c r="F74" s="103">
        <v>148</v>
      </c>
    </row>
    <row r="75" spans="1:7" ht="28.15" customHeight="1" x14ac:dyDescent="0.2">
      <c r="A75" s="67" t="s">
        <v>42</v>
      </c>
      <c r="B75" s="76" t="s">
        <v>16</v>
      </c>
      <c r="C75" s="77" t="s">
        <v>43</v>
      </c>
      <c r="D75" s="57"/>
      <c r="E75" s="58"/>
      <c r="F75" s="66"/>
    </row>
    <row r="76" spans="1:7" ht="14.45" customHeight="1" x14ac:dyDescent="0.2">
      <c r="A76" s="82"/>
      <c r="B76" s="101"/>
      <c r="C76" s="79" t="s">
        <v>466</v>
      </c>
      <c r="D76" s="90" t="s">
        <v>8</v>
      </c>
      <c r="E76" s="85">
        <f>21400/5.81/1.18</f>
        <v>3121.44</v>
      </c>
      <c r="F76" s="103">
        <v>148</v>
      </c>
    </row>
    <row r="77" spans="1:7" ht="30" customHeight="1" x14ac:dyDescent="0.2">
      <c r="A77" s="67" t="s">
        <v>45</v>
      </c>
      <c r="B77" s="76" t="s">
        <v>16</v>
      </c>
      <c r="C77" s="77" t="s">
        <v>44</v>
      </c>
      <c r="D77" s="57"/>
      <c r="E77" s="58"/>
      <c r="F77" s="66"/>
    </row>
    <row r="78" spans="1:7" ht="13.9" customHeight="1" x14ac:dyDescent="0.2">
      <c r="A78" s="82"/>
      <c r="B78" s="101"/>
      <c r="C78" s="79" t="s">
        <v>467</v>
      </c>
      <c r="D78" s="90" t="s">
        <v>106</v>
      </c>
      <c r="E78" s="85">
        <f>16400/5.81/1.18</f>
        <v>2392.14</v>
      </c>
      <c r="F78" s="103">
        <v>148</v>
      </c>
    </row>
    <row r="79" spans="1:7" ht="27" customHeight="1" x14ac:dyDescent="0.2">
      <c r="A79" s="67" t="s">
        <v>47</v>
      </c>
      <c r="B79" s="76" t="s">
        <v>16</v>
      </c>
      <c r="C79" s="77" t="s">
        <v>46</v>
      </c>
      <c r="D79" s="57"/>
      <c r="E79" s="58"/>
      <c r="F79" s="66"/>
    </row>
    <row r="80" spans="1:7" ht="13.9" customHeight="1" x14ac:dyDescent="0.2">
      <c r="A80" s="82"/>
      <c r="B80" s="101"/>
      <c r="C80" s="79" t="s">
        <v>468</v>
      </c>
      <c r="D80" s="90" t="s">
        <v>8</v>
      </c>
      <c r="E80" s="85">
        <f>16000/5.81/1.18</f>
        <v>2333.79</v>
      </c>
      <c r="F80" s="103">
        <v>148</v>
      </c>
    </row>
    <row r="81" spans="1:6" ht="27.6" customHeight="1" x14ac:dyDescent="0.2">
      <c r="A81" s="67" t="s">
        <v>49</v>
      </c>
      <c r="B81" s="76" t="s">
        <v>16</v>
      </c>
      <c r="C81" s="77" t="s">
        <v>48</v>
      </c>
      <c r="D81" s="61"/>
      <c r="E81" s="58"/>
      <c r="F81" s="66"/>
    </row>
    <row r="82" spans="1:6" ht="13.9" customHeight="1" x14ac:dyDescent="0.2">
      <c r="A82" s="82"/>
      <c r="B82" s="101"/>
      <c r="C82" s="79" t="s">
        <v>469</v>
      </c>
      <c r="D82" s="90" t="s">
        <v>106</v>
      </c>
      <c r="E82" s="85">
        <f>11000/5.81/1.18</f>
        <v>1604.48</v>
      </c>
      <c r="F82" s="103">
        <v>148</v>
      </c>
    </row>
    <row r="83" spans="1:6" ht="30" customHeight="1" x14ac:dyDescent="0.2">
      <c r="A83" s="67" t="s">
        <v>51</v>
      </c>
      <c r="B83" s="76" t="s">
        <v>16</v>
      </c>
      <c r="C83" s="77" t="s">
        <v>50</v>
      </c>
      <c r="D83" s="57"/>
      <c r="E83" s="58"/>
      <c r="F83" s="66"/>
    </row>
    <row r="84" spans="1:6" ht="13.9" customHeight="1" x14ac:dyDescent="0.2">
      <c r="A84" s="82"/>
      <c r="B84" s="113"/>
      <c r="C84" s="79" t="s">
        <v>470</v>
      </c>
      <c r="D84" s="90" t="s">
        <v>8</v>
      </c>
      <c r="E84" s="85">
        <f>10750/5.81/1.18</f>
        <v>1568.02</v>
      </c>
      <c r="F84" s="103">
        <v>148</v>
      </c>
    </row>
    <row r="85" spans="1:6" ht="30" customHeight="1" x14ac:dyDescent="0.2">
      <c r="A85" s="48" t="s">
        <v>54</v>
      </c>
      <c r="B85" s="70" t="s">
        <v>407</v>
      </c>
      <c r="C85" s="91" t="s">
        <v>52</v>
      </c>
      <c r="D85" s="51"/>
      <c r="E85" s="52"/>
      <c r="F85" s="53"/>
    </row>
    <row r="86" spans="1:6" x14ac:dyDescent="0.2">
      <c r="A86" s="94"/>
      <c r="B86" s="73"/>
      <c r="C86" s="79" t="s">
        <v>471</v>
      </c>
      <c r="D86" s="84" t="s">
        <v>8</v>
      </c>
      <c r="E86" s="89">
        <f>714/1.18/5.81*1.03*1.0075</f>
        <v>108.07</v>
      </c>
      <c r="F86" s="103">
        <v>149</v>
      </c>
    </row>
    <row r="87" spans="1:6" ht="31.9" customHeight="1" x14ac:dyDescent="0.2">
      <c r="A87" s="67" t="s">
        <v>55</v>
      </c>
      <c r="B87" s="76" t="s">
        <v>16</v>
      </c>
      <c r="C87" s="77" t="s">
        <v>53</v>
      </c>
      <c r="D87" s="61"/>
      <c r="E87" s="58"/>
      <c r="F87" s="53"/>
    </row>
    <row r="88" spans="1:6" ht="13.9" customHeight="1" x14ac:dyDescent="0.2">
      <c r="A88" s="82"/>
      <c r="B88" s="101"/>
      <c r="C88" s="79" t="s">
        <v>472</v>
      </c>
      <c r="D88" s="90" t="s">
        <v>8</v>
      </c>
      <c r="E88" s="85">
        <f>1260/5.81/1.18*1.0075*1.03</f>
        <v>190.72</v>
      </c>
      <c r="F88" s="103">
        <v>149</v>
      </c>
    </row>
    <row r="89" spans="1:6" ht="31.9" customHeight="1" x14ac:dyDescent="0.2">
      <c r="A89" s="67" t="s">
        <v>57</v>
      </c>
      <c r="B89" s="76" t="s">
        <v>16</v>
      </c>
      <c r="C89" s="77" t="s">
        <v>56</v>
      </c>
      <c r="D89" s="57"/>
      <c r="E89" s="58"/>
      <c r="F89" s="66"/>
    </row>
    <row r="90" spans="1:6" ht="14.25" customHeight="1" x14ac:dyDescent="0.2">
      <c r="A90" s="82"/>
      <c r="B90" s="101"/>
      <c r="C90" s="79" t="s">
        <v>473</v>
      </c>
      <c r="D90" s="90" t="s">
        <v>8</v>
      </c>
      <c r="E90" s="85">
        <f>64/5.81/1.18*1.0075*1.03</f>
        <v>9.69</v>
      </c>
      <c r="F90" s="103">
        <v>149</v>
      </c>
    </row>
    <row r="91" spans="1:6" ht="34.15" customHeight="1" x14ac:dyDescent="0.2">
      <c r="A91" s="67" t="s">
        <v>58</v>
      </c>
      <c r="B91" s="76" t="s">
        <v>16</v>
      </c>
      <c r="C91" s="77" t="s">
        <v>144</v>
      </c>
      <c r="D91" s="57"/>
      <c r="E91" s="58"/>
      <c r="F91" s="66"/>
    </row>
    <row r="92" spans="1:6" ht="13.9" customHeight="1" x14ac:dyDescent="0.2">
      <c r="A92" s="82"/>
      <c r="B92" s="101"/>
      <c r="C92" s="79" t="s">
        <v>474</v>
      </c>
      <c r="D92" s="90" t="s">
        <v>8</v>
      </c>
      <c r="E92" s="85">
        <f>819/5.81/1.18*1.0075*1.03</f>
        <v>123.97</v>
      </c>
      <c r="F92" s="103">
        <v>149</v>
      </c>
    </row>
    <row r="93" spans="1:6" ht="30.6" customHeight="1" x14ac:dyDescent="0.2">
      <c r="A93" s="67" t="s">
        <v>60</v>
      </c>
      <c r="B93" s="76" t="s">
        <v>16</v>
      </c>
      <c r="C93" s="77" t="s">
        <v>59</v>
      </c>
      <c r="D93" s="57"/>
      <c r="E93" s="58"/>
      <c r="F93" s="66"/>
    </row>
    <row r="94" spans="1:6" ht="15" customHeight="1" x14ac:dyDescent="0.2">
      <c r="A94" s="82"/>
      <c r="B94" s="114"/>
      <c r="C94" s="79" t="s">
        <v>475</v>
      </c>
      <c r="D94" s="90" t="s">
        <v>8</v>
      </c>
      <c r="E94" s="85">
        <f>1184/5.81/1.18*1.0075*1.03</f>
        <v>179.22</v>
      </c>
      <c r="F94" s="103">
        <v>149</v>
      </c>
    </row>
    <row r="95" spans="1:6" ht="28.15" customHeight="1" x14ac:dyDescent="0.2">
      <c r="A95" s="63" t="s">
        <v>73</v>
      </c>
      <c r="B95" s="70" t="s">
        <v>408</v>
      </c>
      <c r="C95" s="65" t="s">
        <v>150</v>
      </c>
      <c r="D95" s="51"/>
      <c r="E95" s="52"/>
      <c r="F95" s="53"/>
    </row>
    <row r="96" spans="1:6" ht="15" customHeight="1" x14ac:dyDescent="0.2">
      <c r="A96" s="82"/>
      <c r="B96" s="73"/>
      <c r="C96" s="79" t="s">
        <v>476</v>
      </c>
      <c r="D96" s="90" t="s">
        <v>18</v>
      </c>
      <c r="E96" s="85">
        <f>1372059/1.18/5.81</f>
        <v>200131.13</v>
      </c>
      <c r="F96" s="103">
        <v>150</v>
      </c>
    </row>
    <row r="97" spans="1:12" ht="28.9" customHeight="1" x14ac:dyDescent="0.2">
      <c r="A97" s="63" t="s">
        <v>74</v>
      </c>
      <c r="B97" s="76" t="s">
        <v>16</v>
      </c>
      <c r="C97" s="65" t="s">
        <v>151</v>
      </c>
      <c r="D97" s="51"/>
      <c r="E97" s="52"/>
      <c r="F97" s="66"/>
    </row>
    <row r="98" spans="1:12" ht="15.6" customHeight="1" x14ac:dyDescent="0.2">
      <c r="A98" s="67"/>
      <c r="B98" s="101"/>
      <c r="C98" s="69" t="s">
        <v>477</v>
      </c>
      <c r="D98" s="98" t="s">
        <v>18</v>
      </c>
      <c r="E98" s="58">
        <f>590275/1.18/5.81</f>
        <v>86098.63</v>
      </c>
      <c r="F98" s="103">
        <v>150</v>
      </c>
    </row>
    <row r="99" spans="1:12" ht="30.6" customHeight="1" x14ac:dyDescent="0.2">
      <c r="A99" s="63" t="s">
        <v>75</v>
      </c>
      <c r="B99" s="76" t="s">
        <v>16</v>
      </c>
      <c r="C99" s="65" t="s">
        <v>152</v>
      </c>
      <c r="D99" s="80"/>
      <c r="E99" s="52"/>
      <c r="F99" s="66"/>
    </row>
    <row r="100" spans="1:12" ht="22.15" customHeight="1" x14ac:dyDescent="0.2">
      <c r="A100" s="67"/>
      <c r="B100" s="101"/>
      <c r="C100" s="69" t="s">
        <v>478</v>
      </c>
      <c r="D100" s="98" t="s">
        <v>18</v>
      </c>
      <c r="E100" s="58">
        <f>617500/1.18/5.81</f>
        <v>90069.72</v>
      </c>
      <c r="F100" s="103">
        <v>150</v>
      </c>
    </row>
    <row r="101" spans="1:12" ht="28.15" customHeight="1" x14ac:dyDescent="0.2">
      <c r="A101" s="63" t="s">
        <v>76</v>
      </c>
      <c r="B101" s="76" t="s">
        <v>16</v>
      </c>
      <c r="C101" s="65" t="s">
        <v>153</v>
      </c>
      <c r="D101" s="80"/>
      <c r="E101" s="52"/>
      <c r="F101" s="66"/>
    </row>
    <row r="102" spans="1:12" ht="14.45" customHeight="1" x14ac:dyDescent="0.2">
      <c r="A102" s="67"/>
      <c r="B102" s="101"/>
      <c r="C102" s="69" t="s">
        <v>479</v>
      </c>
      <c r="D102" s="98" t="s">
        <v>18</v>
      </c>
      <c r="E102" s="58">
        <f>1408238/1.18/5.81</f>
        <v>205408.27</v>
      </c>
      <c r="F102" s="103">
        <v>150</v>
      </c>
    </row>
    <row r="103" spans="1:12" ht="28.15" customHeight="1" x14ac:dyDescent="0.2">
      <c r="A103" s="63" t="s">
        <v>77</v>
      </c>
      <c r="B103" s="76" t="s">
        <v>16</v>
      </c>
      <c r="C103" s="65" t="s">
        <v>154</v>
      </c>
      <c r="D103" s="80"/>
      <c r="E103" s="52"/>
      <c r="F103" s="66"/>
    </row>
    <row r="104" spans="1:12" ht="13.9" customHeight="1" x14ac:dyDescent="0.2">
      <c r="A104" s="67"/>
      <c r="B104" s="83"/>
      <c r="C104" s="79" t="s">
        <v>480</v>
      </c>
      <c r="D104" s="98" t="s">
        <v>18</v>
      </c>
      <c r="E104" s="58">
        <f>693000/1.18/5.81</f>
        <v>101082.3</v>
      </c>
      <c r="F104" s="103">
        <v>150</v>
      </c>
    </row>
    <row r="105" spans="1:12" ht="27.6" customHeight="1" x14ac:dyDescent="0.2">
      <c r="A105" s="63" t="s">
        <v>149</v>
      </c>
      <c r="B105" s="76" t="s">
        <v>16</v>
      </c>
      <c r="C105" s="65" t="s">
        <v>155</v>
      </c>
      <c r="D105" s="80"/>
      <c r="E105" s="52"/>
      <c r="F105" s="66"/>
    </row>
    <row r="106" spans="1:12" ht="13.9" customHeight="1" x14ac:dyDescent="0.2">
      <c r="A106" s="82"/>
      <c r="B106" s="83"/>
      <c r="C106" s="79" t="s">
        <v>481</v>
      </c>
      <c r="D106" s="90" t="s">
        <v>18</v>
      </c>
      <c r="E106" s="85">
        <f>770000/1.18/5.81</f>
        <v>112313.66</v>
      </c>
      <c r="F106" s="103">
        <v>150</v>
      </c>
    </row>
    <row r="107" spans="1:12" ht="35.450000000000003" customHeight="1" x14ac:dyDescent="0.2">
      <c r="A107" s="67" t="s">
        <v>79</v>
      </c>
      <c r="B107" s="113" t="s">
        <v>348</v>
      </c>
      <c r="C107" s="79" t="s">
        <v>519</v>
      </c>
      <c r="D107" s="98" t="s">
        <v>18</v>
      </c>
      <c r="E107" s="58">
        <f>24995.25/1.18/5.81*1.03</f>
        <v>3755.23</v>
      </c>
      <c r="F107" s="103">
        <v>155</v>
      </c>
    </row>
    <row r="108" spans="1:12" ht="18" customHeight="1" x14ac:dyDescent="0.2">
      <c r="A108" s="63" t="s">
        <v>102</v>
      </c>
      <c r="B108" s="70" t="s">
        <v>176</v>
      </c>
      <c r="C108" s="102" t="s">
        <v>179</v>
      </c>
      <c r="D108" s="51"/>
      <c r="E108" s="52"/>
      <c r="F108" s="53"/>
    </row>
    <row r="109" spans="1:12" ht="27" customHeight="1" x14ac:dyDescent="0.2">
      <c r="A109" s="67"/>
      <c r="B109" s="73"/>
      <c r="C109" s="79" t="s">
        <v>482</v>
      </c>
      <c r="D109" s="98" t="s">
        <v>18</v>
      </c>
      <c r="E109" s="58">
        <f>325000/5.81*1.03*1.0075</f>
        <v>58048.3</v>
      </c>
      <c r="F109" s="103">
        <v>151</v>
      </c>
    </row>
    <row r="110" spans="1:12" ht="28.15" customHeight="1" x14ac:dyDescent="0.2">
      <c r="A110" s="115" t="s">
        <v>104</v>
      </c>
      <c r="B110" s="49" t="s">
        <v>103</v>
      </c>
      <c r="C110" s="102" t="s">
        <v>105</v>
      </c>
      <c r="D110" s="80"/>
      <c r="E110" s="52"/>
      <c r="F110" s="53"/>
      <c r="K110" s="14"/>
      <c r="L110" s="14"/>
    </row>
    <row r="111" spans="1:12" x14ac:dyDescent="0.2">
      <c r="A111" s="116"/>
      <c r="B111" s="83"/>
      <c r="C111" s="79" t="s">
        <v>483</v>
      </c>
      <c r="D111" s="98" t="s">
        <v>18</v>
      </c>
      <c r="E111" s="58">
        <f>41455/1.18/5.81*1.03*1.02</f>
        <v>6352.67</v>
      </c>
      <c r="F111" s="59">
        <v>169</v>
      </c>
      <c r="K111" s="14"/>
      <c r="L111" s="14"/>
    </row>
    <row r="112" spans="1:12" ht="21" customHeight="1" x14ac:dyDescent="0.2">
      <c r="A112" s="115" t="s">
        <v>126</v>
      </c>
      <c r="B112" s="76" t="s">
        <v>16</v>
      </c>
      <c r="C112" s="102" t="s">
        <v>128</v>
      </c>
      <c r="D112" s="80"/>
      <c r="E112" s="52"/>
      <c r="F112" s="53"/>
      <c r="K112" s="14"/>
      <c r="L112" s="14"/>
    </row>
    <row r="113" spans="1:12" x14ac:dyDescent="0.2">
      <c r="A113" s="116"/>
      <c r="B113" s="101"/>
      <c r="C113" s="79" t="s">
        <v>484</v>
      </c>
      <c r="D113" s="98" t="s">
        <v>18</v>
      </c>
      <c r="E113" s="58">
        <f>8590/1.18/5.81*1.03*1.02</f>
        <v>1316.35</v>
      </c>
      <c r="F113" s="59">
        <v>171</v>
      </c>
      <c r="K113" s="14"/>
      <c r="L113" s="14"/>
    </row>
    <row r="114" spans="1:12" ht="21" customHeight="1" x14ac:dyDescent="0.2">
      <c r="A114" s="115" t="s">
        <v>127</v>
      </c>
      <c r="B114" s="76" t="s">
        <v>16</v>
      </c>
      <c r="C114" s="102" t="s">
        <v>129</v>
      </c>
      <c r="D114" s="80"/>
      <c r="E114" s="52"/>
      <c r="F114" s="53"/>
      <c r="K114" s="14"/>
      <c r="L114" s="14"/>
    </row>
    <row r="115" spans="1:12" x14ac:dyDescent="0.2">
      <c r="A115" s="117"/>
      <c r="B115" s="118"/>
      <c r="C115" s="119" t="s">
        <v>485</v>
      </c>
      <c r="D115" s="98" t="s">
        <v>18</v>
      </c>
      <c r="E115" s="58">
        <f>3890/1.18/5.81*1.03*1.02</f>
        <v>596.11</v>
      </c>
      <c r="F115" s="59">
        <v>176</v>
      </c>
      <c r="K115" s="14"/>
      <c r="L115" s="14"/>
    </row>
    <row r="116" spans="1:12" ht="29.25" x14ac:dyDescent="0.2">
      <c r="A116" s="104" t="s">
        <v>347</v>
      </c>
      <c r="B116" s="120" t="s">
        <v>348</v>
      </c>
      <c r="C116" s="106" t="s">
        <v>349</v>
      </c>
      <c r="D116" s="107" t="s">
        <v>18</v>
      </c>
      <c r="E116" s="121">
        <f>11500/1.18/5.81*1.03</f>
        <v>1727.73</v>
      </c>
      <c r="F116" s="108">
        <v>155</v>
      </c>
      <c r="G116" s="3"/>
    </row>
    <row r="117" spans="1:12" ht="15" customHeight="1" x14ac:dyDescent="0.2">
      <c r="A117" s="122"/>
      <c r="B117" s="123" t="s">
        <v>444</v>
      </c>
      <c r="C117" s="44"/>
      <c r="D117" s="45"/>
      <c r="E117" s="46"/>
      <c r="F117" s="124"/>
    </row>
    <row r="118" spans="1:12" ht="32.450000000000003" customHeight="1" x14ac:dyDescent="0.2">
      <c r="A118" s="48" t="s">
        <v>70</v>
      </c>
      <c r="B118" s="49" t="s">
        <v>354</v>
      </c>
      <c r="C118" s="91" t="s">
        <v>69</v>
      </c>
      <c r="D118" s="125"/>
      <c r="E118" s="58"/>
      <c r="F118" s="53"/>
    </row>
    <row r="119" spans="1:12" x14ac:dyDescent="0.2">
      <c r="A119" s="126"/>
      <c r="B119" s="118"/>
      <c r="C119" s="79" t="s">
        <v>355</v>
      </c>
      <c r="D119" s="57" t="s">
        <v>18</v>
      </c>
      <c r="E119" s="58">
        <f>439.17/1.18/5.81*1.03</f>
        <v>65.98</v>
      </c>
      <c r="F119" s="59">
        <v>131</v>
      </c>
    </row>
    <row r="120" spans="1:12" ht="33" customHeight="1" x14ac:dyDescent="0.2">
      <c r="A120" s="63" t="s">
        <v>81</v>
      </c>
      <c r="B120" s="49" t="s">
        <v>305</v>
      </c>
      <c r="C120" s="65" t="s">
        <v>325</v>
      </c>
      <c r="D120" s="80"/>
      <c r="E120" s="52"/>
      <c r="F120" s="53"/>
    </row>
    <row r="121" spans="1:12" ht="22.15" customHeight="1" x14ac:dyDescent="0.2">
      <c r="A121" s="67"/>
      <c r="B121" s="113"/>
      <c r="C121" s="79" t="s">
        <v>486</v>
      </c>
      <c r="D121" s="98" t="s">
        <v>18</v>
      </c>
      <c r="E121" s="58">
        <f>6150/1.18/5.81*1.03*1.02</f>
        <v>942.44</v>
      </c>
      <c r="F121" s="59">
        <v>153</v>
      </c>
    </row>
    <row r="122" spans="1:12" ht="14.45" customHeight="1" x14ac:dyDescent="0.2">
      <c r="A122" s="63" t="s">
        <v>352</v>
      </c>
      <c r="B122" s="49" t="s">
        <v>80</v>
      </c>
      <c r="C122" s="102" t="s">
        <v>82</v>
      </c>
      <c r="D122" s="80"/>
      <c r="E122" s="52"/>
      <c r="F122" s="53"/>
    </row>
    <row r="123" spans="1:12" ht="20.45" customHeight="1" x14ac:dyDescent="0.2">
      <c r="A123" s="127"/>
      <c r="B123" s="83"/>
      <c r="C123" s="119" t="s">
        <v>350</v>
      </c>
      <c r="D123" s="98" t="s">
        <v>18</v>
      </c>
      <c r="E123" s="58">
        <f>4832.45/1.18/5.81*1.03</f>
        <v>726.02</v>
      </c>
      <c r="F123" s="59">
        <v>155</v>
      </c>
    </row>
    <row r="124" spans="1:12" ht="28.5" x14ac:dyDescent="0.2">
      <c r="A124" s="63" t="s">
        <v>83</v>
      </c>
      <c r="B124" s="49" t="s">
        <v>305</v>
      </c>
      <c r="C124" s="65" t="s">
        <v>306</v>
      </c>
      <c r="D124" s="80"/>
      <c r="E124" s="52"/>
      <c r="F124" s="53"/>
    </row>
    <row r="125" spans="1:12" x14ac:dyDescent="0.2">
      <c r="A125" s="67"/>
      <c r="B125" s="101"/>
      <c r="C125" s="79" t="s">
        <v>487</v>
      </c>
      <c r="D125" s="98" t="s">
        <v>18</v>
      </c>
      <c r="E125" s="58">
        <f>12797/1.18/5.81*1.03*1.02</f>
        <v>1961.04</v>
      </c>
      <c r="F125" s="59">
        <v>158</v>
      </c>
    </row>
    <row r="126" spans="1:12" ht="42.6" customHeight="1" x14ac:dyDescent="0.2">
      <c r="A126" s="63" t="s">
        <v>353</v>
      </c>
      <c r="B126" s="128" t="s">
        <v>80</v>
      </c>
      <c r="C126" s="65" t="s">
        <v>158</v>
      </c>
      <c r="D126" s="80"/>
      <c r="E126" s="52"/>
      <c r="F126" s="53"/>
    </row>
    <row r="127" spans="1:12" ht="14.45" customHeight="1" x14ac:dyDescent="0.2">
      <c r="A127" s="129"/>
      <c r="B127" s="83"/>
      <c r="C127" s="79" t="s">
        <v>351</v>
      </c>
      <c r="D127" s="90" t="s">
        <v>18</v>
      </c>
      <c r="E127" s="85">
        <f>9397/1.18/5.81*1.03</f>
        <v>1411.78</v>
      </c>
      <c r="F127" s="59">
        <v>155</v>
      </c>
    </row>
    <row r="128" spans="1:12" ht="18.600000000000001" customHeight="1" x14ac:dyDescent="0.2">
      <c r="A128" s="63" t="s">
        <v>101</v>
      </c>
      <c r="B128" s="49" t="s">
        <v>305</v>
      </c>
      <c r="C128" s="65" t="s">
        <v>307</v>
      </c>
      <c r="D128" s="80"/>
      <c r="E128" s="52"/>
      <c r="F128" s="53"/>
    </row>
    <row r="129" spans="1:6" ht="18.600000000000001" customHeight="1" x14ac:dyDescent="0.2">
      <c r="A129" s="67"/>
      <c r="B129" s="113"/>
      <c r="C129" s="79" t="s">
        <v>488</v>
      </c>
      <c r="D129" s="98" t="s">
        <v>18</v>
      </c>
      <c r="E129" s="58">
        <f>19487/1.18/5.81*1.03*1.02</f>
        <v>2986.24</v>
      </c>
      <c r="F129" s="59">
        <v>161</v>
      </c>
    </row>
    <row r="130" spans="1:6" ht="15" customHeight="1" x14ac:dyDescent="0.2">
      <c r="A130" s="63" t="s">
        <v>310</v>
      </c>
      <c r="B130" s="64" t="s">
        <v>409</v>
      </c>
      <c r="C130" s="65" t="s">
        <v>318</v>
      </c>
      <c r="D130" s="80"/>
      <c r="E130" s="52"/>
      <c r="F130" s="53"/>
    </row>
    <row r="131" spans="1:6" x14ac:dyDescent="0.2">
      <c r="A131" s="67"/>
      <c r="B131" s="99"/>
      <c r="C131" s="79" t="s">
        <v>650</v>
      </c>
      <c r="D131" s="98" t="s">
        <v>18</v>
      </c>
      <c r="E131" s="58">
        <f>2950524.03/1.18/3.5</f>
        <v>714412.6</v>
      </c>
      <c r="F131" s="59">
        <v>156</v>
      </c>
    </row>
    <row r="132" spans="1:6" x14ac:dyDescent="0.2">
      <c r="A132" s="63" t="s">
        <v>311</v>
      </c>
      <c r="B132" s="80" t="s">
        <v>16</v>
      </c>
      <c r="C132" s="65" t="s">
        <v>312</v>
      </c>
      <c r="D132" s="80"/>
      <c r="E132" s="52"/>
      <c r="F132" s="53"/>
    </row>
    <row r="133" spans="1:6" x14ac:dyDescent="0.2">
      <c r="A133" s="67"/>
      <c r="B133" s="101"/>
      <c r="C133" s="79" t="s">
        <v>489</v>
      </c>
      <c r="D133" s="98" t="s">
        <v>18</v>
      </c>
      <c r="E133" s="58">
        <f>1200664/1.18/3.5</f>
        <v>290717.68</v>
      </c>
      <c r="F133" s="59">
        <v>156</v>
      </c>
    </row>
    <row r="134" spans="1:6" ht="28.5" x14ac:dyDescent="0.2">
      <c r="A134" s="63" t="s">
        <v>313</v>
      </c>
      <c r="B134" s="80" t="s">
        <v>16</v>
      </c>
      <c r="C134" s="65" t="s">
        <v>314</v>
      </c>
      <c r="D134" s="80"/>
      <c r="E134" s="52"/>
      <c r="F134" s="53"/>
    </row>
    <row r="135" spans="1:6" x14ac:dyDescent="0.2">
      <c r="A135" s="67"/>
      <c r="B135" s="101"/>
      <c r="C135" s="79" t="s">
        <v>490</v>
      </c>
      <c r="D135" s="98" t="s">
        <v>18</v>
      </c>
      <c r="E135" s="58">
        <f>325030.24/1.18/3.5</f>
        <v>78699.820000000007</v>
      </c>
      <c r="F135" s="59">
        <v>156</v>
      </c>
    </row>
    <row r="136" spans="1:6" x14ac:dyDescent="0.2">
      <c r="A136" s="63" t="s">
        <v>315</v>
      </c>
      <c r="B136" s="80" t="s">
        <v>16</v>
      </c>
      <c r="C136" s="65" t="s">
        <v>316</v>
      </c>
      <c r="D136" s="80"/>
      <c r="E136" s="52"/>
      <c r="F136" s="53"/>
    </row>
    <row r="137" spans="1:6" x14ac:dyDescent="0.2">
      <c r="A137" s="67"/>
      <c r="B137" s="101"/>
      <c r="C137" s="79" t="s">
        <v>491</v>
      </c>
      <c r="D137" s="98" t="s">
        <v>18</v>
      </c>
      <c r="E137" s="58">
        <f>860843.16/1.18/3.5</f>
        <v>208436.6</v>
      </c>
      <c r="F137" s="59">
        <v>156</v>
      </c>
    </row>
    <row r="138" spans="1:6" ht="32.450000000000003" customHeight="1" x14ac:dyDescent="0.2">
      <c r="A138" s="63" t="s">
        <v>317</v>
      </c>
      <c r="B138" s="76" t="s">
        <v>16</v>
      </c>
      <c r="C138" s="65" t="s">
        <v>319</v>
      </c>
      <c r="D138" s="80"/>
      <c r="E138" s="52"/>
      <c r="F138" s="53"/>
    </row>
    <row r="139" spans="1:6" x14ac:dyDescent="0.2">
      <c r="A139" s="67"/>
      <c r="B139" s="113"/>
      <c r="C139" s="79" t="s">
        <v>492</v>
      </c>
      <c r="D139" s="98" t="s">
        <v>18</v>
      </c>
      <c r="E139" s="58">
        <f>92445.78/1.18/3.5</f>
        <v>22383.97</v>
      </c>
      <c r="F139" s="59">
        <v>156</v>
      </c>
    </row>
    <row r="140" spans="1:6" ht="20.45" customHeight="1" x14ac:dyDescent="0.2">
      <c r="A140" s="63" t="s">
        <v>114</v>
      </c>
      <c r="B140" s="70" t="s">
        <v>375</v>
      </c>
      <c r="C140" s="65" t="s">
        <v>136</v>
      </c>
      <c r="D140" s="80"/>
      <c r="E140" s="52"/>
      <c r="F140" s="53"/>
    </row>
    <row r="141" spans="1:6" ht="20.45" customHeight="1" x14ac:dyDescent="0.2">
      <c r="A141" s="67"/>
      <c r="B141" s="73"/>
      <c r="C141" s="79" t="s">
        <v>493</v>
      </c>
      <c r="D141" s="98" t="s">
        <v>18</v>
      </c>
      <c r="E141" s="58">
        <f>17.21/1.18/5.81*1.03*1.02</f>
        <v>2.64</v>
      </c>
      <c r="F141" s="59">
        <v>191</v>
      </c>
    </row>
    <row r="142" spans="1:6" ht="21.6" customHeight="1" x14ac:dyDescent="0.2">
      <c r="A142" s="63" t="s">
        <v>115</v>
      </c>
      <c r="B142" s="49" t="s">
        <v>116</v>
      </c>
      <c r="C142" s="102" t="s">
        <v>117</v>
      </c>
      <c r="D142" s="80"/>
      <c r="E142" s="52"/>
      <c r="F142" s="53"/>
    </row>
    <row r="143" spans="1:6" ht="21.6" customHeight="1" x14ac:dyDescent="0.2">
      <c r="A143" s="67"/>
      <c r="B143" s="113"/>
      <c r="C143" s="79" t="s">
        <v>494</v>
      </c>
      <c r="D143" s="98" t="s">
        <v>18</v>
      </c>
      <c r="E143" s="58">
        <f>433.65/1.18/3.5/1.03*1.012</f>
        <v>103.17</v>
      </c>
      <c r="F143" s="59">
        <v>192</v>
      </c>
    </row>
    <row r="144" spans="1:6" ht="23.45" customHeight="1" x14ac:dyDescent="0.2">
      <c r="A144" s="63" t="s">
        <v>118</v>
      </c>
      <c r="B144" s="49" t="s">
        <v>119</v>
      </c>
      <c r="C144" s="102" t="s">
        <v>120</v>
      </c>
      <c r="D144" s="80"/>
      <c r="E144" s="52"/>
      <c r="F144" s="53"/>
    </row>
    <row r="145" spans="1:6" ht="23.45" customHeight="1" x14ac:dyDescent="0.2">
      <c r="A145" s="82"/>
      <c r="B145" s="113"/>
      <c r="C145" s="79" t="s">
        <v>495</v>
      </c>
      <c r="D145" s="98" t="s">
        <v>18</v>
      </c>
      <c r="E145" s="58">
        <f>243/1.18/3.5*1.03*1.012</f>
        <v>61.33</v>
      </c>
      <c r="F145" s="59">
        <v>193</v>
      </c>
    </row>
    <row r="146" spans="1:6" ht="23.45" customHeight="1" x14ac:dyDescent="0.2">
      <c r="A146" s="63" t="s">
        <v>121</v>
      </c>
      <c r="B146" s="49" t="s">
        <v>335</v>
      </c>
      <c r="C146" s="102" t="s">
        <v>332</v>
      </c>
      <c r="D146" s="80"/>
      <c r="E146" s="52"/>
      <c r="F146" s="53"/>
    </row>
    <row r="147" spans="1:6" ht="23.45" customHeight="1" x14ac:dyDescent="0.2">
      <c r="A147" s="82"/>
      <c r="B147" s="113"/>
      <c r="C147" s="79" t="s">
        <v>496</v>
      </c>
      <c r="D147" s="98" t="s">
        <v>18</v>
      </c>
      <c r="E147" s="58">
        <f>15.98/1.18/5.81*1.03*1.02</f>
        <v>2.4500000000000002</v>
      </c>
      <c r="F147" s="59">
        <v>132</v>
      </c>
    </row>
    <row r="148" spans="1:6" ht="23.45" customHeight="1" x14ac:dyDescent="0.2">
      <c r="A148" s="63" t="s">
        <v>333</v>
      </c>
      <c r="B148" s="49" t="s">
        <v>335</v>
      </c>
      <c r="C148" s="102" t="s">
        <v>334</v>
      </c>
      <c r="D148" s="80"/>
      <c r="E148" s="52"/>
      <c r="F148" s="53"/>
    </row>
    <row r="149" spans="1:6" ht="23.45" customHeight="1" x14ac:dyDescent="0.2">
      <c r="A149" s="82"/>
      <c r="B149" s="83"/>
      <c r="C149" s="79" t="s">
        <v>336</v>
      </c>
      <c r="D149" s="98" t="s">
        <v>18</v>
      </c>
      <c r="E149" s="58">
        <f>2.3/1.18/5.81*1.03*1.02</f>
        <v>0.35</v>
      </c>
      <c r="F149" s="59">
        <v>133</v>
      </c>
    </row>
    <row r="150" spans="1:6" ht="23.45" customHeight="1" x14ac:dyDescent="0.2">
      <c r="A150" s="63" t="s">
        <v>339</v>
      </c>
      <c r="B150" s="49" t="s">
        <v>335</v>
      </c>
      <c r="C150" s="102" t="s">
        <v>337</v>
      </c>
      <c r="D150" s="80"/>
      <c r="E150" s="52"/>
      <c r="F150" s="53"/>
    </row>
    <row r="151" spans="1:6" ht="23.45" customHeight="1" x14ac:dyDescent="0.2">
      <c r="A151" s="129"/>
      <c r="B151" s="83"/>
      <c r="C151" s="74" t="s">
        <v>338</v>
      </c>
      <c r="D151" s="98" t="s">
        <v>18</v>
      </c>
      <c r="E151" s="58">
        <f>34.8/1.18/5.81*1.03*1.02</f>
        <v>5.33</v>
      </c>
      <c r="F151" s="59">
        <v>134</v>
      </c>
    </row>
    <row r="152" spans="1:6" ht="22.9" customHeight="1" x14ac:dyDescent="0.2">
      <c r="A152" s="67" t="s">
        <v>122</v>
      </c>
      <c r="B152" s="70" t="s">
        <v>123</v>
      </c>
      <c r="C152" s="102" t="s">
        <v>124</v>
      </c>
      <c r="D152" s="51"/>
      <c r="E152" s="52"/>
      <c r="F152" s="53"/>
    </row>
    <row r="153" spans="1:6" ht="22.9" customHeight="1" x14ac:dyDescent="0.2">
      <c r="A153" s="67"/>
      <c r="B153" s="130"/>
      <c r="C153" s="119" t="s">
        <v>497</v>
      </c>
      <c r="D153" s="98" t="s">
        <v>18</v>
      </c>
      <c r="E153" s="58">
        <f>130/1.18/3.5*1.03*1.012</f>
        <v>32.81</v>
      </c>
      <c r="F153" s="103">
        <v>195</v>
      </c>
    </row>
    <row r="154" spans="1:6" ht="32.450000000000003" customHeight="1" x14ac:dyDescent="0.2">
      <c r="A154" s="104" t="s">
        <v>270</v>
      </c>
      <c r="B154" s="105" t="s">
        <v>410</v>
      </c>
      <c r="C154" s="131" t="s">
        <v>520</v>
      </c>
      <c r="D154" s="107" t="s">
        <v>134</v>
      </c>
      <c r="E154" s="121">
        <f>81.19/1.18/5.81*1.03*1.02</f>
        <v>12.44</v>
      </c>
      <c r="F154" s="59" t="s">
        <v>382</v>
      </c>
    </row>
    <row r="155" spans="1:6" ht="32.450000000000003" customHeight="1" x14ac:dyDescent="0.2">
      <c r="A155" s="67" t="s">
        <v>271</v>
      </c>
      <c r="B155" s="107" t="s">
        <v>16</v>
      </c>
      <c r="C155" s="131" t="s">
        <v>521</v>
      </c>
      <c r="D155" s="107" t="s">
        <v>134</v>
      </c>
      <c r="E155" s="121">
        <f>1.98/1.18/5.81*1.03*1.02</f>
        <v>0.3</v>
      </c>
      <c r="F155" s="108">
        <v>197</v>
      </c>
    </row>
    <row r="156" spans="1:6" ht="32.450000000000003" customHeight="1" x14ac:dyDescent="0.2">
      <c r="A156" s="104" t="s">
        <v>272</v>
      </c>
      <c r="B156" s="105" t="s">
        <v>374</v>
      </c>
      <c r="C156" s="131" t="s">
        <v>522</v>
      </c>
      <c r="D156" s="107" t="s">
        <v>134</v>
      </c>
      <c r="E156" s="121">
        <f>3.77/1.18/5.81*1.03*1.02</f>
        <v>0.57999999999999996</v>
      </c>
      <c r="F156" s="108" t="s">
        <v>303</v>
      </c>
    </row>
    <row r="157" spans="1:6" ht="32.450000000000003" customHeight="1" x14ac:dyDescent="0.2">
      <c r="A157" s="67" t="s">
        <v>273</v>
      </c>
      <c r="B157" s="105" t="s">
        <v>375</v>
      </c>
      <c r="C157" s="131" t="s">
        <v>523</v>
      </c>
      <c r="D157" s="107" t="s">
        <v>18</v>
      </c>
      <c r="E157" s="121">
        <f>12.75/1.18/5.81*1.03*1.02</f>
        <v>1.95</v>
      </c>
      <c r="F157" s="108">
        <v>202</v>
      </c>
    </row>
    <row r="158" spans="1:6" ht="32.450000000000003" customHeight="1" x14ac:dyDescent="0.2">
      <c r="A158" s="104" t="s">
        <v>274</v>
      </c>
      <c r="B158" s="107" t="s">
        <v>16</v>
      </c>
      <c r="C158" s="131" t="s">
        <v>524</v>
      </c>
      <c r="D158" s="107" t="s">
        <v>18</v>
      </c>
      <c r="E158" s="121">
        <f>69.15/1.18/5.81*1.03*1.02</f>
        <v>10.6</v>
      </c>
      <c r="F158" s="108">
        <v>201</v>
      </c>
    </row>
    <row r="159" spans="1:6" ht="32.450000000000003" customHeight="1" x14ac:dyDescent="0.2">
      <c r="A159" s="132" t="s">
        <v>344</v>
      </c>
      <c r="B159" s="49" t="s">
        <v>133</v>
      </c>
      <c r="C159" s="102" t="s">
        <v>125</v>
      </c>
      <c r="D159" s="80"/>
      <c r="E159" s="52"/>
      <c r="F159" s="53"/>
    </row>
    <row r="160" spans="1:6" ht="32.450000000000003" customHeight="1" x14ac:dyDescent="0.2">
      <c r="A160" s="129"/>
      <c r="B160" s="118"/>
      <c r="C160" s="119" t="s">
        <v>343</v>
      </c>
      <c r="D160" s="98" t="s">
        <v>18</v>
      </c>
      <c r="E160" s="58">
        <f>38.75/1.18/3.5*1.03*1.012</f>
        <v>9.7799999999999994</v>
      </c>
      <c r="F160" s="59">
        <v>135</v>
      </c>
    </row>
    <row r="161" spans="1:6" ht="32.450000000000003" customHeight="1" x14ac:dyDescent="0.2">
      <c r="A161" s="67" t="s">
        <v>275</v>
      </c>
      <c r="B161" s="105" t="s">
        <v>375</v>
      </c>
      <c r="C161" s="131" t="s">
        <v>525</v>
      </c>
      <c r="D161" s="107" t="s">
        <v>18</v>
      </c>
      <c r="E161" s="121">
        <f>244.48/1.18/5.81*1.03*1.02</f>
        <v>37.46</v>
      </c>
      <c r="F161" s="108">
        <v>200</v>
      </c>
    </row>
    <row r="162" spans="1:6" ht="32.450000000000003" customHeight="1" x14ac:dyDescent="0.2">
      <c r="A162" s="104" t="s">
        <v>276</v>
      </c>
      <c r="B162" s="107" t="s">
        <v>16</v>
      </c>
      <c r="C162" s="131" t="s">
        <v>526</v>
      </c>
      <c r="D162" s="107" t="s">
        <v>18</v>
      </c>
      <c r="E162" s="121">
        <f>64/1.18/5.81*1.03*1.02</f>
        <v>9.81</v>
      </c>
      <c r="F162" s="108" t="s">
        <v>376</v>
      </c>
    </row>
    <row r="163" spans="1:6" ht="32.450000000000003" customHeight="1" x14ac:dyDescent="0.2">
      <c r="A163" s="67" t="s">
        <v>277</v>
      </c>
      <c r="B163" s="107" t="s">
        <v>16</v>
      </c>
      <c r="C163" s="131" t="s">
        <v>527</v>
      </c>
      <c r="D163" s="107" t="s">
        <v>18</v>
      </c>
      <c r="E163" s="121">
        <f>1041.23/1.18/5.81*1.03*1.02</f>
        <v>159.56</v>
      </c>
      <c r="F163" s="108">
        <v>205</v>
      </c>
    </row>
    <row r="164" spans="1:6" ht="32.450000000000003" customHeight="1" x14ac:dyDescent="0.2">
      <c r="A164" s="104" t="s">
        <v>278</v>
      </c>
      <c r="B164" s="107" t="s">
        <v>16</v>
      </c>
      <c r="C164" s="131" t="s">
        <v>528</v>
      </c>
      <c r="D164" s="107" t="s">
        <v>18</v>
      </c>
      <c r="E164" s="121">
        <f>58.04/1.18/5.81*1.03*1.02</f>
        <v>8.89</v>
      </c>
      <c r="F164" s="108" t="s">
        <v>377</v>
      </c>
    </row>
    <row r="165" spans="1:6" ht="32.450000000000003" customHeight="1" x14ac:dyDescent="0.2">
      <c r="A165" s="67" t="s">
        <v>279</v>
      </c>
      <c r="B165" s="107" t="s">
        <v>16</v>
      </c>
      <c r="C165" s="131" t="s">
        <v>529</v>
      </c>
      <c r="D165" s="107" t="s">
        <v>18</v>
      </c>
      <c r="E165" s="121">
        <f>275.63/1.18/5.81*1.03*1.02</f>
        <v>42.24</v>
      </c>
      <c r="F165" s="108" t="s">
        <v>378</v>
      </c>
    </row>
    <row r="166" spans="1:6" ht="32.450000000000003" customHeight="1" x14ac:dyDescent="0.2">
      <c r="A166" s="104" t="s">
        <v>280</v>
      </c>
      <c r="B166" s="107" t="s">
        <v>16</v>
      </c>
      <c r="C166" s="131" t="s">
        <v>530</v>
      </c>
      <c r="D166" s="107" t="s">
        <v>18</v>
      </c>
      <c r="E166" s="121">
        <f>291/1.18/5.81*1.03*1.02</f>
        <v>44.59</v>
      </c>
      <c r="F166" s="108" t="s">
        <v>379</v>
      </c>
    </row>
    <row r="167" spans="1:6" ht="32.450000000000003" customHeight="1" x14ac:dyDescent="0.2">
      <c r="A167" s="67" t="s">
        <v>281</v>
      </c>
      <c r="B167" s="107" t="s">
        <v>16</v>
      </c>
      <c r="C167" s="131" t="s">
        <v>531</v>
      </c>
      <c r="D167" s="107" t="s">
        <v>18</v>
      </c>
      <c r="E167" s="121">
        <f>2272.21/1.18/5.81*1.03*1.02</f>
        <v>348.2</v>
      </c>
      <c r="F167" s="108">
        <v>205</v>
      </c>
    </row>
    <row r="168" spans="1:6" ht="32.450000000000003" customHeight="1" x14ac:dyDescent="0.2">
      <c r="A168" s="104" t="s">
        <v>282</v>
      </c>
      <c r="B168" s="107" t="s">
        <v>16</v>
      </c>
      <c r="C168" s="131" t="s">
        <v>532</v>
      </c>
      <c r="D168" s="107" t="s">
        <v>18</v>
      </c>
      <c r="E168" s="121">
        <f>34/1.18/5.81*1.03*1.02</f>
        <v>5.21</v>
      </c>
      <c r="F168" s="108">
        <v>205</v>
      </c>
    </row>
    <row r="169" spans="1:6" ht="39.6" customHeight="1" x14ac:dyDescent="0.2">
      <c r="A169" s="133" t="s">
        <v>342</v>
      </c>
      <c r="B169" s="120" t="s">
        <v>340</v>
      </c>
      <c r="C169" s="106" t="s">
        <v>341</v>
      </c>
      <c r="D169" s="107" t="s">
        <v>18</v>
      </c>
      <c r="E169" s="121">
        <f>126/1.18/3.5*1.03*1.012</f>
        <v>31.8</v>
      </c>
      <c r="F169" s="108">
        <v>136</v>
      </c>
    </row>
    <row r="170" spans="1:6" ht="39.6" customHeight="1" x14ac:dyDescent="0.2">
      <c r="A170" s="67" t="s">
        <v>283</v>
      </c>
      <c r="B170" s="105" t="s">
        <v>375</v>
      </c>
      <c r="C170" s="131" t="s">
        <v>533</v>
      </c>
      <c r="D170" s="107" t="s">
        <v>18</v>
      </c>
      <c r="E170" s="121">
        <f>42.12/1.18/5.81*1.03*1.02</f>
        <v>6.45</v>
      </c>
      <c r="F170" s="108">
        <v>205</v>
      </c>
    </row>
    <row r="171" spans="1:6" ht="39.6" customHeight="1" x14ac:dyDescent="0.2">
      <c r="A171" s="104" t="s">
        <v>284</v>
      </c>
      <c r="B171" s="107" t="s">
        <v>16</v>
      </c>
      <c r="C171" s="131" t="s">
        <v>534</v>
      </c>
      <c r="D171" s="107" t="s">
        <v>18</v>
      </c>
      <c r="E171" s="121">
        <f>133.84/1.18/5.81*1.03*1.02</f>
        <v>20.51</v>
      </c>
      <c r="F171" s="108" t="s">
        <v>381</v>
      </c>
    </row>
    <row r="172" spans="1:6" ht="39.6" customHeight="1" x14ac:dyDescent="0.2">
      <c r="A172" s="104" t="s">
        <v>285</v>
      </c>
      <c r="B172" s="107" t="s">
        <v>16</v>
      </c>
      <c r="C172" s="131" t="s">
        <v>535</v>
      </c>
      <c r="D172" s="107" t="s">
        <v>18</v>
      </c>
      <c r="E172" s="121">
        <f>16.8/1.18/5.81*1.03*1.02</f>
        <v>2.57</v>
      </c>
      <c r="F172" s="108" t="s">
        <v>380</v>
      </c>
    </row>
    <row r="173" spans="1:6" ht="39.6" customHeight="1" x14ac:dyDescent="0.2">
      <c r="A173" s="67" t="s">
        <v>286</v>
      </c>
      <c r="B173" s="128" t="s">
        <v>411</v>
      </c>
      <c r="C173" s="131" t="s">
        <v>536</v>
      </c>
      <c r="D173" s="107" t="s">
        <v>18</v>
      </c>
      <c r="E173" s="121">
        <f>1676.97/1.18/5.81*1.03*1.02</f>
        <v>256.98</v>
      </c>
      <c r="F173" s="108">
        <v>251</v>
      </c>
    </row>
    <row r="174" spans="1:6" ht="39.6" customHeight="1" x14ac:dyDescent="0.2">
      <c r="A174" s="104" t="s">
        <v>287</v>
      </c>
      <c r="B174" s="105" t="s">
        <v>360</v>
      </c>
      <c r="C174" s="131" t="s">
        <v>537</v>
      </c>
      <c r="D174" s="107" t="s">
        <v>18</v>
      </c>
      <c r="E174" s="121">
        <f>11.3/1.18/5.81*1.03*1.02</f>
        <v>1.73</v>
      </c>
      <c r="F174" s="108">
        <v>194</v>
      </c>
    </row>
    <row r="175" spans="1:6" ht="39.6" customHeight="1" x14ac:dyDescent="0.2">
      <c r="A175" s="67" t="s">
        <v>288</v>
      </c>
      <c r="B175" s="128" t="s">
        <v>411</v>
      </c>
      <c r="C175" s="131" t="s">
        <v>538</v>
      </c>
      <c r="D175" s="107" t="s">
        <v>18</v>
      </c>
      <c r="E175" s="121">
        <f>193.45/1.18/5.81*1.03*1.02</f>
        <v>29.64</v>
      </c>
      <c r="F175" s="108">
        <v>250</v>
      </c>
    </row>
    <row r="176" spans="1:6" ht="39.6" customHeight="1" x14ac:dyDescent="0.2">
      <c r="A176" s="104" t="s">
        <v>329</v>
      </c>
      <c r="B176" s="105" t="s">
        <v>330</v>
      </c>
      <c r="C176" s="131" t="s">
        <v>331</v>
      </c>
      <c r="D176" s="107" t="s">
        <v>18</v>
      </c>
      <c r="E176" s="121">
        <f>170/1.18/5.81*1.03*1.02</f>
        <v>26.05</v>
      </c>
      <c r="F176" s="108">
        <v>137</v>
      </c>
    </row>
    <row r="177" spans="1:6" ht="39.6" customHeight="1" x14ac:dyDescent="0.2">
      <c r="A177" s="104" t="s">
        <v>368</v>
      </c>
      <c r="B177" s="49" t="s">
        <v>335</v>
      </c>
      <c r="C177" s="131" t="s">
        <v>498</v>
      </c>
      <c r="D177" s="107" t="s">
        <v>134</v>
      </c>
      <c r="E177" s="121">
        <f>148.23/1.18/5.81*1.03*1.02</f>
        <v>22.72</v>
      </c>
      <c r="F177" s="108">
        <v>138</v>
      </c>
    </row>
    <row r="178" spans="1:6" ht="39.6" customHeight="1" x14ac:dyDescent="0.2">
      <c r="A178" s="104" t="s">
        <v>359</v>
      </c>
      <c r="B178" s="105" t="s">
        <v>360</v>
      </c>
      <c r="C178" s="105" t="s">
        <v>499</v>
      </c>
      <c r="D178" s="107" t="s">
        <v>18</v>
      </c>
      <c r="E178" s="121">
        <f>1530/1.18/5.81*1.03</f>
        <v>229.86</v>
      </c>
      <c r="F178" s="108">
        <v>139</v>
      </c>
    </row>
    <row r="179" spans="1:6" ht="39.6" customHeight="1" x14ac:dyDescent="0.2">
      <c r="A179" s="134" t="s">
        <v>365</v>
      </c>
      <c r="B179" s="107" t="s">
        <v>16</v>
      </c>
      <c r="C179" s="105" t="s">
        <v>500</v>
      </c>
      <c r="D179" s="107" t="s">
        <v>18</v>
      </c>
      <c r="E179" s="121">
        <f>3770/1.18/5.81*1.03</f>
        <v>566.4</v>
      </c>
      <c r="F179" s="108">
        <v>139</v>
      </c>
    </row>
    <row r="180" spans="1:6" ht="26.45" customHeight="1" x14ac:dyDescent="0.2">
      <c r="A180" s="135"/>
      <c r="B180" s="44" t="s">
        <v>21</v>
      </c>
      <c r="C180" s="44"/>
      <c r="D180" s="45"/>
      <c r="E180" s="46"/>
      <c r="F180" s="47"/>
    </row>
    <row r="181" spans="1:6" ht="54.6" customHeight="1" x14ac:dyDescent="0.2">
      <c r="A181" s="67" t="s">
        <v>3</v>
      </c>
      <c r="B181" s="49" t="s">
        <v>216</v>
      </c>
      <c r="C181" s="65" t="s">
        <v>539</v>
      </c>
      <c r="D181" s="51"/>
      <c r="E181" s="52"/>
      <c r="F181" s="136">
        <v>206</v>
      </c>
    </row>
    <row r="182" spans="1:6" x14ac:dyDescent="0.2">
      <c r="A182" s="116"/>
      <c r="B182" s="137"/>
      <c r="C182" s="79" t="s">
        <v>501</v>
      </c>
      <c r="D182" s="84" t="s">
        <v>8</v>
      </c>
      <c r="E182" s="85">
        <f>1585850/1.18/3.5</f>
        <v>383983.05</v>
      </c>
      <c r="F182" s="138"/>
    </row>
    <row r="183" spans="1:6" ht="57" customHeight="1" x14ac:dyDescent="0.2">
      <c r="A183" s="139" t="s">
        <v>63</v>
      </c>
      <c r="B183" s="76" t="s">
        <v>16</v>
      </c>
      <c r="C183" s="140" t="s">
        <v>540</v>
      </c>
      <c r="D183" s="80"/>
      <c r="E183" s="141"/>
      <c r="F183" s="136">
        <v>206</v>
      </c>
    </row>
    <row r="184" spans="1:6" x14ac:dyDescent="0.2">
      <c r="A184" s="142"/>
      <c r="B184" s="101"/>
      <c r="C184" s="79" t="s">
        <v>502</v>
      </c>
      <c r="D184" s="84" t="s">
        <v>8</v>
      </c>
      <c r="E184" s="85">
        <f>1884735/1.18/3.5</f>
        <v>456352.3</v>
      </c>
      <c r="F184" s="138"/>
    </row>
    <row r="185" spans="1:6" ht="55.15" customHeight="1" x14ac:dyDescent="0.2">
      <c r="A185" s="139" t="s">
        <v>64</v>
      </c>
      <c r="B185" s="76" t="s">
        <v>16</v>
      </c>
      <c r="C185" s="140" t="s">
        <v>541</v>
      </c>
      <c r="D185" s="80"/>
      <c r="E185" s="141"/>
      <c r="F185" s="136">
        <v>206</v>
      </c>
    </row>
    <row r="186" spans="1:6" x14ac:dyDescent="0.2">
      <c r="A186" s="142"/>
      <c r="B186" s="83"/>
      <c r="C186" s="79" t="s">
        <v>503</v>
      </c>
      <c r="D186" s="84" t="s">
        <v>8</v>
      </c>
      <c r="E186" s="85">
        <f>2098635/1.18/3.5</f>
        <v>508144.07</v>
      </c>
      <c r="F186" s="138"/>
    </row>
    <row r="187" spans="1:6" ht="34.9" customHeight="1" x14ac:dyDescent="0.2">
      <c r="A187" s="143" t="s">
        <v>65</v>
      </c>
      <c r="B187" s="49" t="s">
        <v>94</v>
      </c>
      <c r="C187" s="102" t="s">
        <v>78</v>
      </c>
      <c r="D187" s="80"/>
      <c r="E187" s="141"/>
      <c r="F187" s="136">
        <v>271</v>
      </c>
    </row>
    <row r="188" spans="1:6" ht="17.25" customHeight="1" x14ac:dyDescent="0.2">
      <c r="A188" s="142"/>
      <c r="B188" s="101"/>
      <c r="C188" s="101" t="s">
        <v>504</v>
      </c>
      <c r="D188" s="90" t="s">
        <v>8</v>
      </c>
      <c r="E188" s="85">
        <f>150637/1.18/3.5*1.03*1.012</f>
        <v>38018.879999999997</v>
      </c>
      <c r="F188" s="138"/>
    </row>
    <row r="189" spans="1:6" x14ac:dyDescent="0.2">
      <c r="A189" s="63" t="s">
        <v>72</v>
      </c>
      <c r="B189" s="49" t="s">
        <v>95</v>
      </c>
      <c r="C189" s="77" t="s">
        <v>71</v>
      </c>
      <c r="D189" s="80"/>
      <c r="E189" s="52"/>
      <c r="F189" s="136">
        <v>272</v>
      </c>
    </row>
    <row r="190" spans="1:6" ht="21" customHeight="1" x14ac:dyDescent="0.2">
      <c r="A190" s="116"/>
      <c r="B190" s="144"/>
      <c r="C190" s="69" t="s">
        <v>505</v>
      </c>
      <c r="D190" s="57" t="s">
        <v>8</v>
      </c>
      <c r="E190" s="58">
        <f>75000/1.18/3.47*1.03*1.012</f>
        <v>19092.71</v>
      </c>
      <c r="F190" s="138"/>
    </row>
    <row r="191" spans="1:6" x14ac:dyDescent="0.2">
      <c r="A191" s="115" t="s">
        <v>84</v>
      </c>
      <c r="B191" s="70" t="s">
        <v>328</v>
      </c>
      <c r="C191" s="65" t="s">
        <v>327</v>
      </c>
      <c r="D191" s="145"/>
      <c r="E191" s="146"/>
      <c r="F191" s="136">
        <v>273</v>
      </c>
    </row>
    <row r="192" spans="1:6" x14ac:dyDescent="0.2">
      <c r="A192" s="116"/>
      <c r="B192" s="130"/>
      <c r="C192" s="69" t="s">
        <v>506</v>
      </c>
      <c r="D192" s="98" t="s">
        <v>8</v>
      </c>
      <c r="E192" s="58">
        <f>3055000/3.5/1.18*1.03*1.012</f>
        <v>771043.54</v>
      </c>
      <c r="F192" s="138"/>
    </row>
    <row r="193" spans="1:7" x14ac:dyDescent="0.2">
      <c r="A193" s="63" t="s">
        <v>85</v>
      </c>
      <c r="B193" s="70" t="s">
        <v>412</v>
      </c>
      <c r="C193" s="140" t="s">
        <v>508</v>
      </c>
      <c r="D193" s="147"/>
      <c r="E193" s="146"/>
      <c r="F193" s="53"/>
    </row>
    <row r="194" spans="1:7" x14ac:dyDescent="0.2">
      <c r="A194" s="67"/>
      <c r="B194" s="130"/>
      <c r="C194" s="69" t="s">
        <v>507</v>
      </c>
      <c r="D194" s="76" t="s">
        <v>8</v>
      </c>
      <c r="E194" s="58">
        <f>26986/3.5*1.03*1.012</f>
        <v>8036.89</v>
      </c>
      <c r="F194" s="59">
        <v>207</v>
      </c>
    </row>
    <row r="195" spans="1:7" ht="26.45" customHeight="1" x14ac:dyDescent="0.2">
      <c r="A195" s="63" t="s">
        <v>86</v>
      </c>
      <c r="B195" s="49" t="s">
        <v>413</v>
      </c>
      <c r="C195" s="65" t="s">
        <v>143</v>
      </c>
      <c r="D195" s="145"/>
      <c r="E195" s="146"/>
      <c r="F195" s="53"/>
      <c r="G195" s="9"/>
    </row>
    <row r="196" spans="1:7" x14ac:dyDescent="0.2">
      <c r="A196" s="67"/>
      <c r="B196" s="113"/>
      <c r="C196" s="69" t="s">
        <v>509</v>
      </c>
      <c r="D196" s="98" t="s">
        <v>8</v>
      </c>
      <c r="E196" s="58">
        <f>103360/1.18/3.5*1.012</f>
        <v>25326.95</v>
      </c>
      <c r="F196" s="103">
        <v>208</v>
      </c>
      <c r="G196" s="8"/>
    </row>
    <row r="197" spans="1:7" ht="22.9" customHeight="1" x14ac:dyDescent="0.2">
      <c r="A197" s="63" t="s">
        <v>87</v>
      </c>
      <c r="B197" s="49" t="s">
        <v>88</v>
      </c>
      <c r="C197" s="140" t="s">
        <v>510</v>
      </c>
      <c r="D197" s="147"/>
      <c r="E197" s="146"/>
      <c r="F197" s="53"/>
    </row>
    <row r="198" spans="1:7" ht="17.25" customHeight="1" x14ac:dyDescent="0.2">
      <c r="A198" s="82"/>
      <c r="B198" s="100"/>
      <c r="C198" s="79" t="s">
        <v>511</v>
      </c>
      <c r="D198" s="148" t="s">
        <v>8</v>
      </c>
      <c r="E198" s="85">
        <f>92500/1.18/3.5*1.03*1.012</f>
        <v>23345.84</v>
      </c>
      <c r="F198" s="103">
        <v>212</v>
      </c>
    </row>
    <row r="199" spans="1:7" ht="34.15" customHeight="1" x14ac:dyDescent="0.2">
      <c r="A199" s="63" t="s">
        <v>89</v>
      </c>
      <c r="B199" s="49" t="s">
        <v>90</v>
      </c>
      <c r="C199" s="140" t="s">
        <v>91</v>
      </c>
      <c r="D199" s="147"/>
      <c r="E199" s="146"/>
      <c r="F199" s="53"/>
    </row>
    <row r="200" spans="1:7" x14ac:dyDescent="0.2">
      <c r="A200" s="67"/>
      <c r="B200" s="149"/>
      <c r="C200" s="69" t="s">
        <v>646</v>
      </c>
      <c r="D200" s="76" t="s">
        <v>8</v>
      </c>
      <c r="E200" s="58">
        <f>990/1.18/3.5*1.03*1.012</f>
        <v>249.86</v>
      </c>
      <c r="F200" s="59">
        <v>213</v>
      </c>
    </row>
    <row r="201" spans="1:7" ht="21" customHeight="1" x14ac:dyDescent="0.2">
      <c r="A201" s="63" t="s">
        <v>97</v>
      </c>
      <c r="B201" s="70" t="s">
        <v>414</v>
      </c>
      <c r="C201" s="65" t="s">
        <v>177</v>
      </c>
      <c r="D201" s="80"/>
      <c r="E201" s="52"/>
      <c r="F201" s="53"/>
      <c r="G201" s="9"/>
    </row>
    <row r="202" spans="1:7" ht="21" customHeight="1" x14ac:dyDescent="0.2">
      <c r="A202" s="67"/>
      <c r="B202" s="73"/>
      <c r="C202" s="79" t="s">
        <v>512</v>
      </c>
      <c r="D202" s="98" t="s">
        <v>18</v>
      </c>
      <c r="E202" s="58">
        <f>114000/3.5*1.03*1.012</f>
        <v>33951.15</v>
      </c>
      <c r="F202" s="59">
        <v>151</v>
      </c>
    </row>
    <row r="203" spans="1:7" ht="42" customHeight="1" x14ac:dyDescent="0.2">
      <c r="A203" s="63" t="s">
        <v>98</v>
      </c>
      <c r="B203" s="49" t="s">
        <v>171</v>
      </c>
      <c r="C203" s="102" t="s">
        <v>168</v>
      </c>
      <c r="D203" s="80"/>
      <c r="E203" s="52"/>
      <c r="F203" s="53"/>
      <c r="G203" s="9"/>
    </row>
    <row r="204" spans="1:7" ht="22.9" customHeight="1" x14ac:dyDescent="0.2">
      <c r="A204" s="82"/>
      <c r="B204" s="101"/>
      <c r="C204" s="79" t="s">
        <v>513</v>
      </c>
      <c r="D204" s="90" t="s">
        <v>170</v>
      </c>
      <c r="E204" s="85">
        <f>558454/1.18/3.5*1.03*1.012</f>
        <v>140946.76</v>
      </c>
      <c r="F204" s="103">
        <v>216</v>
      </c>
      <c r="G204" s="8"/>
    </row>
    <row r="205" spans="1:7" ht="43.9" customHeight="1" x14ac:dyDescent="0.2">
      <c r="A205" s="63" t="s">
        <v>99</v>
      </c>
      <c r="B205" s="76" t="s">
        <v>16</v>
      </c>
      <c r="C205" s="102" t="s">
        <v>169</v>
      </c>
      <c r="D205" s="80"/>
      <c r="E205" s="52"/>
      <c r="F205" s="53"/>
      <c r="G205" s="9"/>
    </row>
    <row r="206" spans="1:7" x14ac:dyDescent="0.2">
      <c r="A206" s="82"/>
      <c r="B206" s="101"/>
      <c r="C206" s="79" t="s">
        <v>514</v>
      </c>
      <c r="D206" s="90" t="s">
        <v>170</v>
      </c>
      <c r="E206" s="85">
        <f>2112828/1.18/3.5*1.03*1.012</f>
        <v>533251.18999999994</v>
      </c>
      <c r="F206" s="103">
        <v>216</v>
      </c>
      <c r="G206" s="8"/>
    </row>
    <row r="207" spans="1:7" ht="21" customHeight="1" x14ac:dyDescent="0.2">
      <c r="A207" s="63" t="s">
        <v>100</v>
      </c>
      <c r="B207" s="76" t="s">
        <v>16</v>
      </c>
      <c r="C207" s="102" t="s">
        <v>173</v>
      </c>
      <c r="D207" s="80"/>
      <c r="E207" s="52"/>
      <c r="F207" s="53"/>
      <c r="G207" s="9"/>
    </row>
    <row r="208" spans="1:7" x14ac:dyDescent="0.2">
      <c r="A208" s="82"/>
      <c r="B208" s="101"/>
      <c r="C208" s="79" t="s">
        <v>515</v>
      </c>
      <c r="D208" s="90" t="s">
        <v>170</v>
      </c>
      <c r="E208" s="85">
        <f>46846/1.18/3.5*1.03*1.012</f>
        <v>11823.34</v>
      </c>
      <c r="F208" s="103">
        <v>216</v>
      </c>
      <c r="G208" s="9"/>
    </row>
    <row r="209" spans="1:7" ht="18.75" customHeight="1" x14ac:dyDescent="0.2">
      <c r="A209" s="63" t="s">
        <v>107</v>
      </c>
      <c r="B209" s="76" t="s">
        <v>16</v>
      </c>
      <c r="C209" s="102" t="s">
        <v>174</v>
      </c>
      <c r="D209" s="80"/>
      <c r="E209" s="52"/>
      <c r="F209" s="53"/>
      <c r="G209" s="9"/>
    </row>
    <row r="210" spans="1:7" x14ac:dyDescent="0.2">
      <c r="A210" s="82"/>
      <c r="B210" s="101"/>
      <c r="C210" s="79" t="s">
        <v>516</v>
      </c>
      <c r="D210" s="90" t="s">
        <v>170</v>
      </c>
      <c r="E210" s="85">
        <f>129210/1.18/3.5*1.03*1.012</f>
        <v>32610.98</v>
      </c>
      <c r="F210" s="103">
        <v>216</v>
      </c>
      <c r="G210" s="8"/>
    </row>
    <row r="211" spans="1:7" ht="23.25" customHeight="1" x14ac:dyDescent="0.2">
      <c r="A211" s="63" t="s">
        <v>209</v>
      </c>
      <c r="B211" s="76" t="s">
        <v>16</v>
      </c>
      <c r="C211" s="102" t="s">
        <v>175</v>
      </c>
      <c r="D211" s="80"/>
      <c r="E211" s="52"/>
      <c r="F211" s="53"/>
      <c r="G211" s="9"/>
    </row>
    <row r="212" spans="1:7" x14ac:dyDescent="0.2">
      <c r="A212" s="82"/>
      <c r="B212" s="101"/>
      <c r="C212" s="79" t="s">
        <v>517</v>
      </c>
      <c r="D212" s="90" t="s">
        <v>170</v>
      </c>
      <c r="E212" s="85">
        <f>212800/1.18/3.5*1.03*1.012</f>
        <v>53708.04</v>
      </c>
      <c r="F212" s="103">
        <v>216</v>
      </c>
      <c r="G212" s="8"/>
    </row>
    <row r="213" spans="1:7" ht="30.6" customHeight="1" x14ac:dyDescent="0.2">
      <c r="A213" s="63" t="s">
        <v>108</v>
      </c>
      <c r="B213" s="70" t="s">
        <v>415</v>
      </c>
      <c r="C213" s="102" t="s">
        <v>542</v>
      </c>
      <c r="D213" s="80"/>
      <c r="E213" s="52"/>
      <c r="F213" s="53"/>
      <c r="G213" s="9"/>
    </row>
    <row r="214" spans="1:7" x14ac:dyDescent="0.2">
      <c r="A214" s="82"/>
      <c r="B214" s="73"/>
      <c r="C214" s="79" t="s">
        <v>518</v>
      </c>
      <c r="D214" s="98" t="s">
        <v>170</v>
      </c>
      <c r="E214" s="58">
        <f>2365060/1.18/3.5*1.03*1.012</f>
        <v>596911.37</v>
      </c>
      <c r="F214" s="103">
        <v>218</v>
      </c>
    </row>
    <row r="215" spans="1:7" ht="28.5" customHeight="1" x14ac:dyDescent="0.2">
      <c r="A215" s="67" t="s">
        <v>217</v>
      </c>
      <c r="B215" s="76" t="s">
        <v>16</v>
      </c>
      <c r="C215" s="102" t="s">
        <v>178</v>
      </c>
      <c r="D215" s="80"/>
      <c r="E215" s="52"/>
      <c r="F215" s="53"/>
      <c r="G215" s="9"/>
    </row>
    <row r="216" spans="1:7" x14ac:dyDescent="0.2">
      <c r="A216" s="67"/>
      <c r="B216" s="113"/>
      <c r="C216" s="79" t="s">
        <v>594</v>
      </c>
      <c r="D216" s="98" t="s">
        <v>18</v>
      </c>
      <c r="E216" s="58">
        <f>265000/1.18/3.5*1.03*1.012</f>
        <v>66882.66</v>
      </c>
      <c r="F216" s="103">
        <v>218</v>
      </c>
    </row>
    <row r="217" spans="1:7" ht="29.45" customHeight="1" x14ac:dyDescent="0.2">
      <c r="A217" s="63" t="s">
        <v>210</v>
      </c>
      <c r="B217" s="70" t="s">
        <v>157</v>
      </c>
      <c r="C217" s="102" t="s">
        <v>147</v>
      </c>
      <c r="D217" s="80"/>
      <c r="E217" s="52"/>
      <c r="F217" s="53"/>
      <c r="G217" s="3"/>
    </row>
    <row r="218" spans="1:7" x14ac:dyDescent="0.2">
      <c r="A218" s="67"/>
      <c r="B218" s="73"/>
      <c r="C218" s="79" t="s">
        <v>651</v>
      </c>
      <c r="D218" s="98" t="s">
        <v>18</v>
      </c>
      <c r="E218" s="1">
        <f>3861500/1.18/3.5*1.012</f>
        <v>946207.75</v>
      </c>
      <c r="F218" s="59">
        <v>222</v>
      </c>
    </row>
    <row r="219" spans="1:7" ht="28.9" customHeight="1" x14ac:dyDescent="0.2">
      <c r="A219" s="63" t="s">
        <v>211</v>
      </c>
      <c r="B219" s="76" t="s">
        <v>16</v>
      </c>
      <c r="C219" s="102" t="s">
        <v>156</v>
      </c>
      <c r="D219" s="80"/>
      <c r="E219" s="52"/>
      <c r="F219" s="53"/>
      <c r="G219" s="3"/>
    </row>
    <row r="220" spans="1:7" x14ac:dyDescent="0.2">
      <c r="A220" s="67"/>
      <c r="B220" s="101"/>
      <c r="C220" s="79" t="s">
        <v>595</v>
      </c>
      <c r="D220" s="98" t="s">
        <v>18</v>
      </c>
      <c r="E220" s="58">
        <f>15400/1.18/3.5*1.012</f>
        <v>3773.56</v>
      </c>
      <c r="F220" s="59">
        <v>222</v>
      </c>
    </row>
    <row r="221" spans="1:7" ht="28.9" customHeight="1" x14ac:dyDescent="0.2">
      <c r="A221" s="63" t="s">
        <v>109</v>
      </c>
      <c r="B221" s="76" t="s">
        <v>16</v>
      </c>
      <c r="C221" s="102" t="s">
        <v>148</v>
      </c>
      <c r="D221" s="80"/>
      <c r="E221" s="52"/>
      <c r="F221" s="53"/>
    </row>
    <row r="222" spans="1:7" x14ac:dyDescent="0.2">
      <c r="A222" s="67"/>
      <c r="B222" s="101"/>
      <c r="C222" s="79" t="s">
        <v>596</v>
      </c>
      <c r="D222" s="98" t="s">
        <v>18</v>
      </c>
      <c r="E222" s="58">
        <f>15000/1.18/3.5*1.012</f>
        <v>3675.54</v>
      </c>
      <c r="F222" s="59">
        <v>222</v>
      </c>
    </row>
    <row r="223" spans="1:7" ht="27" customHeight="1" x14ac:dyDescent="0.2">
      <c r="A223" s="63" t="s">
        <v>110</v>
      </c>
      <c r="B223" s="70" t="s">
        <v>369</v>
      </c>
      <c r="C223" s="102" t="s">
        <v>370</v>
      </c>
      <c r="D223" s="80"/>
      <c r="E223" s="52"/>
      <c r="F223" s="53"/>
    </row>
    <row r="224" spans="1:7" ht="16.899999999999999" customHeight="1" x14ac:dyDescent="0.2">
      <c r="A224" s="150"/>
      <c r="B224" s="73"/>
      <c r="C224" s="101" t="s">
        <v>597</v>
      </c>
      <c r="D224" s="98" t="s">
        <v>18</v>
      </c>
      <c r="E224" s="58">
        <f>130000/1.18/3.5</f>
        <v>31477</v>
      </c>
      <c r="F224" s="59">
        <v>140</v>
      </c>
    </row>
    <row r="225" spans="1:7" ht="21.6" customHeight="1" x14ac:dyDescent="0.2">
      <c r="A225" s="135"/>
      <c r="B225" s="44" t="s">
        <v>308</v>
      </c>
      <c r="C225" s="44"/>
      <c r="D225" s="45"/>
      <c r="E225" s="46"/>
      <c r="F225" s="47"/>
    </row>
    <row r="226" spans="1:7" ht="18.75" customHeight="1" x14ac:dyDescent="0.2">
      <c r="A226" s="63" t="s">
        <v>112</v>
      </c>
      <c r="B226" s="49" t="s">
        <v>416</v>
      </c>
      <c r="C226" s="102" t="s">
        <v>206</v>
      </c>
      <c r="D226" s="80"/>
      <c r="E226" s="52"/>
      <c r="F226" s="59"/>
    </row>
    <row r="227" spans="1:7" ht="18.75" customHeight="1" x14ac:dyDescent="0.2">
      <c r="A227" s="67"/>
      <c r="B227" s="101"/>
      <c r="C227" s="79" t="s">
        <v>598</v>
      </c>
      <c r="D227" s="98" t="s">
        <v>18</v>
      </c>
      <c r="E227" s="58">
        <f>108268.33/1.18/3.5*1.03*1.0075</f>
        <v>27204.06</v>
      </c>
      <c r="F227" s="59">
        <v>152</v>
      </c>
      <c r="G227" s="9"/>
    </row>
    <row r="228" spans="1:7" ht="18.75" customHeight="1" x14ac:dyDescent="0.2">
      <c r="A228" s="63" t="s">
        <v>113</v>
      </c>
      <c r="B228" s="70" t="s">
        <v>96</v>
      </c>
      <c r="C228" s="140" t="s">
        <v>599</v>
      </c>
      <c r="D228" s="147"/>
      <c r="E228" s="146"/>
      <c r="F228" s="53"/>
    </row>
    <row r="229" spans="1:7" ht="18.75" customHeight="1" x14ac:dyDescent="0.2">
      <c r="A229" s="151"/>
      <c r="B229" s="73"/>
      <c r="C229" s="79" t="s">
        <v>600</v>
      </c>
      <c r="D229" s="76" t="s">
        <v>8</v>
      </c>
      <c r="E229" s="58">
        <f>20759/3.5*1.03*1.012</f>
        <v>6182.39</v>
      </c>
      <c r="F229" s="59">
        <v>207</v>
      </c>
    </row>
    <row r="230" spans="1:7" ht="18.75" customHeight="1" x14ac:dyDescent="0.2">
      <c r="A230" s="63" t="s">
        <v>130</v>
      </c>
      <c r="B230" s="49" t="s">
        <v>417</v>
      </c>
      <c r="C230" s="102" t="s">
        <v>184</v>
      </c>
      <c r="D230" s="80"/>
      <c r="E230" s="52"/>
      <c r="F230" s="53"/>
    </row>
    <row r="231" spans="1:7" ht="18.75" customHeight="1" x14ac:dyDescent="0.2">
      <c r="A231" s="67"/>
      <c r="B231" s="101"/>
      <c r="C231" s="79" t="s">
        <v>601</v>
      </c>
      <c r="D231" s="98" t="s">
        <v>18</v>
      </c>
      <c r="E231" s="58">
        <f>28403/3.5*1.03*1.012</f>
        <v>8458.9</v>
      </c>
      <c r="F231" s="103">
        <v>220</v>
      </c>
      <c r="G231" s="10"/>
    </row>
    <row r="232" spans="1:7" ht="18.75" customHeight="1" x14ac:dyDescent="0.2">
      <c r="A232" s="63" t="s">
        <v>189</v>
      </c>
      <c r="B232" s="70" t="s">
        <v>418</v>
      </c>
      <c r="C232" s="102" t="s">
        <v>543</v>
      </c>
      <c r="D232" s="80"/>
      <c r="E232" s="52"/>
      <c r="F232" s="53"/>
    </row>
    <row r="233" spans="1:7" ht="18.75" customHeight="1" x14ac:dyDescent="0.2">
      <c r="A233" s="67"/>
      <c r="B233" s="73"/>
      <c r="C233" s="79" t="s">
        <v>602</v>
      </c>
      <c r="D233" s="98" t="s">
        <v>18</v>
      </c>
      <c r="E233" s="58">
        <f>2745/1.18/3.5*1.03*1.012</f>
        <v>692.8</v>
      </c>
      <c r="F233" s="59">
        <v>221</v>
      </c>
      <c r="G233" s="8"/>
    </row>
    <row r="234" spans="1:7" ht="18.75" customHeight="1" x14ac:dyDescent="0.2">
      <c r="A234" s="63" t="s">
        <v>190</v>
      </c>
      <c r="B234" s="80" t="s">
        <v>16</v>
      </c>
      <c r="C234" s="102" t="s">
        <v>185</v>
      </c>
      <c r="D234" s="80"/>
      <c r="E234" s="52"/>
      <c r="F234" s="53"/>
      <c r="G234" s="8"/>
    </row>
    <row r="235" spans="1:7" ht="18.75" customHeight="1" x14ac:dyDescent="0.2">
      <c r="A235" s="67"/>
      <c r="B235" s="101"/>
      <c r="C235" s="79" t="s">
        <v>603</v>
      </c>
      <c r="D235" s="98" t="s">
        <v>18</v>
      </c>
      <c r="E235" s="58">
        <f>3714/1.18/3.5*1.03*1.012</f>
        <v>937.37</v>
      </c>
      <c r="F235" s="59">
        <v>221</v>
      </c>
      <c r="G235" s="8"/>
    </row>
    <row r="236" spans="1:7" ht="18.75" customHeight="1" x14ac:dyDescent="0.2">
      <c r="A236" s="63" t="s">
        <v>191</v>
      </c>
      <c r="B236" s="80" t="s">
        <v>16</v>
      </c>
      <c r="C236" s="102" t="s">
        <v>187</v>
      </c>
      <c r="D236" s="80"/>
      <c r="E236" s="52"/>
      <c r="F236" s="53"/>
      <c r="G236" s="8"/>
    </row>
    <row r="237" spans="1:7" ht="18.75" customHeight="1" x14ac:dyDescent="0.2">
      <c r="A237" s="67"/>
      <c r="B237" s="101"/>
      <c r="C237" s="79" t="s">
        <v>604</v>
      </c>
      <c r="D237" s="98" t="s">
        <v>18</v>
      </c>
      <c r="E237" s="58">
        <f>9375/1.18/3.5*1.03*1.012</f>
        <v>2366.13</v>
      </c>
      <c r="F237" s="59">
        <v>221</v>
      </c>
      <c r="G237" s="8"/>
    </row>
    <row r="238" spans="1:7" ht="21" customHeight="1" x14ac:dyDescent="0.2">
      <c r="A238" s="63" t="s">
        <v>192</v>
      </c>
      <c r="B238" s="80" t="s">
        <v>16</v>
      </c>
      <c r="C238" s="102" t="s">
        <v>544</v>
      </c>
      <c r="D238" s="80"/>
      <c r="E238" s="52"/>
      <c r="F238" s="53"/>
      <c r="G238" s="8"/>
    </row>
    <row r="239" spans="1:7" ht="21" customHeight="1" x14ac:dyDescent="0.2">
      <c r="A239" s="67"/>
      <c r="B239" s="101"/>
      <c r="C239" s="79" t="s">
        <v>605</v>
      </c>
      <c r="D239" s="98" t="s">
        <v>18</v>
      </c>
      <c r="E239" s="58">
        <f>6308/1.18/3.5*1.03*1.012</f>
        <v>1592.06</v>
      </c>
      <c r="F239" s="59">
        <v>221</v>
      </c>
      <c r="G239" s="8"/>
    </row>
    <row r="240" spans="1:7" ht="21" customHeight="1" x14ac:dyDescent="0.2">
      <c r="A240" s="63" t="s">
        <v>193</v>
      </c>
      <c r="B240" s="80" t="s">
        <v>16</v>
      </c>
      <c r="C240" s="102" t="s">
        <v>647</v>
      </c>
      <c r="D240" s="80"/>
      <c r="E240" s="52"/>
      <c r="F240" s="53"/>
    </row>
    <row r="241" spans="1:7" ht="21" customHeight="1" x14ac:dyDescent="0.2">
      <c r="A241" s="67"/>
      <c r="B241" s="101"/>
      <c r="C241" s="79" t="s">
        <v>606</v>
      </c>
      <c r="D241" s="98" t="s">
        <v>18</v>
      </c>
      <c r="E241" s="58">
        <f>9215/1.18/3.5*1.03*1.012</f>
        <v>2325.75</v>
      </c>
      <c r="F241" s="59">
        <v>221</v>
      </c>
      <c r="G241" s="8"/>
    </row>
    <row r="242" spans="1:7" ht="21" customHeight="1" x14ac:dyDescent="0.2">
      <c r="A242" s="63" t="s">
        <v>194</v>
      </c>
      <c r="B242" s="80" t="s">
        <v>16</v>
      </c>
      <c r="C242" s="102" t="s">
        <v>545</v>
      </c>
      <c r="D242" s="80"/>
      <c r="E242" s="52"/>
      <c r="F242" s="53"/>
    </row>
    <row r="243" spans="1:7" ht="21" customHeight="1" x14ac:dyDescent="0.2">
      <c r="A243" s="67"/>
      <c r="B243" s="101"/>
      <c r="C243" s="79" t="s">
        <v>607</v>
      </c>
      <c r="D243" s="98" t="s">
        <v>18</v>
      </c>
      <c r="E243" s="58">
        <f>15360/1.18/3.5*1.03*1.012</f>
        <v>3876.67</v>
      </c>
      <c r="F243" s="59">
        <v>221</v>
      </c>
      <c r="G243" s="8"/>
    </row>
    <row r="244" spans="1:7" ht="21" customHeight="1" x14ac:dyDescent="0.2">
      <c r="A244" s="63" t="s">
        <v>195</v>
      </c>
      <c r="B244" s="76" t="s">
        <v>16</v>
      </c>
      <c r="C244" s="102" t="s">
        <v>546</v>
      </c>
      <c r="D244" s="80"/>
      <c r="E244" s="52"/>
      <c r="F244" s="53"/>
      <c r="G244" s="8"/>
    </row>
    <row r="245" spans="1:7" ht="21" customHeight="1" x14ac:dyDescent="0.2">
      <c r="A245" s="67"/>
      <c r="B245" s="101"/>
      <c r="C245" s="79" t="s">
        <v>608</v>
      </c>
      <c r="D245" s="98" t="s">
        <v>18</v>
      </c>
      <c r="E245" s="58">
        <f>21340/1.18/3.5*1.03*1.012</f>
        <v>5385.95</v>
      </c>
      <c r="F245" s="59">
        <v>221</v>
      </c>
      <c r="G245" s="8"/>
    </row>
    <row r="246" spans="1:7" ht="21" customHeight="1" x14ac:dyDescent="0.2">
      <c r="A246" s="63" t="s">
        <v>196</v>
      </c>
      <c r="B246" s="98" t="s">
        <v>16</v>
      </c>
      <c r="C246" s="102" t="s">
        <v>188</v>
      </c>
      <c r="D246" s="80"/>
      <c r="E246" s="52"/>
      <c r="F246" s="53"/>
      <c r="G246" s="8"/>
    </row>
    <row r="247" spans="1:7" ht="21" customHeight="1" x14ac:dyDescent="0.2">
      <c r="A247" s="67"/>
      <c r="B247" s="101"/>
      <c r="C247" s="79" t="s">
        <v>609</v>
      </c>
      <c r="D247" s="98" t="s">
        <v>18</v>
      </c>
      <c r="E247" s="58">
        <f>1955/1.18/3.5*1.03*1.012</f>
        <v>493.42</v>
      </c>
      <c r="F247" s="59">
        <v>221</v>
      </c>
      <c r="G247" s="8"/>
    </row>
    <row r="248" spans="1:7" ht="21" customHeight="1" x14ac:dyDescent="0.2">
      <c r="A248" s="63" t="s">
        <v>197</v>
      </c>
      <c r="B248" s="98" t="s">
        <v>16</v>
      </c>
      <c r="C248" s="102" t="s">
        <v>186</v>
      </c>
      <c r="D248" s="80"/>
      <c r="E248" s="52"/>
      <c r="F248" s="53"/>
      <c r="G248" s="8"/>
    </row>
    <row r="249" spans="1:7" ht="21" customHeight="1" x14ac:dyDescent="0.2">
      <c r="A249" s="67"/>
      <c r="B249" s="101"/>
      <c r="C249" s="79" t="s">
        <v>610</v>
      </c>
      <c r="D249" s="98" t="s">
        <v>18</v>
      </c>
      <c r="E249" s="58">
        <f>2893/1.18/3.5*1.03*1.012</f>
        <v>730.16</v>
      </c>
      <c r="F249" s="59">
        <v>221</v>
      </c>
      <c r="G249" s="8"/>
    </row>
    <row r="250" spans="1:7" ht="21" customHeight="1" x14ac:dyDescent="0.2">
      <c r="A250" s="63" t="s">
        <v>198</v>
      </c>
      <c r="B250" s="98" t="s">
        <v>16</v>
      </c>
      <c r="C250" s="102" t="s">
        <v>225</v>
      </c>
      <c r="D250" s="80"/>
      <c r="E250" s="52"/>
      <c r="F250" s="53"/>
      <c r="G250" s="8"/>
    </row>
    <row r="251" spans="1:7" ht="21" customHeight="1" x14ac:dyDescent="0.2">
      <c r="A251" s="67"/>
      <c r="B251" s="101"/>
      <c r="C251" s="79" t="s">
        <v>611</v>
      </c>
      <c r="D251" s="98" t="s">
        <v>18</v>
      </c>
      <c r="E251" s="58">
        <f>8892/1.18/3.5*1.03*1.012</f>
        <v>2244.23</v>
      </c>
      <c r="F251" s="59">
        <v>221</v>
      </c>
      <c r="G251" s="8"/>
    </row>
    <row r="252" spans="1:7" ht="21" customHeight="1" x14ac:dyDescent="0.2">
      <c r="A252" s="63" t="s">
        <v>199</v>
      </c>
      <c r="B252" s="98" t="s">
        <v>16</v>
      </c>
      <c r="C252" s="102" t="s">
        <v>226</v>
      </c>
      <c r="D252" s="80"/>
      <c r="E252" s="52"/>
      <c r="F252" s="53"/>
      <c r="G252" s="8"/>
    </row>
    <row r="253" spans="1:7" ht="21" customHeight="1" x14ac:dyDescent="0.2">
      <c r="A253" s="67"/>
      <c r="B253" s="101"/>
      <c r="C253" s="79" t="s">
        <v>612</v>
      </c>
      <c r="D253" s="98" t="s">
        <v>18</v>
      </c>
      <c r="E253" s="58">
        <f>7470/1.18/3.5*1.03*1.012</f>
        <v>1885.33</v>
      </c>
      <c r="F253" s="59">
        <v>221</v>
      </c>
      <c r="G253" s="8"/>
    </row>
    <row r="254" spans="1:7" ht="28.5" customHeight="1" x14ac:dyDescent="0.2">
      <c r="A254" s="63" t="s">
        <v>207</v>
      </c>
      <c r="B254" s="49" t="s">
        <v>419</v>
      </c>
      <c r="C254" s="102" t="s">
        <v>547</v>
      </c>
      <c r="D254" s="80"/>
      <c r="E254" s="52"/>
      <c r="F254" s="53"/>
      <c r="G254" s="3"/>
    </row>
    <row r="255" spans="1:7" ht="24.6" customHeight="1" x14ac:dyDescent="0.2">
      <c r="A255" s="67"/>
      <c r="B255" s="113"/>
      <c r="C255" s="79" t="s">
        <v>613</v>
      </c>
      <c r="D255" s="98" t="s">
        <v>18</v>
      </c>
      <c r="E255" s="58">
        <f>4304/1.18/3.5*1.03*1.012</f>
        <v>1086.28</v>
      </c>
      <c r="F255" s="59" t="s">
        <v>302</v>
      </c>
      <c r="G255" s="8"/>
    </row>
    <row r="256" spans="1:7" ht="27" x14ac:dyDescent="0.2">
      <c r="A256" s="63" t="s">
        <v>200</v>
      </c>
      <c r="B256" s="49" t="s">
        <v>420</v>
      </c>
      <c r="C256" s="102" t="s">
        <v>201</v>
      </c>
      <c r="D256" s="80"/>
      <c r="E256" s="52"/>
      <c r="F256" s="53"/>
    </row>
    <row r="257" spans="1:7" x14ac:dyDescent="0.2">
      <c r="A257" s="67"/>
      <c r="B257" s="113"/>
      <c r="C257" s="79" t="s">
        <v>614</v>
      </c>
      <c r="D257" s="98" t="s">
        <v>18</v>
      </c>
      <c r="E257" s="58">
        <f>1258/1.18/3.5*1.03*1.012</f>
        <v>317.5</v>
      </c>
      <c r="F257" s="59">
        <v>223</v>
      </c>
      <c r="G257" s="11"/>
    </row>
    <row r="258" spans="1:7" ht="18" customHeight="1" x14ac:dyDescent="0.2">
      <c r="A258" s="63" t="s">
        <v>202</v>
      </c>
      <c r="B258" s="49" t="s">
        <v>548</v>
      </c>
      <c r="C258" s="102" t="s">
        <v>549</v>
      </c>
      <c r="D258" s="80"/>
      <c r="E258" s="52"/>
      <c r="F258" s="53"/>
      <c r="G258" s="3"/>
    </row>
    <row r="259" spans="1:7" ht="18" customHeight="1" x14ac:dyDescent="0.2">
      <c r="A259" s="67"/>
      <c r="B259" s="101"/>
      <c r="C259" s="79" t="s">
        <v>615</v>
      </c>
      <c r="D259" s="98" t="s">
        <v>18</v>
      </c>
      <c r="E259" s="58">
        <f>1330/1.18/3.5*1.03*1.012</f>
        <v>335.68</v>
      </c>
      <c r="F259" s="59">
        <v>224</v>
      </c>
      <c r="G259" s="8"/>
    </row>
    <row r="260" spans="1:7" ht="18" customHeight="1" x14ac:dyDescent="0.2">
      <c r="A260" s="63" t="s">
        <v>203</v>
      </c>
      <c r="B260" s="98" t="s">
        <v>16</v>
      </c>
      <c r="C260" s="102" t="s">
        <v>550</v>
      </c>
      <c r="D260" s="80"/>
      <c r="E260" s="52"/>
      <c r="F260" s="53"/>
      <c r="G260" s="3"/>
    </row>
    <row r="261" spans="1:7" ht="18" customHeight="1" x14ac:dyDescent="0.2">
      <c r="A261" s="67"/>
      <c r="B261" s="101"/>
      <c r="C261" s="79" t="s">
        <v>616</v>
      </c>
      <c r="D261" s="98" t="s">
        <v>18</v>
      </c>
      <c r="E261" s="58">
        <f>4370/1.18/3.5*1.03*1.012</f>
        <v>1102.93</v>
      </c>
      <c r="F261" s="59">
        <v>224</v>
      </c>
      <c r="G261" s="8"/>
    </row>
    <row r="262" spans="1:7" ht="18" customHeight="1" x14ac:dyDescent="0.2">
      <c r="A262" s="63" t="s">
        <v>208</v>
      </c>
      <c r="B262" s="98" t="s">
        <v>16</v>
      </c>
      <c r="C262" s="102" t="s">
        <v>551</v>
      </c>
      <c r="D262" s="80"/>
      <c r="E262" s="52"/>
      <c r="F262" s="53"/>
      <c r="G262" s="3"/>
    </row>
    <row r="263" spans="1:7" ht="18" customHeight="1" x14ac:dyDescent="0.2">
      <c r="A263" s="82"/>
      <c r="B263" s="101"/>
      <c r="C263" s="79" t="s">
        <v>617</v>
      </c>
      <c r="D263" s="98" t="s">
        <v>18</v>
      </c>
      <c r="E263" s="58">
        <f>14190/1.18/3.5*1.03*1.012</f>
        <v>3581.38</v>
      </c>
      <c r="F263" s="59">
        <v>224</v>
      </c>
      <c r="G263" s="8"/>
    </row>
    <row r="264" spans="1:7" ht="18" customHeight="1" x14ac:dyDescent="0.2">
      <c r="A264" s="63" t="s">
        <v>212</v>
      </c>
      <c r="B264" s="49" t="s">
        <v>552</v>
      </c>
      <c r="C264" s="102" t="s">
        <v>553</v>
      </c>
      <c r="D264" s="80"/>
      <c r="E264" s="52"/>
      <c r="F264" s="53"/>
      <c r="G264" s="12"/>
    </row>
    <row r="265" spans="1:7" ht="18" customHeight="1" x14ac:dyDescent="0.2">
      <c r="A265" s="82"/>
      <c r="B265" s="101"/>
      <c r="C265" s="79" t="s">
        <v>618</v>
      </c>
      <c r="D265" s="90" t="s">
        <v>18</v>
      </c>
      <c r="E265" s="85">
        <f>2440/1.18/3.5*1.03*1.012</f>
        <v>615.83000000000004</v>
      </c>
      <c r="F265" s="103">
        <v>225</v>
      </c>
      <c r="G265" s="3"/>
    </row>
    <row r="266" spans="1:7" ht="18" customHeight="1" x14ac:dyDescent="0.2">
      <c r="A266" s="63" t="s">
        <v>135</v>
      </c>
      <c r="B266" s="152" t="s">
        <v>16</v>
      </c>
      <c r="C266" s="102" t="s">
        <v>554</v>
      </c>
      <c r="D266" s="80"/>
      <c r="E266" s="52"/>
      <c r="F266" s="53"/>
      <c r="G266" s="8"/>
    </row>
    <row r="267" spans="1:7" ht="18" customHeight="1" x14ac:dyDescent="0.2">
      <c r="A267" s="82"/>
      <c r="B267" s="101"/>
      <c r="C267" s="79" t="s">
        <v>619</v>
      </c>
      <c r="D267" s="90" t="s">
        <v>204</v>
      </c>
      <c r="E267" s="85">
        <f>10175/1.18/3.5*1.03*1.012</f>
        <v>2568.04</v>
      </c>
      <c r="F267" s="103">
        <v>225</v>
      </c>
      <c r="G267" s="8"/>
    </row>
    <row r="268" spans="1:7" ht="23.25" customHeight="1" x14ac:dyDescent="0.2">
      <c r="A268" s="63" t="s">
        <v>218</v>
      </c>
      <c r="B268" s="70" t="s">
        <v>180</v>
      </c>
      <c r="C268" s="65" t="s">
        <v>111</v>
      </c>
      <c r="D268" s="80"/>
      <c r="E268" s="52"/>
      <c r="F268" s="53"/>
      <c r="G268" s="9"/>
    </row>
    <row r="269" spans="1:7" ht="21.75" customHeight="1" x14ac:dyDescent="0.2">
      <c r="A269" s="67"/>
      <c r="B269" s="73"/>
      <c r="C269" s="79" t="s">
        <v>620</v>
      </c>
      <c r="D269" s="98" t="s">
        <v>18</v>
      </c>
      <c r="E269" s="58">
        <f>9240/1.18/3.5*1.03*1.012</f>
        <v>2332.06</v>
      </c>
      <c r="F269" s="103">
        <v>226</v>
      </c>
      <c r="G269" s="8"/>
    </row>
    <row r="270" spans="1:7" ht="28.5" x14ac:dyDescent="0.2">
      <c r="A270" s="63" t="s">
        <v>219</v>
      </c>
      <c r="B270" s="76" t="s">
        <v>16</v>
      </c>
      <c r="C270" s="102" t="s">
        <v>181</v>
      </c>
      <c r="D270" s="51"/>
      <c r="E270" s="52"/>
      <c r="F270" s="53"/>
      <c r="G270" s="9"/>
    </row>
    <row r="271" spans="1:7" ht="14.45" customHeight="1" x14ac:dyDescent="0.2">
      <c r="A271" s="67"/>
      <c r="B271" s="101"/>
      <c r="C271" s="79" t="s">
        <v>621</v>
      </c>
      <c r="D271" s="98" t="s">
        <v>18</v>
      </c>
      <c r="E271" s="58">
        <f>69000/1.18/3.5*1.03*1.012</f>
        <v>17414.73</v>
      </c>
      <c r="F271" s="103">
        <v>226</v>
      </c>
      <c r="G271" s="8"/>
    </row>
    <row r="272" spans="1:7" ht="28.5" x14ac:dyDescent="0.2">
      <c r="A272" s="63" t="s">
        <v>220</v>
      </c>
      <c r="B272" s="76" t="s">
        <v>16</v>
      </c>
      <c r="C272" s="102" t="s">
        <v>182</v>
      </c>
      <c r="D272" s="51"/>
      <c r="E272" s="52"/>
      <c r="F272" s="53"/>
      <c r="G272" s="9"/>
    </row>
    <row r="273" spans="1:7" ht="14.45" customHeight="1" x14ac:dyDescent="0.2">
      <c r="A273" s="67"/>
      <c r="B273" s="101"/>
      <c r="C273" s="79" t="s">
        <v>622</v>
      </c>
      <c r="D273" s="98" t="s">
        <v>18</v>
      </c>
      <c r="E273" s="58">
        <f>395000/1.18/3.5*1.03*1.012</f>
        <v>99693.03</v>
      </c>
      <c r="F273" s="103">
        <v>226</v>
      </c>
      <c r="G273" s="8"/>
    </row>
    <row r="274" spans="1:7" ht="15.6" customHeight="1" x14ac:dyDescent="0.2">
      <c r="A274" s="63" t="s">
        <v>221</v>
      </c>
      <c r="B274" s="76" t="s">
        <v>16</v>
      </c>
      <c r="C274" s="102" t="s">
        <v>131</v>
      </c>
      <c r="D274" s="80"/>
      <c r="E274" s="52"/>
      <c r="F274" s="53"/>
      <c r="G274" s="9"/>
    </row>
    <row r="275" spans="1:7" ht="14.45" customHeight="1" x14ac:dyDescent="0.2">
      <c r="A275" s="67"/>
      <c r="B275" s="101"/>
      <c r="C275" s="79" t="s">
        <v>623</v>
      </c>
      <c r="D275" s="90" t="s">
        <v>18</v>
      </c>
      <c r="E275" s="85">
        <f>30000/1.18/3.5*1.03*1.012</f>
        <v>7571.62</v>
      </c>
      <c r="F275" s="103">
        <v>226</v>
      </c>
      <c r="G275" s="8"/>
    </row>
    <row r="276" spans="1:7" ht="28.5" x14ac:dyDescent="0.2">
      <c r="A276" s="63" t="s">
        <v>222</v>
      </c>
      <c r="B276" s="76" t="s">
        <v>16</v>
      </c>
      <c r="C276" s="102" t="s">
        <v>132</v>
      </c>
      <c r="D276" s="80"/>
      <c r="E276" s="52"/>
      <c r="F276" s="53"/>
      <c r="G276" s="9"/>
    </row>
    <row r="277" spans="1:7" ht="14.45" customHeight="1" x14ac:dyDescent="0.2">
      <c r="A277" s="67"/>
      <c r="B277" s="101"/>
      <c r="C277" s="79" t="s">
        <v>624</v>
      </c>
      <c r="D277" s="98" t="s">
        <v>18</v>
      </c>
      <c r="E277" s="58">
        <f>15000/1.18/3.5*1.03*1.012</f>
        <v>3785.81</v>
      </c>
      <c r="F277" s="103">
        <v>226</v>
      </c>
      <c r="G277" s="8"/>
    </row>
    <row r="278" spans="1:7" ht="28.5" x14ac:dyDescent="0.2">
      <c r="A278" s="63" t="s">
        <v>223</v>
      </c>
      <c r="B278" s="76" t="s">
        <v>16</v>
      </c>
      <c r="C278" s="102" t="s">
        <v>227</v>
      </c>
      <c r="D278" s="80"/>
      <c r="E278" s="52"/>
      <c r="F278" s="53"/>
      <c r="G278" s="9"/>
    </row>
    <row r="279" spans="1:7" ht="14.45" customHeight="1" x14ac:dyDescent="0.2">
      <c r="A279" s="67"/>
      <c r="B279" s="101"/>
      <c r="C279" s="79" t="s">
        <v>625</v>
      </c>
      <c r="D279" s="90" t="s">
        <v>18</v>
      </c>
      <c r="E279" s="85">
        <f>6500/1.18/3.5*1.03*1.012</f>
        <v>1640.52</v>
      </c>
      <c r="F279" s="103">
        <v>226</v>
      </c>
      <c r="G279" s="8"/>
    </row>
    <row r="280" spans="1:7" ht="37.5" customHeight="1" x14ac:dyDescent="0.2">
      <c r="A280" s="63" t="s">
        <v>224</v>
      </c>
      <c r="B280" s="76" t="s">
        <v>16</v>
      </c>
      <c r="C280" s="102" t="s">
        <v>183</v>
      </c>
      <c r="D280" s="80"/>
      <c r="E280" s="52"/>
      <c r="F280" s="53"/>
      <c r="G280" s="9"/>
    </row>
    <row r="281" spans="1:7" ht="15" customHeight="1" x14ac:dyDescent="0.2">
      <c r="A281" s="82"/>
      <c r="B281" s="101"/>
      <c r="C281" s="79" t="s">
        <v>626</v>
      </c>
      <c r="D281" s="90" t="s">
        <v>18</v>
      </c>
      <c r="E281" s="153">
        <f>606000/1.18/3.5*1.03*1.012</f>
        <v>152946.76999999999</v>
      </c>
      <c r="F281" s="103">
        <v>226</v>
      </c>
      <c r="G281" s="8"/>
    </row>
    <row r="282" spans="1:7" ht="42" customHeight="1" x14ac:dyDescent="0.2">
      <c r="A282" s="104" t="s">
        <v>228</v>
      </c>
      <c r="B282" s="105" t="s">
        <v>421</v>
      </c>
      <c r="C282" s="106" t="s">
        <v>627</v>
      </c>
      <c r="D282" s="107" t="s">
        <v>18</v>
      </c>
      <c r="E282" s="121">
        <f xml:space="preserve"> 123/1.18/3.5*1.03*1.012</f>
        <v>31.04</v>
      </c>
      <c r="F282" s="103">
        <v>227</v>
      </c>
      <c r="G282" s="3"/>
    </row>
    <row r="283" spans="1:7" ht="29.25" x14ac:dyDescent="0.2">
      <c r="A283" s="104" t="s">
        <v>229</v>
      </c>
      <c r="B283" s="107" t="s">
        <v>16</v>
      </c>
      <c r="C283" s="106" t="s">
        <v>555</v>
      </c>
      <c r="D283" s="107" t="s">
        <v>18</v>
      </c>
      <c r="E283" s="121">
        <f>163/1.18/3.5*1.03*1.012</f>
        <v>41.14</v>
      </c>
      <c r="F283" s="103">
        <v>228</v>
      </c>
      <c r="G283" s="3"/>
    </row>
    <row r="284" spans="1:7" ht="29.25" x14ac:dyDescent="0.2">
      <c r="A284" s="104" t="s">
        <v>230</v>
      </c>
      <c r="B284" s="107" t="s">
        <v>16</v>
      </c>
      <c r="C284" s="106" t="s">
        <v>628</v>
      </c>
      <c r="D284" s="107" t="s">
        <v>18</v>
      </c>
      <c r="E284" s="121">
        <f>536.9/1.18/3.5*1.03*1.012</f>
        <v>135.51</v>
      </c>
      <c r="F284" s="103">
        <v>228</v>
      </c>
      <c r="G284" s="3"/>
    </row>
    <row r="285" spans="1:7" ht="30" x14ac:dyDescent="0.2">
      <c r="A285" s="104" t="s">
        <v>231</v>
      </c>
      <c r="B285" s="107" t="s">
        <v>16</v>
      </c>
      <c r="C285" s="106" t="s">
        <v>629</v>
      </c>
      <c r="D285" s="107" t="s">
        <v>18</v>
      </c>
      <c r="E285" s="121">
        <f>1257.88/1.18/3.5*1.03*1.012</f>
        <v>317.47000000000003</v>
      </c>
      <c r="F285" s="103">
        <v>229</v>
      </c>
      <c r="G285" s="3"/>
    </row>
    <row r="286" spans="1:7" ht="30" x14ac:dyDescent="0.2">
      <c r="A286" s="104" t="s">
        <v>232</v>
      </c>
      <c r="B286" s="107" t="s">
        <v>16</v>
      </c>
      <c r="C286" s="106" t="s">
        <v>556</v>
      </c>
      <c r="D286" s="107" t="s">
        <v>18</v>
      </c>
      <c r="E286" s="121">
        <f>1180.25/1.18/3.5*1.03*1.012</f>
        <v>297.88</v>
      </c>
      <c r="F286" s="103">
        <v>230</v>
      </c>
      <c r="G286" s="3"/>
    </row>
    <row r="287" spans="1:7" ht="30" x14ac:dyDescent="0.2">
      <c r="A287" s="104" t="s">
        <v>233</v>
      </c>
      <c r="B287" s="107" t="s">
        <v>16</v>
      </c>
      <c r="C287" s="106" t="s">
        <v>630</v>
      </c>
      <c r="D287" s="107" t="s">
        <v>18</v>
      </c>
      <c r="E287" s="121">
        <f>2423.72/1.18/3.5*1.03*1.012</f>
        <v>611.72</v>
      </c>
      <c r="F287" s="103">
        <v>229</v>
      </c>
      <c r="G287" s="3"/>
    </row>
    <row r="288" spans="1:7" ht="41.25" customHeight="1" x14ac:dyDescent="0.2">
      <c r="A288" s="104" t="s">
        <v>234</v>
      </c>
      <c r="B288" s="105" t="s">
        <v>422</v>
      </c>
      <c r="C288" s="106" t="s">
        <v>557</v>
      </c>
      <c r="D288" s="107" t="s">
        <v>134</v>
      </c>
      <c r="E288" s="121">
        <f>15.98/1.18/5.81*1.02*1.03</f>
        <v>2.4500000000000002</v>
      </c>
      <c r="F288" s="103">
        <v>231</v>
      </c>
      <c r="G288" s="3"/>
    </row>
    <row r="289" spans="1:7" ht="40.5" customHeight="1" x14ac:dyDescent="0.2">
      <c r="A289" s="104" t="s">
        <v>235</v>
      </c>
      <c r="B289" s="105" t="s">
        <v>423</v>
      </c>
      <c r="C289" s="106" t="s">
        <v>649</v>
      </c>
      <c r="D289" s="107" t="s">
        <v>134</v>
      </c>
      <c r="E289" s="121">
        <f>12.78/1.18/5.81*1.02*1.03</f>
        <v>1.96</v>
      </c>
      <c r="F289" s="103">
        <v>196</v>
      </c>
      <c r="G289" s="3"/>
    </row>
    <row r="290" spans="1:7" ht="27.75" customHeight="1" x14ac:dyDescent="0.2">
      <c r="A290" s="104" t="s">
        <v>345</v>
      </c>
      <c r="B290" s="105" t="s">
        <v>424</v>
      </c>
      <c r="C290" s="106" t="s">
        <v>631</v>
      </c>
      <c r="D290" s="107" t="s">
        <v>18</v>
      </c>
      <c r="E290" s="121">
        <f>17000/1.18/3.5*1.03*1.012</f>
        <v>4290.59</v>
      </c>
      <c r="F290" s="103">
        <v>232</v>
      </c>
      <c r="G290" s="3"/>
    </row>
    <row r="291" spans="1:7" ht="27.75" customHeight="1" x14ac:dyDescent="0.2">
      <c r="A291" s="63" t="s">
        <v>236</v>
      </c>
      <c r="B291" s="49" t="s">
        <v>425</v>
      </c>
      <c r="C291" s="65" t="s">
        <v>558</v>
      </c>
      <c r="D291" s="80" t="s">
        <v>18</v>
      </c>
      <c r="E291" s="88">
        <f>1030/1.18/3.5*1.03*1.012</f>
        <v>259.95999999999998</v>
      </c>
      <c r="F291" s="103">
        <v>233</v>
      </c>
      <c r="G291" s="3"/>
    </row>
    <row r="292" spans="1:7" ht="27.75" customHeight="1" x14ac:dyDescent="0.2">
      <c r="A292" s="104" t="s">
        <v>237</v>
      </c>
      <c r="B292" s="105" t="s">
        <v>426</v>
      </c>
      <c r="C292" s="106" t="s">
        <v>559</v>
      </c>
      <c r="D292" s="107" t="s">
        <v>18</v>
      </c>
      <c r="E292" s="121">
        <f>57114/1.18/3.5*1.03*1.012</f>
        <v>14414.85</v>
      </c>
      <c r="F292" s="103">
        <v>234</v>
      </c>
      <c r="G292" s="3"/>
    </row>
    <row r="293" spans="1:7" ht="27.75" customHeight="1" x14ac:dyDescent="0.2">
      <c r="A293" s="104" t="s">
        <v>346</v>
      </c>
      <c r="B293" s="105" t="s">
        <v>427</v>
      </c>
      <c r="C293" s="106" t="s">
        <v>560</v>
      </c>
      <c r="D293" s="107" t="s">
        <v>18</v>
      </c>
      <c r="E293" s="121">
        <f>177631.8/1.18/3.5*1.03*1.012</f>
        <v>44832.03</v>
      </c>
      <c r="F293" s="103">
        <v>235</v>
      </c>
      <c r="G293" s="3"/>
    </row>
    <row r="294" spans="1:7" ht="27.75" customHeight="1" x14ac:dyDescent="0.2">
      <c r="A294" s="104" t="s">
        <v>238</v>
      </c>
      <c r="B294" s="105" t="s">
        <v>421</v>
      </c>
      <c r="C294" s="106" t="s">
        <v>561</v>
      </c>
      <c r="D294" s="107" t="s">
        <v>18</v>
      </c>
      <c r="E294" s="121">
        <f>2610.41/1.18/3.5*1.03*1.012</f>
        <v>658.83</v>
      </c>
      <c r="F294" s="103">
        <v>229</v>
      </c>
      <c r="G294" s="3"/>
    </row>
    <row r="295" spans="1:7" ht="27.75" customHeight="1" x14ac:dyDescent="0.2">
      <c r="A295" s="104" t="s">
        <v>239</v>
      </c>
      <c r="B295" s="105" t="s">
        <v>428</v>
      </c>
      <c r="C295" s="106" t="s">
        <v>562</v>
      </c>
      <c r="D295" s="107" t="s">
        <v>18</v>
      </c>
      <c r="E295" s="121">
        <f>2311/5.81/1.18*1.02*1.03</f>
        <v>354.14</v>
      </c>
      <c r="F295" s="103">
        <v>236</v>
      </c>
      <c r="G295" s="3"/>
    </row>
    <row r="296" spans="1:7" ht="27.75" customHeight="1" x14ac:dyDescent="0.2">
      <c r="A296" s="104" t="s">
        <v>240</v>
      </c>
      <c r="B296" s="120" t="s">
        <v>429</v>
      </c>
      <c r="C296" s="106" t="s">
        <v>563</v>
      </c>
      <c r="D296" s="107" t="s">
        <v>18</v>
      </c>
      <c r="E296" s="121">
        <f>916.99/5.81/1.18*1.02*1.03</f>
        <v>140.52000000000001</v>
      </c>
      <c r="F296" s="103" t="s">
        <v>320</v>
      </c>
      <c r="G296" s="3"/>
    </row>
    <row r="297" spans="1:7" ht="27.75" customHeight="1" x14ac:dyDescent="0.2">
      <c r="A297" s="104" t="s">
        <v>241</v>
      </c>
      <c r="B297" s="107" t="s">
        <v>16</v>
      </c>
      <c r="C297" s="106" t="s">
        <v>564</v>
      </c>
      <c r="D297" s="107" t="s">
        <v>18</v>
      </c>
      <c r="E297" s="121">
        <f>579.94/5.81/1.18*1.02*1.03</f>
        <v>88.87</v>
      </c>
      <c r="F297" s="103">
        <v>237</v>
      </c>
      <c r="G297" s="3"/>
    </row>
    <row r="298" spans="1:7" ht="27.75" customHeight="1" x14ac:dyDescent="0.2">
      <c r="A298" s="104" t="s">
        <v>242</v>
      </c>
      <c r="B298" s="107" t="s">
        <v>16</v>
      </c>
      <c r="C298" s="106" t="s">
        <v>565</v>
      </c>
      <c r="D298" s="107" t="s">
        <v>18</v>
      </c>
      <c r="E298" s="121">
        <f>604.15/5.81/1.18*1.02*1.03</f>
        <v>92.58</v>
      </c>
      <c r="F298" s="103">
        <v>237</v>
      </c>
      <c r="G298" s="3"/>
    </row>
    <row r="299" spans="1:7" ht="27.75" customHeight="1" x14ac:dyDescent="0.2">
      <c r="A299" s="104" t="s">
        <v>243</v>
      </c>
      <c r="B299" s="107" t="s">
        <v>16</v>
      </c>
      <c r="C299" s="106" t="s">
        <v>566</v>
      </c>
      <c r="D299" s="107" t="s">
        <v>18</v>
      </c>
      <c r="E299" s="121">
        <f>490.78/5.81/1.18*1.02*1.03</f>
        <v>75.209999999999994</v>
      </c>
      <c r="F299" s="103">
        <v>237</v>
      </c>
      <c r="G299" s="3"/>
    </row>
    <row r="300" spans="1:7" ht="27.75" customHeight="1" x14ac:dyDescent="0.2">
      <c r="A300" s="104" t="s">
        <v>244</v>
      </c>
      <c r="B300" s="107" t="s">
        <v>16</v>
      </c>
      <c r="C300" s="106" t="s">
        <v>567</v>
      </c>
      <c r="D300" s="107" t="s">
        <v>18</v>
      </c>
      <c r="E300" s="121">
        <f>651.04/5.81/1.18*1.02*1.03</f>
        <v>99.77</v>
      </c>
      <c r="F300" s="103">
        <v>237</v>
      </c>
      <c r="G300" s="3"/>
    </row>
    <row r="301" spans="1:7" ht="27.75" customHeight="1" x14ac:dyDescent="0.2">
      <c r="A301" s="104" t="s">
        <v>245</v>
      </c>
      <c r="B301" s="105" t="s">
        <v>428</v>
      </c>
      <c r="C301" s="106" t="s">
        <v>568</v>
      </c>
      <c r="D301" s="107" t="s">
        <v>18</v>
      </c>
      <c r="E301" s="121">
        <f>450/5.81/1.18*1.02*1.03</f>
        <v>68.959999999999994</v>
      </c>
      <c r="F301" s="103">
        <v>238</v>
      </c>
      <c r="G301" s="3"/>
    </row>
    <row r="302" spans="1:7" ht="27.75" customHeight="1" x14ac:dyDescent="0.2">
      <c r="A302" s="104" t="s">
        <v>246</v>
      </c>
      <c r="B302" s="105" t="s">
        <v>428</v>
      </c>
      <c r="C302" s="106" t="s">
        <v>569</v>
      </c>
      <c r="D302" s="107" t="s">
        <v>18</v>
      </c>
      <c r="E302" s="121">
        <f>340/5.81/1.18*1.02*1.03</f>
        <v>52.1</v>
      </c>
      <c r="F302" s="103">
        <v>238</v>
      </c>
      <c r="G302" s="3"/>
    </row>
    <row r="303" spans="1:7" ht="27.75" customHeight="1" x14ac:dyDescent="0.2">
      <c r="A303" s="104" t="s">
        <v>247</v>
      </c>
      <c r="B303" s="120" t="s">
        <v>429</v>
      </c>
      <c r="C303" s="106" t="s">
        <v>570</v>
      </c>
      <c r="D303" s="107" t="s">
        <v>18</v>
      </c>
      <c r="E303" s="121">
        <f>144.89/5.81/1.18*1.02*1.03</f>
        <v>22.2</v>
      </c>
      <c r="F303" s="103">
        <v>237</v>
      </c>
      <c r="G303" s="3"/>
    </row>
    <row r="304" spans="1:7" ht="27.75" customHeight="1" x14ac:dyDescent="0.2">
      <c r="A304" s="104" t="s">
        <v>248</v>
      </c>
      <c r="B304" s="107" t="s">
        <v>16</v>
      </c>
      <c r="C304" s="106" t="s">
        <v>571</v>
      </c>
      <c r="D304" s="107" t="s">
        <v>18</v>
      </c>
      <c r="E304" s="121">
        <f>144.89/5.81/1.18*1.02*1.03</f>
        <v>22.2</v>
      </c>
      <c r="F304" s="103">
        <v>237</v>
      </c>
      <c r="G304" s="3"/>
    </row>
    <row r="305" spans="1:7" ht="27.75" customHeight="1" x14ac:dyDescent="0.2">
      <c r="A305" s="104" t="s">
        <v>249</v>
      </c>
      <c r="B305" s="107" t="s">
        <v>16</v>
      </c>
      <c r="C305" s="106" t="s">
        <v>572</v>
      </c>
      <c r="D305" s="107" t="s">
        <v>18</v>
      </c>
      <c r="E305" s="121">
        <f>179.09/5.81/1.18*1.02*1.03</f>
        <v>27.44</v>
      </c>
      <c r="F305" s="103">
        <v>237</v>
      </c>
      <c r="G305" s="3"/>
    </row>
    <row r="306" spans="1:7" ht="27.75" customHeight="1" x14ac:dyDescent="0.2">
      <c r="A306" s="104" t="s">
        <v>250</v>
      </c>
      <c r="B306" s="107" t="s">
        <v>16</v>
      </c>
      <c r="C306" s="106" t="s">
        <v>573</v>
      </c>
      <c r="D306" s="107" t="s">
        <v>18</v>
      </c>
      <c r="E306" s="121">
        <f>1096.47/5.81/1.18*1.02*1.03</f>
        <v>168.03</v>
      </c>
      <c r="F306" s="103" t="s">
        <v>321</v>
      </c>
      <c r="G306" s="3"/>
    </row>
    <row r="307" spans="1:7" ht="27.75" customHeight="1" x14ac:dyDescent="0.2">
      <c r="A307" s="104" t="s">
        <v>251</v>
      </c>
      <c r="B307" s="105" t="s">
        <v>375</v>
      </c>
      <c r="C307" s="106" t="s">
        <v>574</v>
      </c>
      <c r="D307" s="107" t="s">
        <v>134</v>
      </c>
      <c r="E307" s="121">
        <f>39.28/5.81/1.18*1.02*1.03</f>
        <v>6.02</v>
      </c>
      <c r="F307" s="103">
        <v>199</v>
      </c>
      <c r="G307" s="3"/>
    </row>
    <row r="308" spans="1:7" ht="37.5" customHeight="1" x14ac:dyDescent="0.2">
      <c r="A308" s="104" t="s">
        <v>252</v>
      </c>
      <c r="B308" s="107" t="s">
        <v>16</v>
      </c>
      <c r="C308" s="106" t="s">
        <v>575</v>
      </c>
      <c r="D308" s="107" t="s">
        <v>134</v>
      </c>
      <c r="E308" s="121">
        <f>39.28/5.81/1.18*1.02*1.03</f>
        <v>6.02</v>
      </c>
      <c r="F308" s="103">
        <v>198</v>
      </c>
      <c r="G308" s="3"/>
    </row>
    <row r="309" spans="1:7" ht="30" x14ac:dyDescent="0.2">
      <c r="A309" s="104" t="s">
        <v>253</v>
      </c>
      <c r="B309" s="105" t="s">
        <v>375</v>
      </c>
      <c r="C309" s="106" t="s">
        <v>576</v>
      </c>
      <c r="D309" s="107" t="s">
        <v>18</v>
      </c>
      <c r="E309" s="121">
        <f>541.2/5.81/1.18*1.02*1.03</f>
        <v>82.93</v>
      </c>
      <c r="F309" s="103">
        <v>203</v>
      </c>
      <c r="G309" s="3"/>
    </row>
    <row r="310" spans="1:7" ht="31.9" customHeight="1" x14ac:dyDescent="0.2">
      <c r="A310" s="104" t="s">
        <v>254</v>
      </c>
      <c r="B310" s="105" t="s">
        <v>430</v>
      </c>
      <c r="C310" s="106" t="s">
        <v>632</v>
      </c>
      <c r="D310" s="107" t="s">
        <v>18</v>
      </c>
      <c r="E310" s="121">
        <f>4000/5.81/1.18*1.02*1.03</f>
        <v>612.97</v>
      </c>
      <c r="F310" s="103">
        <v>244</v>
      </c>
      <c r="G310" s="3"/>
    </row>
    <row r="311" spans="1:7" ht="31.9" customHeight="1" x14ac:dyDescent="0.2">
      <c r="A311" s="104" t="s">
        <v>255</v>
      </c>
      <c r="B311" s="105" t="s">
        <v>375</v>
      </c>
      <c r="C311" s="106" t="s">
        <v>577</v>
      </c>
      <c r="D311" s="107" t="s">
        <v>18</v>
      </c>
      <c r="E311" s="121">
        <f>262.5/5.81/1.18*1.02*1.03</f>
        <v>40.229999999999997</v>
      </c>
      <c r="F311" s="103">
        <v>204</v>
      </c>
      <c r="G311" s="3"/>
    </row>
    <row r="312" spans="1:7" ht="31.9" customHeight="1" x14ac:dyDescent="0.2">
      <c r="A312" s="104" t="s">
        <v>256</v>
      </c>
      <c r="B312" s="105" t="s">
        <v>375</v>
      </c>
      <c r="C312" s="106" t="s">
        <v>578</v>
      </c>
      <c r="D312" s="107" t="s">
        <v>18</v>
      </c>
      <c r="E312" s="121">
        <f>150.94/5.81/1.18*1.03*1.02</f>
        <v>23.13</v>
      </c>
      <c r="F312" s="103">
        <v>204</v>
      </c>
      <c r="G312" s="3"/>
    </row>
    <row r="313" spans="1:7" ht="31.9" customHeight="1" x14ac:dyDescent="0.2">
      <c r="A313" s="104" t="s">
        <v>257</v>
      </c>
      <c r="B313" s="105" t="s">
        <v>431</v>
      </c>
      <c r="C313" s="106" t="s">
        <v>579</v>
      </c>
      <c r="D313" s="107" t="s">
        <v>18</v>
      </c>
      <c r="E313" s="121">
        <f>2200/5.81/1.18*1.02*1.03</f>
        <v>337.13</v>
      </c>
      <c r="F313" s="103">
        <v>245</v>
      </c>
      <c r="G313" s="3"/>
    </row>
    <row r="314" spans="1:7" ht="31.9" customHeight="1" x14ac:dyDescent="0.2">
      <c r="A314" s="104" t="s">
        <v>258</v>
      </c>
      <c r="B314" s="105" t="s">
        <v>432</v>
      </c>
      <c r="C314" s="106" t="s">
        <v>633</v>
      </c>
      <c r="D314" s="107" t="s">
        <v>18</v>
      </c>
      <c r="E314" s="121">
        <f>41000/1.18/3.5*1.03*1.012</f>
        <v>10347.879999999999</v>
      </c>
      <c r="F314" s="103">
        <v>246</v>
      </c>
      <c r="G314" s="3"/>
    </row>
    <row r="315" spans="1:7" ht="33" customHeight="1" x14ac:dyDescent="0.2">
      <c r="A315" s="104" t="s">
        <v>259</v>
      </c>
      <c r="B315" s="105" t="s">
        <v>433</v>
      </c>
      <c r="C315" s="106" t="s">
        <v>634</v>
      </c>
      <c r="D315" s="107" t="s">
        <v>18</v>
      </c>
      <c r="E315" s="121">
        <f>22520/1.18/3.5*1.03*1.012</f>
        <v>5683.76</v>
      </c>
      <c r="F315" s="103">
        <v>247</v>
      </c>
      <c r="G315" s="3"/>
    </row>
    <row r="316" spans="1:7" ht="33" customHeight="1" x14ac:dyDescent="0.2">
      <c r="A316" s="104" t="s">
        <v>260</v>
      </c>
      <c r="B316" s="107" t="s">
        <v>16</v>
      </c>
      <c r="C316" s="106" t="s">
        <v>635</v>
      </c>
      <c r="D316" s="107" t="s">
        <v>18</v>
      </c>
      <c r="E316" s="121">
        <f>30890/1.18/3.5*1.03*1.012</f>
        <v>7796.25</v>
      </c>
      <c r="F316" s="103">
        <v>252</v>
      </c>
      <c r="G316" s="3"/>
    </row>
    <row r="317" spans="1:7" ht="33" customHeight="1" x14ac:dyDescent="0.2">
      <c r="A317" s="104" t="s">
        <v>261</v>
      </c>
      <c r="B317" s="105" t="s">
        <v>434</v>
      </c>
      <c r="C317" s="106" t="s">
        <v>636</v>
      </c>
      <c r="D317" s="107" t="s">
        <v>18</v>
      </c>
      <c r="E317" s="121">
        <f>7608/1.18/3.5*1.03*1.012</f>
        <v>1920.16</v>
      </c>
      <c r="F317" s="103">
        <v>253</v>
      </c>
      <c r="G317" s="3"/>
    </row>
    <row r="318" spans="1:7" ht="31.15" customHeight="1" x14ac:dyDescent="0.2">
      <c r="A318" s="104" t="s">
        <v>262</v>
      </c>
      <c r="B318" s="105" t="s">
        <v>435</v>
      </c>
      <c r="C318" s="106" t="s">
        <v>637</v>
      </c>
      <c r="D318" s="107" t="s">
        <v>18</v>
      </c>
      <c r="E318" s="121">
        <f>5490/1.18/3.5*1.03*1.012</f>
        <v>1385.61</v>
      </c>
      <c r="F318" s="103" t="s">
        <v>383</v>
      </c>
      <c r="G318" s="3"/>
    </row>
    <row r="319" spans="1:7" ht="43.5" x14ac:dyDescent="0.2">
      <c r="A319" s="104" t="s">
        <v>263</v>
      </c>
      <c r="B319" s="105" t="s">
        <v>436</v>
      </c>
      <c r="C319" s="106" t="s">
        <v>638</v>
      </c>
      <c r="D319" s="107" t="s">
        <v>18</v>
      </c>
      <c r="E319" s="121">
        <f>6400/1.18/3.5*1.03*1.012</f>
        <v>1615.28</v>
      </c>
      <c r="F319" s="103">
        <v>254</v>
      </c>
    </row>
    <row r="320" spans="1:7" ht="32.450000000000003" customHeight="1" x14ac:dyDescent="0.2">
      <c r="A320" s="104" t="s">
        <v>264</v>
      </c>
      <c r="B320" s="105" t="s">
        <v>435</v>
      </c>
      <c r="C320" s="106" t="s">
        <v>639</v>
      </c>
      <c r="D320" s="107" t="s">
        <v>18</v>
      </c>
      <c r="E320" s="121">
        <f>24350/1.18/3.5*1.03*1.012</f>
        <v>6145.63</v>
      </c>
      <c r="F320" s="103">
        <v>255</v>
      </c>
      <c r="G320" s="3"/>
    </row>
    <row r="321" spans="1:7" ht="29.25" x14ac:dyDescent="0.2">
      <c r="A321" s="104" t="s">
        <v>265</v>
      </c>
      <c r="B321" s="107" t="s">
        <v>16</v>
      </c>
      <c r="C321" s="106" t="s">
        <v>640</v>
      </c>
      <c r="D321" s="107" t="s">
        <v>18</v>
      </c>
      <c r="E321" s="121">
        <f>7170/1.18/3.5*1.03*1.012</f>
        <v>1809.62</v>
      </c>
      <c r="F321" s="103">
        <v>256</v>
      </c>
      <c r="G321" s="3"/>
    </row>
    <row r="322" spans="1:7" ht="29.25" x14ac:dyDescent="0.2">
      <c r="A322" s="104" t="s">
        <v>266</v>
      </c>
      <c r="B322" s="107" t="s">
        <v>16</v>
      </c>
      <c r="C322" s="106" t="s">
        <v>580</v>
      </c>
      <c r="D322" s="107" t="s">
        <v>18</v>
      </c>
      <c r="E322" s="121">
        <f>6210/1.18/3.5*1.03*1.012</f>
        <v>1567.33</v>
      </c>
      <c r="F322" s="103">
        <v>257</v>
      </c>
      <c r="G322" s="3"/>
    </row>
    <row r="323" spans="1:7" ht="29.25" x14ac:dyDescent="0.2">
      <c r="A323" s="104" t="s">
        <v>267</v>
      </c>
      <c r="B323" s="105" t="s">
        <v>421</v>
      </c>
      <c r="C323" s="106" t="s">
        <v>581</v>
      </c>
      <c r="D323" s="107" t="s">
        <v>18</v>
      </c>
      <c r="E323" s="121">
        <f>268.88/1.18/3.5*1.03*1.012</f>
        <v>67.86</v>
      </c>
      <c r="F323" s="103" t="s">
        <v>322</v>
      </c>
    </row>
    <row r="324" spans="1:7" ht="44.25" x14ac:dyDescent="0.2">
      <c r="A324" s="104" t="s">
        <v>268</v>
      </c>
      <c r="B324" s="107" t="s">
        <v>16</v>
      </c>
      <c r="C324" s="106" t="s">
        <v>641</v>
      </c>
      <c r="D324" s="107" t="s">
        <v>18</v>
      </c>
      <c r="E324" s="121">
        <f>31.24/1.18/3.5*1.03*1.012</f>
        <v>7.88</v>
      </c>
      <c r="F324" s="103" t="s">
        <v>323</v>
      </c>
    </row>
    <row r="325" spans="1:7" ht="29.25" x14ac:dyDescent="0.2">
      <c r="A325" s="104" t="s">
        <v>269</v>
      </c>
      <c r="B325" s="107" t="s">
        <v>16</v>
      </c>
      <c r="C325" s="106" t="s">
        <v>582</v>
      </c>
      <c r="D325" s="107" t="s">
        <v>18</v>
      </c>
      <c r="E325" s="121">
        <f>22.14/1.18/3.5*1.03*1.012</f>
        <v>5.59</v>
      </c>
      <c r="F325" s="103" t="s">
        <v>324</v>
      </c>
    </row>
    <row r="326" spans="1:7" ht="34.9" customHeight="1" x14ac:dyDescent="0.2">
      <c r="A326" s="104" t="s">
        <v>289</v>
      </c>
      <c r="B326" s="105" t="s">
        <v>437</v>
      </c>
      <c r="C326" s="131" t="s">
        <v>583</v>
      </c>
      <c r="D326" s="107" t="s">
        <v>18</v>
      </c>
      <c r="E326" s="121">
        <f>21664.34/1.18/3.5*1.03*1.012</f>
        <v>5467.81</v>
      </c>
      <c r="F326" s="108">
        <v>248</v>
      </c>
      <c r="G326" s="3"/>
    </row>
    <row r="327" spans="1:7" ht="34.9" customHeight="1" x14ac:dyDescent="0.2">
      <c r="A327" s="104" t="s">
        <v>290</v>
      </c>
      <c r="B327" s="107" t="s">
        <v>16</v>
      </c>
      <c r="C327" s="131" t="s">
        <v>584</v>
      </c>
      <c r="D327" s="107" t="s">
        <v>18</v>
      </c>
      <c r="E327" s="121">
        <f>2020/1.18/3.5*1.03*1.012</f>
        <v>509.82</v>
      </c>
      <c r="F327" s="108">
        <v>248</v>
      </c>
      <c r="G327" s="3"/>
    </row>
    <row r="328" spans="1:7" ht="34.9" customHeight="1" x14ac:dyDescent="0.2">
      <c r="A328" s="104" t="s">
        <v>291</v>
      </c>
      <c r="B328" s="107" t="s">
        <v>16</v>
      </c>
      <c r="C328" s="131" t="s">
        <v>585</v>
      </c>
      <c r="D328" s="107" t="s">
        <v>18</v>
      </c>
      <c r="E328" s="121">
        <f>2954.77/1.18/3.5*1.03*1.012</f>
        <v>745.75</v>
      </c>
      <c r="F328" s="108">
        <v>248</v>
      </c>
      <c r="G328" s="3"/>
    </row>
    <row r="329" spans="1:7" ht="34.9" customHeight="1" x14ac:dyDescent="0.2">
      <c r="A329" s="104" t="s">
        <v>292</v>
      </c>
      <c r="B329" s="107" t="s">
        <v>16</v>
      </c>
      <c r="C329" s="131" t="s">
        <v>586</v>
      </c>
      <c r="D329" s="107" t="s">
        <v>18</v>
      </c>
      <c r="E329" s="121">
        <f>1018.39/1.18/3.5*1.03*1.012</f>
        <v>257.02999999999997</v>
      </c>
      <c r="F329" s="108">
        <v>248</v>
      </c>
      <c r="G329" s="3"/>
    </row>
    <row r="330" spans="1:7" ht="34.9" customHeight="1" x14ac:dyDescent="0.2">
      <c r="A330" s="104" t="s">
        <v>293</v>
      </c>
      <c r="B330" s="107" t="s">
        <v>16</v>
      </c>
      <c r="C330" s="131" t="s">
        <v>642</v>
      </c>
      <c r="D330" s="107" t="s">
        <v>18</v>
      </c>
      <c r="E330" s="121">
        <f>86.94/1.18/3.5*1.03*1.012</f>
        <v>21.94</v>
      </c>
      <c r="F330" s="108">
        <v>248</v>
      </c>
      <c r="G330" s="3"/>
    </row>
    <row r="331" spans="1:7" ht="31.15" customHeight="1" x14ac:dyDescent="0.2">
      <c r="A331" s="104" t="s">
        <v>294</v>
      </c>
      <c r="B331" s="105" t="s">
        <v>438</v>
      </c>
      <c r="C331" s="131" t="s">
        <v>648</v>
      </c>
      <c r="D331" s="107" t="s">
        <v>18</v>
      </c>
      <c r="E331" s="121">
        <f>45230/1.18/3.5*1.03*1.012</f>
        <v>11415.48</v>
      </c>
      <c r="F331" s="108" t="s">
        <v>304</v>
      </c>
      <c r="G331" s="13"/>
    </row>
    <row r="332" spans="1:7" ht="31.15" customHeight="1" x14ac:dyDescent="0.2">
      <c r="A332" s="104" t="s">
        <v>295</v>
      </c>
      <c r="B332" s="105" t="s">
        <v>439</v>
      </c>
      <c r="C332" s="131" t="s">
        <v>587</v>
      </c>
      <c r="D332" s="107" t="s">
        <v>18</v>
      </c>
      <c r="E332" s="121">
        <f>178770/1.18/3.5*1.03*1.012</f>
        <v>45119.3</v>
      </c>
      <c r="F332" s="108">
        <v>258</v>
      </c>
      <c r="G332" s="3"/>
    </row>
    <row r="333" spans="1:7" ht="31.15" customHeight="1" x14ac:dyDescent="0.2">
      <c r="A333" s="104" t="s">
        <v>296</v>
      </c>
      <c r="B333" s="107" t="s">
        <v>16</v>
      </c>
      <c r="C333" s="131" t="s">
        <v>588</v>
      </c>
      <c r="D333" s="107" t="s">
        <v>18</v>
      </c>
      <c r="E333" s="121">
        <f>696.5/1.18/3.5*1.03*1.012</f>
        <v>175.79</v>
      </c>
      <c r="F333" s="108">
        <v>259</v>
      </c>
      <c r="G333" s="3"/>
    </row>
    <row r="334" spans="1:7" ht="31.15" customHeight="1" x14ac:dyDescent="0.2">
      <c r="A334" s="104" t="s">
        <v>297</v>
      </c>
      <c r="B334" s="105" t="s">
        <v>437</v>
      </c>
      <c r="C334" s="131" t="s">
        <v>589</v>
      </c>
      <c r="D334" s="107" t="s">
        <v>18</v>
      </c>
      <c r="E334" s="121">
        <f>1331.654/1.18/3.5*1.03*1.012</f>
        <v>336.09</v>
      </c>
      <c r="F334" s="108">
        <v>249</v>
      </c>
      <c r="G334" s="3"/>
    </row>
    <row r="335" spans="1:7" ht="31.15" customHeight="1" x14ac:dyDescent="0.2">
      <c r="A335" s="104" t="s">
        <v>298</v>
      </c>
      <c r="B335" s="107" t="s">
        <v>16</v>
      </c>
      <c r="C335" s="131" t="s">
        <v>590</v>
      </c>
      <c r="D335" s="107" t="s">
        <v>18</v>
      </c>
      <c r="E335" s="121">
        <f>987.63/3.5*1.03*1.012</f>
        <v>294.13</v>
      </c>
      <c r="F335" s="108">
        <v>141</v>
      </c>
      <c r="G335" s="3"/>
    </row>
    <row r="336" spans="1:7" ht="43.5" x14ac:dyDescent="0.2">
      <c r="A336" s="104" t="s">
        <v>299</v>
      </c>
      <c r="B336" s="105" t="s">
        <v>423</v>
      </c>
      <c r="C336" s="131" t="s">
        <v>643</v>
      </c>
      <c r="D336" s="107" t="s">
        <v>18</v>
      </c>
      <c r="E336" s="121">
        <f>5920/1.18/3.5*1.03*1.012</f>
        <v>1494.13</v>
      </c>
      <c r="F336" s="108">
        <v>261</v>
      </c>
      <c r="G336" s="3"/>
    </row>
    <row r="337" spans="1:7" ht="30" x14ac:dyDescent="0.2">
      <c r="A337" s="104" t="s">
        <v>300</v>
      </c>
      <c r="B337" s="105" t="s">
        <v>440</v>
      </c>
      <c r="C337" s="131" t="s">
        <v>591</v>
      </c>
      <c r="D337" s="107" t="s">
        <v>18</v>
      </c>
      <c r="E337" s="121">
        <f>990/1.18/3.5*1.03*1.012</f>
        <v>249.86</v>
      </c>
      <c r="F337" s="108">
        <v>213</v>
      </c>
      <c r="G337" s="3"/>
    </row>
    <row r="338" spans="1:7" ht="30" x14ac:dyDescent="0.2">
      <c r="A338" s="104" t="s">
        <v>301</v>
      </c>
      <c r="B338" s="105" t="s">
        <v>441</v>
      </c>
      <c r="C338" s="131" t="s">
        <v>592</v>
      </c>
      <c r="D338" s="107" t="s">
        <v>18</v>
      </c>
      <c r="E338" s="121">
        <f>3140/1.18/3.5*1.03*1.012</f>
        <v>792.5</v>
      </c>
      <c r="F338" s="108">
        <v>260</v>
      </c>
      <c r="G338" s="3"/>
    </row>
    <row r="339" spans="1:7" ht="43.5" x14ac:dyDescent="0.2">
      <c r="A339" s="104" t="s">
        <v>309</v>
      </c>
      <c r="B339" s="105" t="s">
        <v>442</v>
      </c>
      <c r="C339" s="131" t="s">
        <v>593</v>
      </c>
      <c r="D339" s="107" t="s">
        <v>8</v>
      </c>
      <c r="E339" s="121">
        <f>22450/1.18/3.5*1.03*1.012</f>
        <v>5666.1</v>
      </c>
      <c r="F339" s="108">
        <v>262</v>
      </c>
    </row>
    <row r="340" spans="1:7" ht="44.25" x14ac:dyDescent="0.2">
      <c r="A340" s="104" t="s">
        <v>364</v>
      </c>
      <c r="B340" s="105" t="s">
        <v>366</v>
      </c>
      <c r="C340" s="131" t="s">
        <v>367</v>
      </c>
      <c r="D340" s="107" t="s">
        <v>18</v>
      </c>
      <c r="E340" s="121">
        <f>82038/1.18/3.5*1.03*1.012</f>
        <v>20705.36</v>
      </c>
      <c r="F340" s="108">
        <v>142</v>
      </c>
    </row>
    <row r="341" spans="1:7" ht="73.5" thickBot="1" x14ac:dyDescent="0.25">
      <c r="A341" s="154" t="s">
        <v>361</v>
      </c>
      <c r="B341" s="155" t="s">
        <v>362</v>
      </c>
      <c r="C341" s="155" t="s">
        <v>363</v>
      </c>
      <c r="D341" s="156" t="s">
        <v>18</v>
      </c>
      <c r="E341" s="157">
        <f>23279/1.18/3.5*1.03*1.02</f>
        <v>5921.77</v>
      </c>
      <c r="F341" s="158">
        <v>143</v>
      </c>
    </row>
    <row r="342" spans="1:7" x14ac:dyDescent="0.2">
      <c r="A342" s="159"/>
      <c r="B342" s="160"/>
      <c r="C342" s="160"/>
      <c r="D342" s="161"/>
      <c r="E342" s="110"/>
      <c r="F342" s="162"/>
    </row>
    <row r="343" spans="1:7" x14ac:dyDescent="0.2">
      <c r="A343" s="159"/>
      <c r="B343" s="160"/>
      <c r="C343" s="160"/>
      <c r="D343" s="161"/>
      <c r="E343" s="110"/>
      <c r="F343" s="162"/>
    </row>
    <row r="344" spans="1:7" x14ac:dyDescent="0.2">
      <c r="A344" s="159"/>
      <c r="B344" s="160"/>
      <c r="C344" s="160"/>
      <c r="D344" s="161"/>
      <c r="E344" s="110"/>
      <c r="F344" s="162"/>
    </row>
    <row r="345" spans="1:7" ht="36" customHeight="1" x14ac:dyDescent="0.2">
      <c r="A345" s="163"/>
      <c r="B345" s="164"/>
      <c r="C345" s="102" t="s">
        <v>653</v>
      </c>
      <c r="D345" s="102"/>
      <c r="E345" s="110"/>
    </row>
    <row r="346" spans="1:7" ht="22.5" customHeight="1" x14ac:dyDescent="0.2">
      <c r="A346" s="163"/>
      <c r="B346" s="164"/>
      <c r="D346" s="102"/>
      <c r="E346" s="110"/>
    </row>
    <row r="347" spans="1:7" ht="25.5" customHeight="1" x14ac:dyDescent="0.2">
      <c r="C347" s="102" t="s">
        <v>654</v>
      </c>
    </row>
    <row r="348" spans="1:7" ht="18.75" customHeight="1" x14ac:dyDescent="0.2"/>
  </sheetData>
  <mergeCells count="50">
    <mergeCell ref="K110:L115"/>
    <mergeCell ref="C22:C23"/>
    <mergeCell ref="B25:B26"/>
    <mergeCell ref="B27:B28"/>
    <mergeCell ref="B29:B30"/>
    <mergeCell ref="B37:B38"/>
    <mergeCell ref="B43:B44"/>
    <mergeCell ref="F181:F182"/>
    <mergeCell ref="F183:F184"/>
    <mergeCell ref="B55:B56"/>
    <mergeCell ref="B65:B66"/>
    <mergeCell ref="B68:C68"/>
    <mergeCell ref="B95:B96"/>
    <mergeCell ref="B108:B109"/>
    <mergeCell ref="B193:B194"/>
    <mergeCell ref="B117:C117"/>
    <mergeCell ref="B130:B131"/>
    <mergeCell ref="B152:B153"/>
    <mergeCell ref="B180:C180"/>
    <mergeCell ref="F185:F186"/>
    <mergeCell ref="F187:F188"/>
    <mergeCell ref="F189:F190"/>
    <mergeCell ref="B191:B192"/>
    <mergeCell ref="F191:F192"/>
    <mergeCell ref="B232:B233"/>
    <mergeCell ref="B268:B269"/>
    <mergeCell ref="A4:F4"/>
    <mergeCell ref="D5:F5"/>
    <mergeCell ref="B6:C6"/>
    <mergeCell ref="D6:F6"/>
    <mergeCell ref="B7:C7"/>
    <mergeCell ref="D7:F7"/>
    <mergeCell ref="A10:E10"/>
    <mergeCell ref="A11:F11"/>
    <mergeCell ref="B201:B202"/>
    <mergeCell ref="B213:B214"/>
    <mergeCell ref="B217:B218"/>
    <mergeCell ref="B223:B224"/>
    <mergeCell ref="B225:C225"/>
    <mergeCell ref="B228:B229"/>
    <mergeCell ref="B21:C21"/>
    <mergeCell ref="B61:B62"/>
    <mergeCell ref="B85:B86"/>
    <mergeCell ref="B140:B141"/>
    <mergeCell ref="B15:C15"/>
    <mergeCell ref="B16:C16"/>
    <mergeCell ref="B17:C17"/>
    <mergeCell ref="B18:E18"/>
    <mergeCell ref="B19:C19"/>
    <mergeCell ref="B20:C20"/>
  </mergeCells>
  <pageMargins left="0.43307086614173229" right="0" top="0.15748031496062992" bottom="0.35433070866141736" header="0.15748031496062992" footer="0.15748031496062992"/>
  <pageSetup paperSize="9" scale="76" fitToHeight="11" orientation="portrait" r:id="rId1"/>
  <headerFooter alignWithMargins="0"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Общий РД_17.04.оформление</vt:lpstr>
      <vt:lpstr>'Общий РД_17.04.оформление'!Заголовки_для_печати</vt:lpstr>
      <vt:lpstr>'Общий РД_17.04.оформление'!Область_печати</vt:lpstr>
    </vt:vector>
  </TitlesOfParts>
  <Company>STROJPROECT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</dc:creator>
  <cp:lastModifiedBy>alexandrz</cp:lastModifiedBy>
  <cp:lastPrinted>2014-05-06T06:51:59Z</cp:lastPrinted>
  <dcterms:created xsi:type="dcterms:W3CDTF">2005-09-26T08:11:34Z</dcterms:created>
  <dcterms:modified xsi:type="dcterms:W3CDTF">2014-07-24T05:27:52Z</dcterms:modified>
</cp:coreProperties>
</file>