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lena\Desktop\ГУЛЯ\КОНКУРСЫ Газпром\Лентрансгаз\"/>
    </mc:Choice>
  </mc:AlternateContent>
  <bookViews>
    <workbookView xWindow="5805" yWindow="4050" windowWidth="7500" windowHeight="4245"/>
  </bookViews>
  <sheets>
    <sheet name="ИДм" sheetId="3" r:id="rId1"/>
    <sheet name="ИДа" sheetId="2" r:id="rId2"/>
    <sheet name="09-02-02" sheetId="4" r:id="rId3"/>
    <sheet name="09-02-03" sheetId="5" r:id="rId4"/>
  </sheets>
  <definedNames>
    <definedName name="Print_Area" localSheetId="1">ИДа!$A$1:$T$27</definedName>
    <definedName name="Print_Area" localSheetId="0">ИДм!$A$1:$T$28</definedName>
    <definedName name="_xlnm.Print_Area" localSheetId="1">ИДа!$A$1:$T$27</definedName>
    <definedName name="_xlnm.Print_Area" localSheetId="0">ИДм!$A$1:$T$31</definedName>
  </definedNames>
  <calcPr calcId="162913" refMode="R1C1"/>
</workbook>
</file>

<file path=xl/calcChain.xml><?xml version="1.0" encoding="utf-8"?>
<calcChain xmlns="http://schemas.openxmlformats.org/spreadsheetml/2006/main">
  <c r="X26" i="2" l="1"/>
  <c r="X25" i="2"/>
  <c r="T23" i="2"/>
  <c r="N23" i="2"/>
  <c r="E13" i="2"/>
  <c r="D13" i="2"/>
  <c r="C13" i="2"/>
  <c r="B13" i="2"/>
  <c r="B20" i="2"/>
  <c r="B21" i="3"/>
  <c r="C18" i="2"/>
  <c r="C20" i="2" s="1"/>
  <c r="D20" i="2"/>
  <c r="E18" i="2"/>
  <c r="D18" i="2"/>
  <c r="E16" i="2"/>
  <c r="D16" i="2"/>
  <c r="C16" i="2"/>
  <c r="B18" i="2" l="1"/>
  <c r="X23" i="2"/>
  <c r="X22" i="2"/>
  <c r="X21" i="2"/>
  <c r="AB30" i="3"/>
  <c r="AB29" i="3"/>
  <c r="AB9" i="2" l="1"/>
  <c r="AB28" i="3"/>
  <c r="Y25" i="3"/>
  <c r="Y24" i="3"/>
  <c r="Y23" i="3"/>
  <c r="Y22" i="3"/>
  <c r="B5" i="2"/>
  <c r="B4" i="2"/>
  <c r="T24" i="3"/>
  <c r="T23" i="3"/>
  <c r="E19" i="3"/>
  <c r="D19" i="3"/>
  <c r="C19" i="3"/>
  <c r="C17" i="3"/>
  <c r="AE6" i="3"/>
  <c r="AB8" i="2"/>
  <c r="D17" i="3"/>
  <c r="D18" i="3"/>
  <c r="B18" i="3" s="1"/>
  <c r="C7" i="3"/>
  <c r="M6" i="2" l="1"/>
  <c r="AH10" i="3" l="1"/>
  <c r="AH11" i="3"/>
  <c r="K16" i="3"/>
  <c r="E17" i="3"/>
  <c r="G18" i="3"/>
  <c r="K19" i="3"/>
  <c r="O19" i="3" s="1"/>
  <c r="M19" i="3" s="1"/>
  <c r="S20" i="3"/>
  <c r="O22" i="3"/>
  <c r="B17" i="3" l="1"/>
  <c r="C21" i="3"/>
  <c r="E14" i="3"/>
  <c r="D21" i="3"/>
  <c r="K21" i="3"/>
  <c r="K14" i="3"/>
  <c r="AH12" i="3"/>
  <c r="E21" i="3"/>
  <c r="D14" i="3"/>
  <c r="C14" i="3"/>
  <c r="B19" i="3"/>
  <c r="G19" i="3" s="1"/>
  <c r="Q19" i="3" s="1"/>
  <c r="S19" i="3" s="1"/>
  <c r="Q18" i="3"/>
  <c r="S18" i="3" s="1"/>
  <c r="I18" i="3"/>
  <c r="G17" i="3"/>
  <c r="O16" i="3"/>
  <c r="G21" i="3" l="1"/>
  <c r="B14" i="3"/>
  <c r="I19" i="3"/>
  <c r="O21" i="3"/>
  <c r="O14" i="3"/>
  <c r="M16" i="3"/>
  <c r="Q17" i="3"/>
  <c r="S17" i="3" s="1"/>
  <c r="I17" i="3"/>
  <c r="G14" i="3" l="1"/>
  <c r="N23" i="3"/>
  <c r="I21" i="3"/>
  <c r="I14" i="3"/>
  <c r="M14" i="3"/>
  <c r="N25" i="3" s="1"/>
  <c r="Q16" i="3"/>
  <c r="M21" i="3"/>
  <c r="Q21" i="3" s="1"/>
  <c r="Q14" i="3" l="1"/>
  <c r="S14" i="3" s="1"/>
  <c r="N28" i="3" s="1"/>
  <c r="S21" i="3"/>
  <c r="T28" i="3" s="1"/>
  <c r="T27" i="3"/>
  <c r="T26" i="3"/>
  <c r="N24" i="3"/>
  <c r="N27" i="3" l="1"/>
  <c r="N26" i="3"/>
  <c r="B16" i="2" l="1"/>
  <c r="N24" i="2"/>
  <c r="O21" i="2"/>
  <c r="C6" i="2"/>
  <c r="E20" i="2" l="1"/>
  <c r="G16" i="2"/>
  <c r="G18" i="2"/>
  <c r="I18" i="2" s="1"/>
  <c r="Q16" i="2" l="1"/>
  <c r="I16" i="2"/>
  <c r="I20" i="2" s="1"/>
  <c r="G20" i="2"/>
  <c r="Q20" i="2" s="1"/>
  <c r="T26" i="2" s="1"/>
  <c r="T18" i="2"/>
  <c r="T16" i="2"/>
  <c r="Q18" i="2"/>
  <c r="T22" i="2" l="1"/>
  <c r="I13" i="2"/>
  <c r="N22" i="2"/>
  <c r="G13" i="2"/>
  <c r="T20" i="2"/>
  <c r="T27" i="2" s="1"/>
  <c r="T13" i="2"/>
  <c r="Q13" i="2" l="1"/>
  <c r="N26" i="2" s="1"/>
  <c r="T25" i="2"/>
  <c r="X27" i="2" l="1"/>
  <c r="N27" i="2"/>
  <c r="N25" i="2"/>
</calcChain>
</file>

<file path=xl/sharedStrings.xml><?xml version="1.0" encoding="utf-8"?>
<sst xmlns="http://schemas.openxmlformats.org/spreadsheetml/2006/main" count="381" uniqueCount="182">
  <si>
    <t>Всего</t>
  </si>
  <si>
    <t>ИСХОДНЫЕ ДАННЫЕ</t>
  </si>
  <si>
    <t>на пусконаладочные работы по  автоматике</t>
  </si>
  <si>
    <t>Объект</t>
  </si>
  <si>
    <t>Наименование
системы</t>
  </si>
  <si>
    <t>ТУ</t>
  </si>
  <si>
    <t xml:space="preserve">Количество точек учета   </t>
  </si>
  <si>
    <t xml:space="preserve">ИВК - 1.  Кл. точности </t>
  </si>
  <si>
    <t xml:space="preserve">Дополнительные терминалы </t>
  </si>
  <si>
    <t>каналы изм.</t>
  </si>
  <si>
    <t>Условное обозначение группы каналыов</t>
  </si>
  <si>
    <t>Информационные каналы</t>
  </si>
  <si>
    <t>Каналы управления</t>
  </si>
  <si>
    <t>ВСЕГО</t>
  </si>
  <si>
    <t>Категория технической сложности</t>
  </si>
  <si>
    <t>вычисленные</t>
  </si>
  <si>
    <t>Аналоговые</t>
  </si>
  <si>
    <t>дискретные</t>
  </si>
  <si>
    <t>«Развитость
информационных функций»</t>
  </si>
  <si>
    <t>аналоговые</t>
  </si>
  <si>
    <t>«Развитость
управляющих функций»</t>
  </si>
  <si>
    <t>Метрологическая     сложность</t>
  </si>
  <si>
    <t>I</t>
  </si>
  <si>
    <t>II</t>
  </si>
  <si>
    <t>III</t>
  </si>
  <si>
    <t>1. ВСЕГО каналов,в т.ч.</t>
  </si>
  <si>
    <t>Подсистема № 1</t>
  </si>
  <si>
    <t>КПТС (КТС) →ТОУ</t>
  </si>
  <si>
    <t>ТОУ→КПТС (КТС)</t>
  </si>
  <si>
    <t>Оп→КПТС (КТС)</t>
  </si>
  <si>
    <t>КПТС (КТС) →Оп</t>
  </si>
  <si>
    <t>СмС</t>
  </si>
  <si>
    <t>Итого</t>
  </si>
  <si>
    <t>Примечание:</t>
  </si>
  <si>
    <t xml:space="preserve">    каналы группы КПТС (КТС) →Оп рассчитаны с учетом коэффициента 0,025  для</t>
  </si>
  <si>
    <t>терминального устройства</t>
  </si>
  <si>
    <t>2. Метрологическая сложность М</t>
  </si>
  <si>
    <t xml:space="preserve"> =</t>
  </si>
  <si>
    <t>=</t>
  </si>
  <si>
    <t>3. Развитость информационных функций И</t>
  </si>
  <si>
    <t>4. Развитость управляющих функций У</t>
  </si>
  <si>
    <t>7. Коэффициент сложности С</t>
  </si>
  <si>
    <r>
      <t>К</t>
    </r>
    <r>
      <rPr>
        <vertAlign val="superscript"/>
        <sz val="12"/>
        <color indexed="8"/>
        <rFont val="Times New Roman"/>
        <family val="1"/>
        <charset val="204"/>
      </rPr>
      <t xml:space="preserve">а </t>
    </r>
    <r>
      <rPr>
        <vertAlign val="subscript"/>
        <sz val="12"/>
        <color indexed="8"/>
        <rFont val="Times New Roman"/>
        <family val="1"/>
        <charset val="204"/>
      </rPr>
      <t>и</t>
    </r>
  </si>
  <si>
    <r>
      <t>К</t>
    </r>
    <r>
      <rPr>
        <vertAlign val="superscript"/>
        <sz val="12"/>
        <rFont val="Times New Roman"/>
        <family val="1"/>
        <charset val="204"/>
      </rPr>
      <t>а</t>
    </r>
    <r>
      <rPr>
        <vertAlign val="subscript"/>
        <sz val="12"/>
        <rFont val="Times New Roman"/>
        <family val="1"/>
        <charset val="204"/>
      </rPr>
      <t>иМ1</t>
    </r>
  </si>
  <si>
    <r>
      <t>К</t>
    </r>
    <r>
      <rPr>
        <vertAlign val="superscript"/>
        <sz val="12"/>
        <rFont val="Times New Roman"/>
        <family val="1"/>
        <charset val="204"/>
      </rPr>
      <t>а</t>
    </r>
    <r>
      <rPr>
        <vertAlign val="subscript"/>
        <sz val="12"/>
        <rFont val="Times New Roman"/>
        <family val="1"/>
        <charset val="204"/>
      </rPr>
      <t>иМ2</t>
    </r>
  </si>
  <si>
    <r>
      <t>К</t>
    </r>
    <r>
      <rPr>
        <vertAlign val="superscript"/>
        <sz val="12"/>
        <rFont val="Times New Roman"/>
        <family val="1"/>
        <charset val="204"/>
      </rPr>
      <t>а</t>
    </r>
    <r>
      <rPr>
        <vertAlign val="subscript"/>
        <sz val="12"/>
        <rFont val="Times New Roman"/>
        <family val="1"/>
        <charset val="204"/>
      </rPr>
      <t>иМ3</t>
    </r>
  </si>
  <si>
    <r>
      <t>К</t>
    </r>
    <r>
      <rPr>
        <vertAlign val="superscript"/>
        <sz val="12"/>
        <rFont val="Times New Roman"/>
        <family val="1"/>
        <charset val="204"/>
      </rPr>
      <t>д</t>
    </r>
    <r>
      <rPr>
        <vertAlign val="subscript"/>
        <sz val="12"/>
        <rFont val="Times New Roman"/>
        <family val="1"/>
        <charset val="204"/>
      </rPr>
      <t>и</t>
    </r>
  </si>
  <si>
    <r>
      <t>К</t>
    </r>
    <r>
      <rPr>
        <vertAlign val="superscript"/>
        <sz val="12"/>
        <rFont val="Times New Roman"/>
        <family val="1"/>
        <charset val="204"/>
      </rPr>
      <t xml:space="preserve">общ </t>
    </r>
    <r>
      <rPr>
        <vertAlign val="subscript"/>
        <sz val="12"/>
        <rFont val="Times New Roman"/>
        <family val="1"/>
        <charset val="204"/>
      </rPr>
      <t xml:space="preserve">и </t>
    </r>
  </si>
  <si>
    <r>
      <t>К</t>
    </r>
    <r>
      <rPr>
        <vertAlign val="superscript"/>
        <sz val="12"/>
        <rFont val="Times New Roman"/>
        <family val="1"/>
        <charset val="204"/>
      </rPr>
      <t>общ</t>
    </r>
    <r>
      <rPr>
        <vertAlign val="subscript"/>
        <sz val="12"/>
        <rFont val="Times New Roman"/>
        <family val="1"/>
        <charset val="204"/>
      </rPr>
      <t>иИ1</t>
    </r>
  </si>
  <si>
    <r>
      <t xml:space="preserve"> К</t>
    </r>
    <r>
      <rPr>
        <vertAlign val="superscript"/>
        <sz val="12"/>
        <rFont val="Times New Roman"/>
        <family val="1"/>
        <charset val="204"/>
      </rPr>
      <t>общ</t>
    </r>
    <r>
      <rPr>
        <vertAlign val="subscript"/>
        <sz val="12"/>
        <rFont val="Times New Roman"/>
        <family val="1"/>
        <charset val="204"/>
      </rPr>
      <t>иИ2</t>
    </r>
  </si>
  <si>
    <r>
      <t>К</t>
    </r>
    <r>
      <rPr>
        <vertAlign val="superscript"/>
        <sz val="12"/>
        <rFont val="Times New Roman"/>
        <family val="1"/>
        <charset val="204"/>
      </rPr>
      <t>общ</t>
    </r>
    <r>
      <rPr>
        <vertAlign val="subscript"/>
        <sz val="12"/>
        <rFont val="Times New Roman"/>
        <family val="1"/>
        <charset val="204"/>
      </rPr>
      <t>иИ3</t>
    </r>
  </si>
  <si>
    <r>
      <t>К</t>
    </r>
    <r>
      <rPr>
        <vertAlign val="superscript"/>
        <sz val="12"/>
        <rFont val="Times New Roman"/>
        <family val="1"/>
        <charset val="204"/>
      </rPr>
      <t>а</t>
    </r>
    <r>
      <rPr>
        <vertAlign val="subscript"/>
        <sz val="12"/>
        <rFont val="Times New Roman"/>
        <family val="1"/>
        <charset val="204"/>
      </rPr>
      <t>у</t>
    </r>
  </si>
  <si>
    <r>
      <t>К</t>
    </r>
    <r>
      <rPr>
        <vertAlign val="superscript"/>
        <sz val="12"/>
        <rFont val="Times New Roman"/>
        <family val="1"/>
        <charset val="204"/>
      </rPr>
      <t>д</t>
    </r>
    <r>
      <rPr>
        <vertAlign val="subscript"/>
        <sz val="12"/>
        <rFont val="Times New Roman"/>
        <family val="1"/>
        <charset val="204"/>
      </rPr>
      <t>у</t>
    </r>
  </si>
  <si>
    <r>
      <t xml:space="preserve"> К</t>
    </r>
    <r>
      <rPr>
        <vertAlign val="superscript"/>
        <sz val="12"/>
        <rFont val="Times New Roman"/>
        <family val="1"/>
        <charset val="204"/>
      </rPr>
      <t>общ</t>
    </r>
    <r>
      <rPr>
        <vertAlign val="subscript"/>
        <sz val="12"/>
        <rFont val="Times New Roman"/>
        <family val="1"/>
        <charset val="204"/>
      </rPr>
      <t xml:space="preserve">у </t>
    </r>
  </si>
  <si>
    <r>
      <t>К</t>
    </r>
    <r>
      <rPr>
        <vertAlign val="superscript"/>
        <sz val="12"/>
        <rFont val="Times New Roman"/>
        <family val="1"/>
        <charset val="204"/>
      </rPr>
      <t>общ</t>
    </r>
    <r>
      <rPr>
        <vertAlign val="subscript"/>
        <sz val="12"/>
        <rFont val="Times New Roman"/>
        <family val="1"/>
        <charset val="204"/>
      </rPr>
      <t>у У1</t>
    </r>
  </si>
  <si>
    <r>
      <t>К</t>
    </r>
    <r>
      <rPr>
        <vertAlign val="superscript"/>
        <sz val="12"/>
        <rFont val="Times New Roman"/>
        <family val="1"/>
        <charset val="204"/>
      </rPr>
      <t>общ</t>
    </r>
    <r>
      <rPr>
        <vertAlign val="subscript"/>
        <sz val="12"/>
        <rFont val="Times New Roman"/>
        <family val="1"/>
        <charset val="204"/>
      </rPr>
      <t>у У2</t>
    </r>
  </si>
  <si>
    <r>
      <t>К</t>
    </r>
    <r>
      <rPr>
        <vertAlign val="superscript"/>
        <sz val="12"/>
        <rFont val="Times New Roman"/>
        <family val="1"/>
        <charset val="204"/>
      </rPr>
      <t>общ</t>
    </r>
    <r>
      <rPr>
        <vertAlign val="subscript"/>
        <sz val="12"/>
        <rFont val="Times New Roman"/>
        <family val="1"/>
        <charset val="204"/>
      </rPr>
      <t>уУ3</t>
    </r>
  </si>
  <si>
    <r>
      <t>К</t>
    </r>
    <r>
      <rPr>
        <b/>
        <vertAlign val="superscript"/>
        <sz val="12"/>
        <rFont val="Times New Roman"/>
        <family val="1"/>
        <charset val="204"/>
      </rPr>
      <t>общ</t>
    </r>
  </si>
  <si>
    <r>
      <t>К</t>
    </r>
    <r>
      <rPr>
        <vertAlign val="superscript"/>
        <sz val="12"/>
        <rFont val="Times New Roman"/>
        <family val="1"/>
        <charset val="204"/>
      </rPr>
      <t>общ</t>
    </r>
    <r>
      <rPr>
        <vertAlign val="subscript"/>
        <sz val="12"/>
        <rFont val="Times New Roman"/>
        <family val="1"/>
        <charset val="204"/>
      </rPr>
      <t xml:space="preserve">I </t>
    </r>
  </si>
  <si>
    <r>
      <t>К</t>
    </r>
    <r>
      <rPr>
        <vertAlign val="superscript"/>
        <sz val="12"/>
        <rFont val="Times New Roman"/>
        <family val="1"/>
        <charset val="204"/>
      </rPr>
      <t>общ</t>
    </r>
    <r>
      <rPr>
        <vertAlign val="subscript"/>
        <sz val="12"/>
        <rFont val="Times New Roman"/>
        <family val="1"/>
        <charset val="204"/>
      </rPr>
      <t>II</t>
    </r>
  </si>
  <si>
    <r>
      <t>К</t>
    </r>
    <r>
      <rPr>
        <vertAlign val="superscript"/>
        <sz val="12"/>
        <rFont val="Times New Roman"/>
        <family val="1"/>
        <charset val="204"/>
      </rPr>
      <t>общ</t>
    </r>
    <r>
      <rPr>
        <vertAlign val="subscript"/>
        <sz val="12"/>
        <rFont val="Times New Roman"/>
        <family val="1"/>
        <charset val="204"/>
      </rPr>
      <t>III</t>
    </r>
  </si>
  <si>
    <r>
      <t>М=(1+0,14*Кª</t>
    </r>
    <r>
      <rPr>
        <b/>
        <vertAlign val="subscript"/>
        <sz val="13"/>
        <rFont val="Times New Roman"/>
        <family val="1"/>
        <charset val="204"/>
      </rPr>
      <t>иМ2</t>
    </r>
    <r>
      <rPr>
        <b/>
        <sz val="13"/>
        <rFont val="Times New Roman"/>
        <family val="1"/>
        <charset val="204"/>
      </rPr>
      <t>:К</t>
    </r>
    <r>
      <rPr>
        <b/>
        <vertAlign val="superscript"/>
        <sz val="13"/>
        <rFont val="Times New Roman"/>
        <family val="1"/>
        <charset val="204"/>
      </rPr>
      <t>а</t>
    </r>
    <r>
      <rPr>
        <b/>
        <vertAlign val="subscript"/>
        <sz val="13"/>
        <rFont val="Times New Roman"/>
        <family val="1"/>
        <charset val="204"/>
      </rPr>
      <t>и</t>
    </r>
    <r>
      <rPr>
        <b/>
        <sz val="13"/>
        <rFont val="Times New Roman"/>
        <family val="1"/>
        <charset val="204"/>
      </rPr>
      <t>)*(1+0,51*Кª</t>
    </r>
    <r>
      <rPr>
        <b/>
        <vertAlign val="subscript"/>
        <sz val="13"/>
        <rFont val="Times New Roman"/>
        <family val="1"/>
        <charset val="204"/>
      </rPr>
      <t>иМ3</t>
    </r>
    <r>
      <rPr>
        <b/>
        <sz val="13"/>
        <rFont val="Times New Roman"/>
        <family val="1"/>
        <charset val="204"/>
      </rPr>
      <t>:Кª</t>
    </r>
    <r>
      <rPr>
        <b/>
        <vertAlign val="subscript"/>
        <sz val="13"/>
        <rFont val="Times New Roman"/>
        <family val="1"/>
        <charset val="204"/>
      </rPr>
      <t>и</t>
    </r>
    <r>
      <rPr>
        <b/>
        <sz val="13"/>
        <rFont val="Times New Roman"/>
        <family val="1"/>
        <charset val="204"/>
      </rPr>
      <t>)</t>
    </r>
  </si>
  <si>
    <r>
      <t>И=(1+0,51*К</t>
    </r>
    <r>
      <rPr>
        <b/>
        <vertAlign val="superscript"/>
        <sz val="13"/>
        <rFont val="Times New Roman"/>
        <family val="1"/>
        <charset val="204"/>
      </rPr>
      <t>общ</t>
    </r>
    <r>
      <rPr>
        <b/>
        <vertAlign val="subscript"/>
        <sz val="13"/>
        <rFont val="Times New Roman"/>
        <family val="1"/>
        <charset val="204"/>
      </rPr>
      <t>иИ2:</t>
    </r>
    <r>
      <rPr>
        <b/>
        <sz val="13"/>
        <rFont val="Times New Roman"/>
        <family val="1"/>
        <charset val="204"/>
      </rPr>
      <t>К</t>
    </r>
    <r>
      <rPr>
        <b/>
        <vertAlign val="superscript"/>
        <sz val="13"/>
        <rFont val="Times New Roman"/>
        <family val="1"/>
        <charset val="204"/>
      </rPr>
      <t>общ</t>
    </r>
    <r>
      <rPr>
        <b/>
        <vertAlign val="subscript"/>
        <sz val="13"/>
        <rFont val="Times New Roman"/>
        <family val="1"/>
        <charset val="204"/>
      </rPr>
      <t>и</t>
    </r>
    <r>
      <rPr>
        <b/>
        <sz val="13"/>
        <rFont val="Times New Roman"/>
        <family val="1"/>
        <charset val="204"/>
      </rPr>
      <t>)*(1+1,03*К</t>
    </r>
    <r>
      <rPr>
        <b/>
        <vertAlign val="superscript"/>
        <sz val="13"/>
        <rFont val="Times New Roman"/>
        <family val="1"/>
        <charset val="204"/>
      </rPr>
      <t>общ</t>
    </r>
    <r>
      <rPr>
        <b/>
        <vertAlign val="subscript"/>
        <sz val="13"/>
        <rFont val="Times New Roman"/>
        <family val="1"/>
        <charset val="204"/>
      </rPr>
      <t>иИ3</t>
    </r>
    <r>
      <rPr>
        <b/>
        <sz val="13"/>
        <rFont val="Times New Roman"/>
        <family val="1"/>
        <charset val="204"/>
      </rPr>
      <t>:К</t>
    </r>
    <r>
      <rPr>
        <b/>
        <vertAlign val="superscript"/>
        <sz val="13"/>
        <rFont val="Times New Roman"/>
        <family val="1"/>
        <charset val="204"/>
      </rPr>
      <t>общ</t>
    </r>
    <r>
      <rPr>
        <b/>
        <vertAlign val="subscript"/>
        <sz val="13"/>
        <rFont val="Times New Roman"/>
        <family val="1"/>
        <charset val="204"/>
      </rPr>
      <t>и</t>
    </r>
    <r>
      <rPr>
        <b/>
        <sz val="13"/>
        <rFont val="Times New Roman"/>
        <family val="1"/>
        <charset val="204"/>
      </rPr>
      <t>)</t>
    </r>
  </si>
  <si>
    <r>
      <t>У=(1+0,61*К</t>
    </r>
    <r>
      <rPr>
        <b/>
        <vertAlign val="superscript"/>
        <sz val="13"/>
        <rFont val="Times New Roman"/>
        <family val="1"/>
        <charset val="204"/>
      </rPr>
      <t>общ</t>
    </r>
    <r>
      <rPr>
        <b/>
        <vertAlign val="subscript"/>
        <sz val="13"/>
        <rFont val="Times New Roman"/>
        <family val="1"/>
        <charset val="204"/>
      </rPr>
      <t>уУ2</t>
    </r>
    <r>
      <rPr>
        <b/>
        <sz val="13"/>
        <rFont val="Times New Roman"/>
        <family val="1"/>
        <charset val="204"/>
      </rPr>
      <t>/К</t>
    </r>
    <r>
      <rPr>
        <b/>
        <vertAlign val="superscript"/>
        <sz val="13"/>
        <rFont val="Times New Roman"/>
        <family val="1"/>
        <charset val="204"/>
      </rPr>
      <t>общ</t>
    </r>
    <r>
      <rPr>
        <b/>
        <vertAlign val="subscript"/>
        <sz val="13"/>
        <rFont val="Times New Roman"/>
        <family val="1"/>
        <charset val="204"/>
      </rPr>
      <t>у</t>
    </r>
    <r>
      <rPr>
        <b/>
        <sz val="13"/>
        <rFont val="Times New Roman"/>
        <family val="1"/>
        <charset val="204"/>
      </rPr>
      <t>)*(1+1,39*К</t>
    </r>
    <r>
      <rPr>
        <b/>
        <vertAlign val="superscript"/>
        <sz val="13"/>
        <rFont val="Times New Roman"/>
        <family val="1"/>
        <charset val="204"/>
      </rPr>
      <t>общ</t>
    </r>
    <r>
      <rPr>
        <b/>
        <vertAlign val="subscript"/>
        <sz val="13"/>
        <rFont val="Times New Roman"/>
        <family val="1"/>
        <charset val="204"/>
      </rPr>
      <t>уУ3</t>
    </r>
    <r>
      <rPr>
        <b/>
        <sz val="13"/>
        <rFont val="Times New Roman"/>
        <family val="1"/>
        <charset val="204"/>
      </rPr>
      <t>/К</t>
    </r>
    <r>
      <rPr>
        <b/>
        <vertAlign val="superscript"/>
        <sz val="13"/>
        <rFont val="Times New Roman"/>
        <family val="1"/>
        <charset val="204"/>
      </rPr>
      <t>общ</t>
    </r>
    <r>
      <rPr>
        <b/>
        <vertAlign val="subscript"/>
        <sz val="13"/>
        <rFont val="Times New Roman"/>
        <family val="1"/>
        <charset val="204"/>
      </rPr>
      <t>у</t>
    </r>
    <r>
      <rPr>
        <b/>
        <sz val="13"/>
        <rFont val="Times New Roman"/>
        <family val="1"/>
        <charset val="204"/>
      </rPr>
      <t>)</t>
    </r>
  </si>
  <si>
    <r>
      <t>5. Коэффициент Ф</t>
    </r>
    <r>
      <rPr>
        <b/>
        <vertAlign val="superscript"/>
        <sz val="14"/>
        <rFont val="Times New Roman"/>
        <family val="1"/>
        <charset val="204"/>
      </rPr>
      <t>м</t>
    </r>
    <r>
      <rPr>
        <b/>
        <vertAlign val="subscript"/>
        <sz val="14"/>
        <rFont val="Times New Roman"/>
        <family val="1"/>
        <charset val="204"/>
      </rPr>
      <t>и</t>
    </r>
  </si>
  <si>
    <r>
      <t>Ф</t>
    </r>
    <r>
      <rPr>
        <b/>
        <vertAlign val="superscript"/>
        <sz val="14"/>
        <rFont val="Times New Roman"/>
        <family val="1"/>
        <charset val="204"/>
      </rPr>
      <t>м</t>
    </r>
    <r>
      <rPr>
        <b/>
        <vertAlign val="subscript"/>
        <sz val="14"/>
        <rFont val="Times New Roman"/>
        <family val="1"/>
        <charset val="204"/>
      </rPr>
      <t>и</t>
    </r>
    <r>
      <rPr>
        <b/>
        <sz val="14"/>
        <rFont val="Times New Roman"/>
        <family val="1"/>
        <charset val="204"/>
      </rPr>
      <t>=0,5+К</t>
    </r>
    <r>
      <rPr>
        <b/>
        <vertAlign val="superscript"/>
        <sz val="14"/>
        <rFont val="Times New Roman"/>
        <family val="1"/>
        <charset val="204"/>
      </rPr>
      <t>а</t>
    </r>
    <r>
      <rPr>
        <b/>
        <vertAlign val="subscript"/>
        <sz val="14"/>
        <rFont val="Times New Roman"/>
        <family val="1"/>
        <charset val="204"/>
      </rPr>
      <t>и</t>
    </r>
    <r>
      <rPr>
        <b/>
        <sz val="14"/>
        <rFont val="Times New Roman"/>
        <family val="1"/>
        <charset val="204"/>
      </rPr>
      <t>:К</t>
    </r>
    <r>
      <rPr>
        <b/>
        <vertAlign val="superscript"/>
        <sz val="14"/>
        <rFont val="Times New Roman"/>
        <family val="1"/>
        <charset val="204"/>
      </rPr>
      <t>общ</t>
    </r>
    <r>
      <rPr>
        <b/>
        <vertAlign val="subscript"/>
        <sz val="14"/>
        <rFont val="Times New Roman"/>
        <family val="1"/>
        <charset val="204"/>
      </rPr>
      <t>и</t>
    </r>
    <r>
      <rPr>
        <b/>
        <sz val="14"/>
        <rFont val="Times New Roman"/>
        <family val="1"/>
        <charset val="204"/>
      </rPr>
      <t>*М*И</t>
    </r>
  </si>
  <si>
    <r>
      <t>6. Коэффициент Ф</t>
    </r>
    <r>
      <rPr>
        <b/>
        <vertAlign val="subscript"/>
        <sz val="14"/>
        <rFont val="Times New Roman"/>
        <family val="1"/>
        <charset val="204"/>
      </rPr>
      <t>у</t>
    </r>
  </si>
  <si>
    <r>
      <t>С=(1+0,313*К</t>
    </r>
    <r>
      <rPr>
        <b/>
        <vertAlign val="superscript"/>
        <sz val="14"/>
        <rFont val="Times New Roman"/>
        <family val="1"/>
        <charset val="204"/>
      </rPr>
      <t>общ</t>
    </r>
    <r>
      <rPr>
        <b/>
        <vertAlign val="subscript"/>
        <sz val="14"/>
        <rFont val="Times New Roman"/>
        <family val="1"/>
        <charset val="204"/>
      </rPr>
      <t>II</t>
    </r>
    <r>
      <rPr>
        <b/>
        <sz val="14"/>
        <rFont val="Times New Roman"/>
        <family val="1"/>
        <charset val="204"/>
      </rPr>
      <t>:К</t>
    </r>
    <r>
      <rPr>
        <b/>
        <vertAlign val="superscript"/>
        <sz val="14"/>
        <rFont val="Times New Roman"/>
        <family val="1"/>
        <charset val="204"/>
      </rPr>
      <t>общ</t>
    </r>
    <r>
      <rPr>
        <b/>
        <sz val="14"/>
        <rFont val="Times New Roman"/>
        <family val="1"/>
        <charset val="204"/>
      </rPr>
      <t>)*(1+0,566*К</t>
    </r>
    <r>
      <rPr>
        <b/>
        <vertAlign val="superscript"/>
        <sz val="14"/>
        <rFont val="Times New Roman"/>
        <family val="1"/>
        <charset val="204"/>
      </rPr>
      <t>общ</t>
    </r>
    <r>
      <rPr>
        <b/>
        <vertAlign val="subscript"/>
        <sz val="14"/>
        <rFont val="Times New Roman"/>
        <family val="1"/>
        <charset val="204"/>
      </rPr>
      <t>III</t>
    </r>
    <r>
      <rPr>
        <b/>
        <sz val="14"/>
        <rFont val="Times New Roman"/>
        <family val="1"/>
        <charset val="204"/>
      </rPr>
      <t>:К</t>
    </r>
    <r>
      <rPr>
        <b/>
        <vertAlign val="superscript"/>
        <sz val="14"/>
        <rFont val="Times New Roman"/>
        <family val="1"/>
        <charset val="204"/>
      </rPr>
      <t>общ</t>
    </r>
    <r>
      <rPr>
        <b/>
        <sz val="14"/>
        <rFont val="Times New Roman"/>
        <family val="1"/>
        <charset val="204"/>
      </rPr>
      <t>)</t>
    </r>
  </si>
  <si>
    <r>
      <t>Ф</t>
    </r>
    <r>
      <rPr>
        <b/>
        <vertAlign val="subscript"/>
        <sz val="14"/>
        <rFont val="Times New Roman"/>
        <family val="1"/>
        <charset val="204"/>
      </rPr>
      <t>у</t>
    </r>
    <r>
      <rPr>
        <b/>
        <sz val="14"/>
        <rFont val="Times New Roman"/>
        <family val="1"/>
        <charset val="204"/>
      </rPr>
      <t>=1+(1,31*К</t>
    </r>
    <r>
      <rPr>
        <b/>
        <vertAlign val="superscript"/>
        <sz val="14"/>
        <rFont val="Times New Roman"/>
        <family val="1"/>
        <charset val="204"/>
      </rPr>
      <t>а</t>
    </r>
    <r>
      <rPr>
        <b/>
        <vertAlign val="subscript"/>
        <sz val="14"/>
        <rFont val="Times New Roman"/>
        <family val="1"/>
        <charset val="204"/>
      </rPr>
      <t>у</t>
    </r>
    <r>
      <rPr>
        <b/>
        <sz val="14"/>
        <rFont val="Times New Roman"/>
        <family val="1"/>
        <charset val="204"/>
      </rPr>
      <t>+0,95*К</t>
    </r>
    <r>
      <rPr>
        <b/>
        <vertAlign val="superscript"/>
        <sz val="14"/>
        <rFont val="Times New Roman"/>
        <family val="1"/>
        <charset val="204"/>
      </rPr>
      <t>д</t>
    </r>
    <r>
      <rPr>
        <b/>
        <vertAlign val="subscript"/>
        <sz val="14"/>
        <rFont val="Times New Roman"/>
        <family val="1"/>
        <charset val="204"/>
      </rPr>
      <t>у</t>
    </r>
    <r>
      <rPr>
        <b/>
        <sz val="14"/>
        <rFont val="Times New Roman"/>
        <family val="1"/>
        <charset val="204"/>
      </rPr>
      <t>):К</t>
    </r>
    <r>
      <rPr>
        <b/>
        <vertAlign val="superscript"/>
        <sz val="14"/>
        <rFont val="Times New Roman"/>
        <family val="1"/>
        <charset val="204"/>
      </rPr>
      <t>общ</t>
    </r>
    <r>
      <rPr>
        <b/>
        <sz val="10.1"/>
        <rFont val="Times New Roman"/>
        <family val="1"/>
        <charset val="204"/>
      </rPr>
      <t>*</t>
    </r>
    <r>
      <rPr>
        <b/>
        <sz val="14"/>
        <rFont val="Times New Roman"/>
        <family val="1"/>
        <charset val="204"/>
      </rPr>
      <t>У</t>
    </r>
  </si>
  <si>
    <t>Узлы почасового учета электроэнергии</t>
  </si>
  <si>
    <t>шт ( АРМ)</t>
  </si>
  <si>
    <t>терминальных устройствах</t>
  </si>
  <si>
    <t>Условное обозначение группы каналов</t>
  </si>
  <si>
    <t>Обшая</t>
  </si>
  <si>
    <t>электрика</t>
  </si>
  <si>
    <t>пар</t>
  </si>
  <si>
    <t>газ</t>
  </si>
  <si>
    <t>Тепло</t>
  </si>
  <si>
    <t xml:space="preserve"> Подпитка</t>
  </si>
  <si>
    <t>ГВС</t>
  </si>
  <si>
    <t>ХВС</t>
  </si>
  <si>
    <t>ХВС и стоки</t>
  </si>
  <si>
    <t>Реконструкция производственных баз ООО "Ноябрьскгаздобыча"</t>
  </si>
  <si>
    <t>Стройка</t>
  </si>
  <si>
    <t>М2</t>
  </si>
  <si>
    <t>М3</t>
  </si>
  <si>
    <t>М1</t>
  </si>
  <si>
    <t>на Метрологическое обеспечение</t>
  </si>
  <si>
    <t>АИР</t>
  </si>
  <si>
    <t>СДВ</t>
  </si>
  <si>
    <t>Приложение  №1  к локальной смете № 09-01-02</t>
  </si>
  <si>
    <t>63*6</t>
  </si>
  <si>
    <t>4*6</t>
  </si>
  <si>
    <t>2*6</t>
  </si>
  <si>
    <t>первичные</t>
  </si>
  <si>
    <t>вторичные</t>
  </si>
  <si>
    <t>63*12*0,025*2</t>
  </si>
  <si>
    <t>4*12*0,025*2</t>
  </si>
  <si>
    <t>2*12*0,025*2</t>
  </si>
  <si>
    <t>общее</t>
  </si>
  <si>
    <t>общий</t>
  </si>
  <si>
    <t xml:space="preserve">Фми = 0,5 + Каи : Кобщ × М × И,   </t>
  </si>
  <si>
    <t>М=(1+0,14*КªиМ2:Каи)*(1+0,51*КªиМ3:Кªи)</t>
  </si>
  <si>
    <t>метрол.слож</t>
  </si>
  <si>
    <t>Разв.инф.функц</t>
  </si>
  <si>
    <t>Приложение  №1  к локальной смете № 09-01-03</t>
  </si>
  <si>
    <t>И=(1+0,51*КобщиИ2:Кобщи)</t>
  </si>
  <si>
    <t>система не имеет разные характеристики "разв.инф.функции.  Поэтому 1.03 не применяем</t>
  </si>
  <si>
    <t>69*6</t>
  </si>
  <si>
    <t>69*12*0,025*2</t>
  </si>
  <si>
    <t>кол-во каналов</t>
  </si>
  <si>
    <t>И2 не учитываем потому, что автоматику относим к 3 кат.</t>
  </si>
  <si>
    <t>Метрол.сложность</t>
  </si>
  <si>
    <t>Развит инф. Функции</t>
  </si>
  <si>
    <t>К Фми</t>
  </si>
  <si>
    <t>1S,0,5S,0,2S</t>
  </si>
  <si>
    <t>СОГЛАСОВАНО:</t>
  </si>
  <si>
    <t>УТВЕРЖДАЮ:</t>
  </si>
  <si>
    <t>______________</t>
  </si>
  <si>
    <t>_______________</t>
  </si>
  <si>
    <t>(локальная смета)</t>
  </si>
  <si>
    <t>чел.час</t>
  </si>
  <si>
    <t>№ пп</t>
  </si>
  <si>
    <t>Обоснование</t>
  </si>
  <si>
    <t>Наименование</t>
  </si>
  <si>
    <t>Ед. изм.</t>
  </si>
  <si>
    <t>Кол.</t>
  </si>
  <si>
    <t>Сметная стоимость в текущих (прогнозных) ценах, руб.</t>
  </si>
  <si>
    <t>Т/з осн. раб.</t>
  </si>
  <si>
    <t>Т/з мех.</t>
  </si>
  <si>
    <t>на ед.</t>
  </si>
  <si>
    <t>всего</t>
  </si>
  <si>
    <t>общая</t>
  </si>
  <si>
    <t>В том числе</t>
  </si>
  <si>
    <t>Осн.З/п</t>
  </si>
  <si>
    <t>Эк.Маш.</t>
  </si>
  <si>
    <t>З/пМех</t>
  </si>
  <si>
    <t>Мат</t>
  </si>
  <si>
    <t>Раздел 1. Пусконаладочные работы на автоматику. Узлы почасового учета электроэнергии</t>
  </si>
  <si>
    <t>Количество точек учета электроэнергии - 69 точек учета</t>
  </si>
  <si>
    <t>1</t>
  </si>
  <si>
    <t>система</t>
  </si>
  <si>
    <t>Ведущий инженер</t>
  </si>
  <si>
    <t>Инженер I категории</t>
  </si>
  <si>
    <t>Инженер II категории</t>
  </si>
  <si>
    <t>2</t>
  </si>
  <si>
    <t>канал</t>
  </si>
  <si>
    <t>Итого прямые затраты по разделу в текущих ценах</t>
  </si>
  <si>
    <t>Накладные расходы</t>
  </si>
  <si>
    <t>Сметная прибыль</t>
  </si>
  <si>
    <t>Итоги по разделу 1 Пусконаладочные работы на автоматику. Узлы почасового учета электроэнергии :</t>
  </si>
  <si>
    <t xml:space="preserve">  Пусконаладочные работы: 'вхолостую' - 80%, 'под нагрузкой' - 20%</t>
  </si>
  <si>
    <t xml:space="preserve">  Итого</t>
  </si>
  <si>
    <t xml:space="preserve">    В том числе: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</si>
  <si>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</si>
  <si>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</si>
  <si>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</si>
  <si>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Пусконаладочные работы на автоматику. Узлы почасового учета электроэнергии</t>
  </si>
  <si>
    <t>ИТОГИ ПО СМЕТЕ:</t>
  </si>
  <si>
    <t>Итого прямые затраты по смете в текущих ценах</t>
  </si>
  <si>
    <t>Итоги по смете:</t>
  </si>
  <si>
    <t xml:space="preserve">  в т.ч., ПНР "вхолостую" 80%4829328,65</t>
  </si>
  <si>
    <t xml:space="preserve">  в т.ч., ПНР "под нагрузкой" 20%4829328,65</t>
  </si>
  <si>
    <t xml:space="preserve">  ВСЕГО по смете</t>
  </si>
  <si>
    <t>Составил: Инженер-сметчик 2 кат. ООО "ЦЭБ"___________________________Г.М. Каргина</t>
  </si>
  <si>
    <t>(должность, подпись, расшифровка)</t>
  </si>
  <si>
    <r>
      <t>ГЭСНп02-01-003-13</t>
    </r>
    <r>
      <rPr>
        <i/>
        <sz val="7"/>
        <rFont val="Cambria"/>
        <family val="1"/>
        <charset val="204"/>
        <scheme val="major"/>
      </rPr>
      <t xml:space="preserve">
Приказ Минстроя России от 30.12.2016 №1038/пр</t>
    </r>
  </si>
  <si>
    <r>
      <t>Автоматизированная система управления III категории технической сложности с количеством каналов (Кобщ): 320</t>
    </r>
    <r>
      <rPr>
        <i/>
        <sz val="7"/>
        <rFont val="Cambria"/>
        <family val="1"/>
        <charset val="204"/>
        <scheme val="major"/>
      </rPr>
      <t xml:space="preserve">
(Тех.ЧастьГЭСНп02 п.2.2.3.1 Коэффициент учитывающий два фактора "метрологическую сложность" и "развитость информационных систем" Фми ОЗП=2,061; ТЗ=2,061;
Приказ Минстроя № 81/пр от 09.02.2018. (с учетом понижающего Кф) На действующих предприятиях (в цехах, корпусах, на производственных площадках) при наличии в зоне производства работ действующего технологического оборудования, или разветвленной сети инженерных коммуникаций, или запыленности воздуха, или движения технологического транспорта по внутрицеховым и внутризаводским путям, что непосредственно влияет на выполнение пусконаладочных работ (с учетом письма Госстроя от 14.02.2006 № СК-481/02) ОЗП=1,2; ТЗ=1,2)
НР (1029730,1 руб.): 55%=65%*0.85 от ФОТ
СП (599115,69 руб.): 32%=40%*0.8 от ФОТ</t>
    </r>
  </si>
  <si>
    <r>
      <t>ГЭСНп02-01-003-14</t>
    </r>
    <r>
      <rPr>
        <i/>
        <sz val="7"/>
        <rFont val="Cambria"/>
        <family val="1"/>
        <charset val="204"/>
        <scheme val="major"/>
      </rPr>
      <t xml:space="preserve">
Приказ Минстроя России от 30.12.2016 №1038/пр</t>
    </r>
  </si>
  <si>
    <r>
      <t>Автоматизированная система управления III категории технической сложности с количеством каналов (Кобщ): за каждый канал свыше 320 до 639 добавлять к норме 02-01-003-13</t>
    </r>
    <r>
      <rPr>
        <i/>
        <sz val="7"/>
        <rFont val="Cambria"/>
        <family val="1"/>
        <charset val="204"/>
        <scheme val="major"/>
      </rPr>
      <t xml:space="preserve">
(Тех.ЧастьГЭСНп02 п.2.2.3.1 Коэффициент учитывающий два фактора "метрологическую сложность" и "развитость информационных систем" Фми ОЗП=2,061; ТЗ=2,061;
Приказ Минстроя № 81/пр от 09.02.2018. (с учетом понижающего Кф) На действующих предприятиях (в цехах, корпусах, на производственных площадках) при наличии в зоне производства работ действующего технологического оборудования, или разветвленной сети инженерных коммуникаций, или запыленности воздуха, или движения технологического транспорта по внутрицеховым и внутризаводским путям, что непосредственно влияет на выполнение пусконаладочных работ (с учетом письма Госстроя от 14.02.2006 № СК-481/02) ОЗП=1,2; ТЗ=1,2)
НР (390660,68 руб.): 55%=65%*0.85 от ФОТ
СП (227293,49 руб.): 32%=40%*0.8 от ФОТ</t>
    </r>
  </si>
  <si>
    <r>
      <t>135,4</t>
    </r>
    <r>
      <rPr>
        <i/>
        <sz val="6"/>
        <rFont val="Cambria"/>
        <family val="1"/>
        <charset val="204"/>
        <scheme val="major"/>
      </rPr>
      <t xml:space="preserve">
455,4-320</t>
    </r>
  </si>
  <si>
    <t>ЛОКАЛЬНЫЙ РЕСУРСНЫЙ СМЕТНЫЙ РАСЧЕТ  № 09-02-03</t>
  </si>
  <si>
    <t>Инженер III категории</t>
  </si>
  <si>
    <t>Итоги по разделу 1 Количество точек учета электроэнергии с классом точности 1 -63 шт :</t>
  </si>
  <si>
    <t xml:space="preserve">  Итого по разделу 1 Количество точек учета электроэнергии с классом точности 1 -63 шт</t>
  </si>
  <si>
    <t xml:space="preserve">  в т.ч., ПНР "под нагрузкой" 100%3714150,13</t>
  </si>
  <si>
    <t>ЛОКАЛЬНЫЙ РЕСУРСНЫЙ СМЕТНЫЙ РАСЧЕТ  № 09-01-02</t>
  </si>
  <si>
    <r>
      <t>ГЭСНп02-01-002-13</t>
    </r>
    <r>
      <rPr>
        <i/>
        <sz val="7"/>
        <rFont val="Cambria"/>
        <family val="1"/>
        <charset val="204"/>
        <scheme val="major"/>
      </rPr>
      <t xml:space="preserve">
Приказ Минстроя России от 30.12.2016 №1038/пр</t>
    </r>
  </si>
  <si>
    <r>
      <t>Автоматизированная система управления II категории технической сложности с количеством каналов (Кобщ): 320</t>
    </r>
    <r>
      <rPr>
        <i/>
        <sz val="7"/>
        <rFont val="Cambria"/>
        <family val="1"/>
        <charset val="204"/>
        <scheme val="major"/>
      </rPr>
      <t xml:space="preserve">
(Тех.ЧастьГЭСНп02 п.2.2.3.1 Коэффициент учитывающий два фактора "метрологическую сложность" и "развитость информационных систем" Фми ОЗП=2,061; ТЗ=2,061;
Приказ Минстроя № 81/пр от 09.02.2018. (с учетом понижающего Кф) На действующих предприятиях (в цехах, корпусах, на производственных площадках) при наличии в зоне производства работ действующего технологического оборудования, или разветвленной сети инженерных коммуникаций, или запыленности воздуха, или движения технологического транспорта по внутрицеховым и внутризаводским путям, что непосредственно влияет на выполнение пусконаладочных работ (с учетом письма Госстроя от 14.02.2006 № СК-481/02) ОЗП=1,2; ТЗ=1,2)
НР (791905,43 руб.): 55%=65%*0.85 от ФОТ
СП (460744,98 руб.): 32%=40%*0.8 от ФОТ</t>
    </r>
  </si>
  <si>
    <r>
      <t>ГЭСНп02-01-002-14</t>
    </r>
    <r>
      <rPr>
        <i/>
        <sz val="7"/>
        <rFont val="Cambria"/>
        <family val="1"/>
        <charset val="204"/>
        <scheme val="major"/>
      </rPr>
      <t xml:space="preserve">
Приказ Минстроя России от 30.12.2016 №1038/пр</t>
    </r>
  </si>
  <si>
    <r>
      <t>Автоматизированная система управления II категории технической сложности с количеством каналов (Кобщ): за каждый канал свыше 320 до 639 добавлять к норме 02-01-002-13</t>
    </r>
    <r>
      <rPr>
        <i/>
        <sz val="7"/>
        <rFont val="Cambria"/>
        <family val="1"/>
        <charset val="204"/>
        <scheme val="major"/>
      </rPr>
      <t xml:space="preserve">
(Тех.ЧастьГЭСНп02 п.2.2.3.1 Коэффициент учитывающий два фактора "метрологическую сложность" и "развитость информационных систем" Фми ОЗП=2,061; ТЗ=2,061;
Приказ Минстроя № 81/пр от 09.02.2018. (с учетом понижающего Кф) На действующих предприятиях (в цехах, корпусах, на производственных площадках) при наличии в зоне производства работ действующего технологического оборудования, или разветвленной сети инженерных коммуникаций, или запыленности воздуха, или движения технологического транспорта по внутрицеховым и внутризаводским путям, что непосредственно влияет на выполнение пусконаладочных работ (с учетом письма Госстроя от 14.02.2006 № СК-481/02) ОЗП=1,2; ТЗ=1,2)
НР (300491,66 руб.): 55%=65%*0.85 от ФОТ
СП (174831,51 руб.): 32%=40%*0.8 от ФОТ</t>
    </r>
  </si>
  <si>
    <t>Раздел 1. Пусконаладочные работы на метрологическое обеспечение. Узлы почасового учета электроэнергии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</si>
</sst>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00000"/>
  </numFmts>
  <fonts count="3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vertAlign val="subscript"/>
      <sz val="13"/>
      <name val="Times New Roman"/>
      <family val="1"/>
      <charset val="204"/>
    </font>
    <font>
      <b/>
      <vertAlign val="superscript"/>
      <sz val="13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vertAlign val="subscript"/>
      <sz val="14"/>
      <name val="Times New Roman"/>
      <family val="1"/>
      <charset val="204"/>
    </font>
    <font>
      <b/>
      <sz val="10.1"/>
      <name val="Times New Roman"/>
      <family val="1"/>
      <charset val="204"/>
    </font>
    <font>
      <sz val="14"/>
      <color rgb="FFFFFF00"/>
      <name val="Times New Roman"/>
      <family val="1"/>
      <charset val="204"/>
    </font>
    <font>
      <b/>
      <sz val="1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sz val="8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8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9"/>
      <name val="Cambria"/>
      <family val="1"/>
      <charset val="204"/>
      <scheme val="major"/>
    </font>
    <font>
      <i/>
      <sz val="7"/>
      <name val="Cambria"/>
      <family val="1"/>
      <charset val="204"/>
      <scheme val="major"/>
    </font>
    <font>
      <sz val="7"/>
      <name val="Cambria"/>
      <family val="1"/>
      <charset val="204"/>
      <scheme val="major"/>
    </font>
    <font>
      <i/>
      <sz val="6"/>
      <name val="Cambria"/>
      <family val="1"/>
      <charset val="204"/>
      <scheme val="major"/>
    </font>
    <font>
      <i/>
      <sz val="9"/>
      <name val="Cambria"/>
      <family val="1"/>
      <charset val="204"/>
      <scheme val="major"/>
    </font>
    <font>
      <i/>
      <sz val="8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2" fillId="0" borderId="1" applyProtection="0">
      <alignment horizontal="center"/>
    </xf>
    <xf numFmtId="0" fontId="1" fillId="0" borderId="0">
      <alignment vertical="top"/>
    </xf>
    <xf numFmtId="0" fontId="2" fillId="0" borderId="1" applyProtection="0">
      <alignment horizontal="center"/>
    </xf>
    <xf numFmtId="0" fontId="2" fillId="0" borderId="0">
      <alignment vertical="top"/>
    </xf>
    <xf numFmtId="0" fontId="2" fillId="0" borderId="0" applyProtection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 applyProtection="0"/>
    <xf numFmtId="0" fontId="1" fillId="0" borderId="0"/>
    <xf numFmtId="0" fontId="1" fillId="0" borderId="0"/>
    <xf numFmtId="0" fontId="1" fillId="0" borderId="0" applyProtection="0"/>
    <xf numFmtId="49" fontId="2" fillId="0" borderId="1" applyNumberFormat="0" applyFont="0" applyAlignment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1">
      <alignment horizontal="center" wrapText="1"/>
    </xf>
    <xf numFmtId="9" fontId="1" fillId="0" borderId="0" applyFont="0" applyFill="0" applyBorder="0" applyAlignment="0" applyProtection="0"/>
    <xf numFmtId="0" fontId="2" fillId="0" borderId="1" applyProtection="0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0" applyProtection="0">
      <alignment horizontal="center"/>
    </xf>
    <xf numFmtId="0" fontId="1" fillId="0" borderId="0" applyProtection="0"/>
    <xf numFmtId="0" fontId="2" fillId="0" borderId="0" applyProtection="0">
      <alignment horizontal="left" vertical="top"/>
    </xf>
    <xf numFmtId="0" fontId="2" fillId="0" borderId="0"/>
  </cellStyleXfs>
  <cellXfs count="157">
    <xf numFmtId="0" fontId="0" fillId="0" borderId="0" xfId="0"/>
    <xf numFmtId="0" fontId="4" fillId="0" borderId="1" xfId="18" applyFont="1" applyFill="1" applyBorder="1" applyAlignment="1">
      <alignment horizontal="center" vertical="center"/>
    </xf>
    <xf numFmtId="0" fontId="5" fillId="0" borderId="1" xfId="18" applyFont="1" applyFill="1" applyBorder="1" applyAlignment="1">
      <alignment horizontal="center" vertical="center"/>
    </xf>
    <xf numFmtId="0" fontId="5" fillId="0" borderId="0" xfId="18" applyFont="1" applyFill="1" applyAlignment="1">
      <alignment vertical="top"/>
    </xf>
    <xf numFmtId="0" fontId="4" fillId="0" borderId="0" xfId="18" applyFont="1" applyFill="1" applyAlignment="1">
      <alignment vertical="top"/>
    </xf>
    <xf numFmtId="0" fontId="4" fillId="0" borderId="0" xfId="18" applyFont="1" applyFill="1" applyAlignment="1">
      <alignment horizontal="center" vertical="center"/>
    </xf>
    <xf numFmtId="0" fontId="7" fillId="0" borderId="1" xfId="18" applyFont="1" applyFill="1" applyBorder="1" applyAlignment="1">
      <alignment horizontal="center" vertical="top" wrapText="1"/>
    </xf>
    <xf numFmtId="0" fontId="10" fillId="0" borderId="1" xfId="18" applyFont="1" applyFill="1" applyBorder="1" applyAlignment="1">
      <alignment horizontal="center" vertical="top" wrapText="1"/>
    </xf>
    <xf numFmtId="0" fontId="10" fillId="0" borderId="2" xfId="18" applyFont="1" applyFill="1" applyBorder="1" applyAlignment="1">
      <alignment vertical="top" wrapText="1"/>
    </xf>
    <xf numFmtId="0" fontId="10" fillId="0" borderId="1" xfId="18" applyFont="1" applyFill="1" applyBorder="1" applyAlignment="1">
      <alignment vertical="top" wrapText="1"/>
    </xf>
    <xf numFmtId="0" fontId="10" fillId="0" borderId="3" xfId="18" applyFont="1" applyFill="1" applyBorder="1" applyAlignment="1">
      <alignment horizontal="center" vertical="top" wrapText="1"/>
    </xf>
    <xf numFmtId="0" fontId="10" fillId="0" borderId="2" xfId="18" applyFont="1" applyFill="1" applyBorder="1" applyAlignment="1">
      <alignment horizontal="center" vertical="top" wrapText="1"/>
    </xf>
    <xf numFmtId="0" fontId="6" fillId="0" borderId="1" xfId="18" applyFont="1" applyFill="1" applyBorder="1" applyAlignment="1">
      <alignment horizontal="center" vertical="top" wrapText="1"/>
    </xf>
    <xf numFmtId="0" fontId="10" fillId="0" borderId="1" xfId="18" applyFont="1" applyFill="1" applyBorder="1" applyAlignment="1">
      <alignment horizontal="left" vertical="top" wrapText="1"/>
    </xf>
    <xf numFmtId="0" fontId="10" fillId="0" borderId="0" xfId="18" applyFont="1" applyFill="1" applyAlignment="1">
      <alignment vertical="top"/>
    </xf>
    <xf numFmtId="0" fontId="10" fillId="0" borderId="0" xfId="18" applyFont="1" applyFill="1" applyAlignment="1">
      <alignment horizontal="center" vertical="center"/>
    </xf>
    <xf numFmtId="0" fontId="6" fillId="0" borderId="3" xfId="18" applyFont="1" applyFill="1" applyBorder="1" applyAlignment="1">
      <alignment horizontal="left" vertical="center" wrapText="1"/>
    </xf>
    <xf numFmtId="0" fontId="10" fillId="0" borderId="0" xfId="18" applyFont="1" applyFill="1" applyAlignment="1">
      <alignment vertical="center"/>
    </xf>
    <xf numFmtId="0" fontId="4" fillId="0" borderId="4" xfId="18" applyFont="1" applyFill="1" applyBorder="1" applyAlignment="1">
      <alignment horizontal="center" vertical="top"/>
    </xf>
    <xf numFmtId="0" fontId="4" fillId="0" borderId="5" xfId="18" applyNumberFormat="1" applyFont="1" applyFill="1" applyBorder="1" applyAlignment="1">
      <alignment horizontal="right" vertical="top"/>
    </xf>
    <xf numFmtId="4" fontId="5" fillId="0" borderId="0" xfId="18" applyNumberFormat="1" applyFont="1" applyFill="1" applyAlignment="1">
      <alignment horizontal="centerContinuous" vertical="top"/>
    </xf>
    <xf numFmtId="0" fontId="5" fillId="0" borderId="0" xfId="18" applyFont="1" applyFill="1" applyAlignment="1">
      <alignment horizontal="centerContinuous" vertical="top"/>
    </xf>
    <xf numFmtId="0" fontId="4" fillId="0" borderId="0" xfId="18" applyFont="1" applyFill="1" applyAlignment="1"/>
    <xf numFmtId="0" fontId="5" fillId="0" borderId="0" xfId="18" applyFont="1" applyFill="1" applyAlignment="1"/>
    <xf numFmtId="0" fontId="4" fillId="0" borderId="0" xfId="18" applyFont="1" applyFill="1" applyAlignment="1">
      <alignment wrapText="1"/>
    </xf>
    <xf numFmtId="0" fontId="4" fillId="0" borderId="0" xfId="18" applyFont="1" applyFill="1" applyAlignment="1">
      <alignment vertical="center"/>
    </xf>
    <xf numFmtId="0" fontId="4" fillId="0" borderId="6" xfId="18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/>
    </xf>
    <xf numFmtId="0" fontId="5" fillId="0" borderId="1" xfId="18" applyFont="1" applyFill="1" applyBorder="1" applyAlignment="1">
      <alignment horizontal="center" vertical="top"/>
    </xf>
    <xf numFmtId="164" fontId="5" fillId="0" borderId="1" xfId="18" applyNumberFormat="1" applyFont="1" applyFill="1" applyBorder="1" applyAlignment="1">
      <alignment horizontal="left" vertical="center"/>
    </xf>
    <xf numFmtId="0" fontId="5" fillId="0" borderId="1" xfId="18" applyFont="1" applyFill="1" applyBorder="1" applyAlignment="1">
      <alignment horizontal="left" vertical="center"/>
    </xf>
    <xf numFmtId="165" fontId="5" fillId="0" borderId="1" xfId="18" applyNumberFormat="1" applyFont="1" applyFill="1" applyBorder="1" applyAlignment="1">
      <alignment horizontal="center" vertical="top"/>
    </xf>
    <xf numFmtId="1" fontId="5" fillId="0" borderId="1" xfId="18" applyNumberFormat="1" applyFont="1" applyFill="1" applyBorder="1" applyAlignment="1">
      <alignment horizontal="left" vertical="center"/>
    </xf>
    <xf numFmtId="164" fontId="5" fillId="0" borderId="1" xfId="18" applyNumberFormat="1" applyFont="1" applyFill="1" applyBorder="1" applyAlignment="1">
      <alignment horizontal="center" vertical="top"/>
    </xf>
    <xf numFmtId="0" fontId="6" fillId="0" borderId="1" xfId="18" applyFont="1" applyFill="1" applyBorder="1" applyAlignment="1">
      <alignment horizontal="left" vertical="center"/>
    </xf>
    <xf numFmtId="0" fontId="10" fillId="0" borderId="1" xfId="18" applyFont="1" applyFill="1" applyBorder="1" applyAlignment="1">
      <alignment horizontal="left" vertical="center" wrapText="1"/>
    </xf>
    <xf numFmtId="0" fontId="5" fillId="0" borderId="8" xfId="18" applyFont="1" applyFill="1" applyBorder="1" applyAlignment="1">
      <alignment horizontal="left" vertical="center" wrapText="1"/>
    </xf>
    <xf numFmtId="0" fontId="6" fillId="0" borderId="1" xfId="18" applyFont="1" applyFill="1" applyBorder="1" applyAlignment="1">
      <alignment horizontal="center" vertical="center" wrapText="1"/>
    </xf>
    <xf numFmtId="2" fontId="5" fillId="0" borderId="1" xfId="18" applyNumberFormat="1" applyFont="1" applyFill="1" applyBorder="1" applyAlignment="1">
      <alignment horizontal="center" vertical="center" wrapText="1"/>
    </xf>
    <xf numFmtId="2" fontId="4" fillId="0" borderId="1" xfId="18" applyNumberFormat="1" applyFont="1" applyFill="1" applyBorder="1" applyAlignment="1">
      <alignment horizontal="center" vertical="center" wrapText="1"/>
    </xf>
    <xf numFmtId="2" fontId="5" fillId="0" borderId="1" xfId="18" applyNumberFormat="1" applyFont="1" applyFill="1" applyBorder="1" applyAlignment="1">
      <alignment horizontal="center" vertical="center"/>
    </xf>
    <xf numFmtId="4" fontId="5" fillId="0" borderId="0" xfId="18" applyNumberFormat="1" applyFont="1" applyFill="1" applyAlignment="1">
      <alignment vertical="top"/>
    </xf>
    <xf numFmtId="3" fontId="4" fillId="0" borderId="0" xfId="18" applyNumberFormat="1" applyFont="1" applyFill="1" applyAlignment="1">
      <alignment vertical="top"/>
    </xf>
    <xf numFmtId="164" fontId="4" fillId="0" borderId="0" xfId="18" applyNumberFormat="1" applyFont="1" applyFill="1" applyAlignment="1">
      <alignment vertical="top"/>
    </xf>
    <xf numFmtId="0" fontId="4" fillId="0" borderId="0" xfId="18" applyFont="1" applyFill="1" applyBorder="1" applyAlignment="1">
      <alignment horizontal="center" vertical="top"/>
    </xf>
    <xf numFmtId="0" fontId="4" fillId="0" borderId="0" xfId="18" applyFont="1" applyFill="1" applyBorder="1" applyAlignment="1">
      <alignment vertical="center"/>
    </xf>
    <xf numFmtId="0" fontId="4" fillId="0" borderId="0" xfId="18" applyFont="1" applyFill="1" applyBorder="1" applyAlignment="1">
      <alignment horizontal="center" vertical="center"/>
    </xf>
    <xf numFmtId="0" fontId="4" fillId="0" borderId="0" xfId="18" applyFont="1" applyFill="1" applyAlignment="1">
      <alignment horizontal="center" vertical="top"/>
    </xf>
    <xf numFmtId="0" fontId="6" fillId="0" borderId="0" xfId="18" applyFont="1" applyFill="1" applyBorder="1" applyAlignment="1">
      <alignment horizontal="center" vertical="center" wrapText="1"/>
    </xf>
    <xf numFmtId="0" fontId="6" fillId="0" borderId="0" xfId="18" applyFont="1" applyFill="1" applyAlignment="1">
      <alignment horizontal="center" vertical="center"/>
    </xf>
    <xf numFmtId="0" fontId="6" fillId="0" borderId="0" xfId="18" applyFont="1" applyFill="1" applyBorder="1" applyAlignment="1">
      <alignment vertical="center"/>
    </xf>
    <xf numFmtId="0" fontId="20" fillId="0" borderId="0" xfId="18" applyFont="1" applyFill="1" applyAlignment="1">
      <alignment vertical="top"/>
    </xf>
    <xf numFmtId="0" fontId="20" fillId="0" borderId="0" xfId="18" applyFont="1" applyFill="1" applyAlignment="1">
      <alignment vertical="center"/>
    </xf>
    <xf numFmtId="0" fontId="4" fillId="0" borderId="0" xfId="18" applyFont="1" applyFill="1" applyBorder="1" applyAlignment="1">
      <alignment horizontal="center" vertical="top"/>
    </xf>
    <xf numFmtId="0" fontId="4" fillId="0" borderId="0" xfId="18" applyFont="1" applyFill="1" applyBorder="1" applyAlignment="1">
      <alignment vertical="top"/>
    </xf>
    <xf numFmtId="164" fontId="5" fillId="2" borderId="1" xfId="18" applyNumberFormat="1" applyFont="1" applyFill="1" applyBorder="1" applyAlignment="1">
      <alignment horizontal="left" vertical="center"/>
    </xf>
    <xf numFmtId="166" fontId="4" fillId="0" borderId="0" xfId="18" applyNumberFormat="1" applyFont="1" applyFill="1" applyAlignment="1">
      <alignment vertical="top"/>
    </xf>
    <xf numFmtId="0" fontId="10" fillId="0" borderId="1" xfId="18" applyFont="1" applyFill="1" applyBorder="1" applyAlignment="1">
      <alignment vertical="center"/>
    </xf>
    <xf numFmtId="0" fontId="5" fillId="0" borderId="1" xfId="18" applyFont="1" applyFill="1" applyBorder="1" applyAlignment="1">
      <alignment vertical="top"/>
    </xf>
    <xf numFmtId="0" fontId="4" fillId="0" borderId="1" xfId="18" applyFont="1" applyFill="1" applyBorder="1" applyAlignment="1">
      <alignment vertical="top"/>
    </xf>
    <xf numFmtId="0" fontId="10" fillId="0" borderId="6" xfId="18" applyFont="1" applyFill="1" applyBorder="1" applyAlignment="1">
      <alignment vertical="top" wrapText="1"/>
    </xf>
    <xf numFmtId="0" fontId="4" fillId="0" borderId="0" xfId="18" applyFont="1" applyFill="1" applyAlignment="1">
      <alignment horizontal="left" vertical="top"/>
    </xf>
    <xf numFmtId="0" fontId="5" fillId="0" borderId="0" xfId="18" applyFont="1" applyFill="1" applyAlignment="1">
      <alignment horizontal="center" vertical="center"/>
    </xf>
    <xf numFmtId="0" fontId="6" fillId="0" borderId="9" xfId="18" applyFont="1" applyFill="1" applyBorder="1" applyAlignment="1">
      <alignment horizontal="center" vertical="center" wrapText="1"/>
    </xf>
    <xf numFmtId="0" fontId="6" fillId="0" borderId="10" xfId="18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wrapText="1"/>
    </xf>
    <xf numFmtId="0" fontId="4" fillId="0" borderId="6" xfId="18" applyFont="1" applyFill="1" applyBorder="1" applyAlignment="1">
      <alignment horizontal="left" vertical="top" wrapText="1"/>
    </xf>
    <xf numFmtId="9" fontId="4" fillId="0" borderId="6" xfId="21" applyFont="1" applyFill="1" applyBorder="1" applyAlignment="1">
      <alignment horizontal="center" vertical="top" wrapText="1"/>
    </xf>
    <xf numFmtId="0" fontId="4" fillId="0" borderId="6" xfId="18" applyFont="1" applyFill="1" applyBorder="1" applyAlignment="1">
      <alignment horizontal="left" vertical="top"/>
    </xf>
    <xf numFmtId="2" fontId="4" fillId="0" borderId="12" xfId="18" applyNumberFormat="1" applyFont="1" applyFill="1" applyBorder="1" applyAlignment="1">
      <alignment horizontal="left"/>
    </xf>
    <xf numFmtId="0" fontId="4" fillId="0" borderId="9" xfId="18" applyFont="1" applyFill="1" applyBorder="1" applyAlignment="1">
      <alignment horizontal="left" vertical="top" wrapText="1"/>
    </xf>
    <xf numFmtId="0" fontId="4" fillId="0" borderId="13" xfId="18" applyFont="1" applyFill="1" applyBorder="1" applyAlignment="1">
      <alignment horizontal="left" vertical="top" wrapText="1"/>
    </xf>
    <xf numFmtId="0" fontId="4" fillId="0" borderId="10" xfId="18" applyFont="1" applyFill="1" applyBorder="1" applyAlignment="1">
      <alignment horizontal="left" vertical="top" wrapText="1"/>
    </xf>
    <xf numFmtId="0" fontId="4" fillId="0" borderId="3" xfId="18" applyFont="1" applyFill="1" applyBorder="1" applyAlignment="1">
      <alignment horizontal="center" vertical="top" wrapText="1"/>
    </xf>
    <xf numFmtId="0" fontId="4" fillId="0" borderId="12" xfId="18" applyFont="1" applyFill="1" applyBorder="1" applyAlignment="1">
      <alignment horizontal="center" vertical="top" wrapText="1"/>
    </xf>
    <xf numFmtId="0" fontId="4" fillId="0" borderId="2" xfId="18" applyFont="1" applyFill="1" applyBorder="1" applyAlignment="1">
      <alignment horizontal="center" vertical="top" wrapText="1"/>
    </xf>
    <xf numFmtId="0" fontId="4" fillId="0" borderId="9" xfId="18" applyFont="1" applyFill="1" applyBorder="1" applyAlignment="1">
      <alignment horizontal="center" vertical="top" wrapText="1"/>
    </xf>
    <xf numFmtId="0" fontId="4" fillId="0" borderId="10" xfId="18" applyFont="1" applyFill="1" applyBorder="1" applyAlignment="1">
      <alignment horizontal="center" vertical="top" wrapText="1"/>
    </xf>
    <xf numFmtId="0" fontId="4" fillId="0" borderId="14" xfId="18" applyFont="1" applyFill="1" applyBorder="1" applyAlignment="1">
      <alignment horizontal="center" vertical="top" wrapText="1"/>
    </xf>
    <xf numFmtId="0" fontId="4" fillId="0" borderId="15" xfId="18" applyFont="1" applyFill="1" applyBorder="1" applyAlignment="1">
      <alignment horizontal="center" vertical="top" wrapText="1"/>
    </xf>
    <xf numFmtId="0" fontId="4" fillId="0" borderId="16" xfId="18" applyFont="1" applyFill="1" applyBorder="1" applyAlignment="1">
      <alignment horizontal="center" vertical="top" wrapText="1"/>
    </xf>
    <xf numFmtId="0" fontId="4" fillId="0" borderId="8" xfId="18" applyFont="1" applyFill="1" applyBorder="1" applyAlignment="1">
      <alignment horizontal="center" vertical="top" wrapText="1"/>
    </xf>
    <xf numFmtId="0" fontId="4" fillId="0" borderId="6" xfId="18" applyFont="1" applyFill="1" applyBorder="1" applyAlignment="1">
      <alignment horizontal="center" vertical="top" wrapText="1"/>
    </xf>
    <xf numFmtId="0" fontId="4" fillId="0" borderId="18" xfId="18" applyFont="1" applyFill="1" applyBorder="1" applyAlignment="1">
      <alignment horizontal="center" vertical="top" wrapText="1"/>
    </xf>
    <xf numFmtId="0" fontId="4" fillId="0" borderId="9" xfId="18" applyFont="1" applyFill="1" applyBorder="1" applyAlignment="1">
      <alignment horizontal="center" vertical="center" textRotation="90" wrapText="1"/>
    </xf>
    <xf numFmtId="0" fontId="4" fillId="0" borderId="13" xfId="18" applyFont="1" applyFill="1" applyBorder="1" applyAlignment="1">
      <alignment horizontal="center" vertical="center" textRotation="90" wrapText="1"/>
    </xf>
    <xf numFmtId="0" fontId="4" fillId="0" borderId="10" xfId="18" applyFont="1" applyFill="1" applyBorder="1" applyAlignment="1">
      <alignment horizontal="center" vertical="center" textRotation="90" wrapText="1"/>
    </xf>
    <xf numFmtId="0" fontId="4" fillId="0" borderId="9" xfId="18" applyFont="1" applyFill="1" applyBorder="1" applyAlignment="1">
      <alignment horizontal="left" textRotation="90" wrapText="1"/>
    </xf>
    <xf numFmtId="0" fontId="4" fillId="0" borderId="13" xfId="18" applyFont="1" applyFill="1" applyBorder="1" applyAlignment="1">
      <alignment horizontal="left" textRotation="90" wrapText="1"/>
    </xf>
    <xf numFmtId="0" fontId="4" fillId="0" borderId="10" xfId="18" applyFont="1" applyFill="1" applyBorder="1" applyAlignment="1">
      <alignment horizontal="left" textRotation="90" wrapText="1"/>
    </xf>
    <xf numFmtId="0" fontId="4" fillId="0" borderId="9" xfId="18" applyFont="1" applyFill="1" applyBorder="1" applyAlignment="1">
      <alignment horizontal="center" textRotation="90" wrapText="1"/>
    </xf>
    <xf numFmtId="0" fontId="4" fillId="0" borderId="13" xfId="18" applyFont="1" applyFill="1" applyBorder="1" applyAlignment="1">
      <alignment horizontal="center" textRotation="90" wrapText="1"/>
    </xf>
    <xf numFmtId="0" fontId="4" fillId="0" borderId="10" xfId="18" applyFont="1" applyFill="1" applyBorder="1" applyAlignment="1">
      <alignment horizontal="center" textRotation="90" wrapText="1"/>
    </xf>
    <xf numFmtId="0" fontId="4" fillId="0" borderId="17" xfId="18" applyFont="1" applyFill="1" applyBorder="1" applyAlignment="1">
      <alignment horizontal="center" vertical="top" wrapText="1"/>
    </xf>
    <xf numFmtId="0" fontId="4" fillId="0" borderId="0" xfId="18" applyFont="1" applyFill="1" applyBorder="1" applyAlignment="1">
      <alignment horizontal="center" vertical="top" wrapText="1"/>
    </xf>
    <xf numFmtId="0" fontId="4" fillId="0" borderId="7" xfId="18" applyFont="1" applyFill="1" applyBorder="1" applyAlignment="1">
      <alignment horizontal="center" vertical="top" wrapText="1"/>
    </xf>
    <xf numFmtId="0" fontId="4" fillId="0" borderId="0" xfId="18" applyFont="1" applyFill="1" applyBorder="1" applyAlignment="1">
      <alignment horizontal="left" vertical="top"/>
    </xf>
    <xf numFmtId="0" fontId="6" fillId="0" borderId="0" xfId="18" applyFont="1" applyFill="1" applyBorder="1" applyAlignment="1">
      <alignment horizontal="center" vertical="center" wrapText="1"/>
    </xf>
    <xf numFmtId="0" fontId="4" fillId="0" borderId="11" xfId="18" applyNumberFormat="1" applyFont="1" applyFill="1" applyBorder="1" applyAlignment="1">
      <alignment horizontal="left" vertical="top"/>
    </xf>
    <xf numFmtId="0" fontId="4" fillId="0" borderId="12" xfId="18" applyNumberFormat="1" applyFont="1" applyFill="1" applyBorder="1" applyAlignment="1">
      <alignment horizontal="left" vertical="top"/>
    </xf>
    <xf numFmtId="0" fontId="4" fillId="0" borderId="6" xfId="18" applyNumberFormat="1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5" fillId="0" borderId="1" xfId="18" applyFont="1" applyFill="1" applyBorder="1" applyAlignment="1">
      <alignment horizontal="left" vertical="center"/>
    </xf>
    <xf numFmtId="0" fontId="14" fillId="0" borderId="1" xfId="18" applyFont="1" applyFill="1" applyBorder="1" applyAlignment="1">
      <alignment horizontal="left" vertical="center"/>
    </xf>
    <xf numFmtId="49" fontId="5" fillId="0" borderId="1" xfId="18" applyNumberFormat="1" applyFont="1" applyFill="1" applyBorder="1" applyAlignment="1">
      <alignment horizontal="left" vertical="center"/>
    </xf>
    <xf numFmtId="0" fontId="21" fillId="0" borderId="0" xfId="0" applyNumberFormat="1" applyFont="1" applyAlignment="1">
      <alignment horizontal="left" vertical="top"/>
    </xf>
    <xf numFmtId="0" fontId="22" fillId="0" borderId="0" xfId="0" applyFont="1"/>
    <xf numFmtId="0" fontId="21" fillId="0" borderId="0" xfId="0" applyFont="1" applyAlignment="1">
      <alignment horizontal="left" vertical="top"/>
    </xf>
    <xf numFmtId="0" fontId="22" fillId="0" borderId="0" xfId="0" applyNumberFormat="1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right" vertical="top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/>
    <xf numFmtId="49" fontId="22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top"/>
    </xf>
    <xf numFmtId="0" fontId="22" fillId="0" borderId="9" xfId="0" applyFont="1" applyBorder="1" applyAlignment="1">
      <alignment horizontal="center"/>
    </xf>
    <xf numFmtId="0" fontId="21" fillId="0" borderId="1" xfId="0" applyNumberFormat="1" applyFont="1" applyBorder="1" applyAlignment="1">
      <alignment horizontal="left" vertical="top" wrapText="1"/>
    </xf>
    <xf numFmtId="0" fontId="22" fillId="0" borderId="1" xfId="0" applyFont="1" applyBorder="1" applyAlignment="1">
      <alignment vertical="top" wrapText="1"/>
    </xf>
    <xf numFmtId="0" fontId="23" fillId="0" borderId="1" xfId="0" applyNumberFormat="1" applyFont="1" applyBorder="1" applyAlignment="1">
      <alignment horizontal="left" vertical="top" wrapText="1"/>
    </xf>
    <xf numFmtId="0" fontId="23" fillId="0" borderId="1" xfId="0" quotePrefix="1" applyNumberFormat="1" applyFont="1" applyBorder="1" applyAlignment="1">
      <alignment horizontal="center" vertical="top"/>
    </xf>
    <xf numFmtId="49" fontId="28" fillId="0" borderId="1" xfId="0" applyNumberFormat="1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right" vertical="top"/>
    </xf>
    <xf numFmtId="0" fontId="23" fillId="0" borderId="1" xfId="0" applyNumberFormat="1" applyFont="1" applyBorder="1" applyAlignment="1">
      <alignment horizontal="center" vertical="top"/>
    </xf>
    <xf numFmtId="49" fontId="23" fillId="0" borderId="1" xfId="0" applyNumberFormat="1" applyFont="1" applyBorder="1" applyAlignment="1">
      <alignment horizontal="left" vertical="top"/>
    </xf>
    <xf numFmtId="0" fontId="24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horizontal="right" vertical="top"/>
    </xf>
    <xf numFmtId="0" fontId="24" fillId="0" borderId="1" xfId="0" applyFont="1" applyBorder="1" applyAlignment="1">
      <alignment horizontal="righ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26" fillId="0" borderId="1" xfId="0" applyFont="1" applyBorder="1" applyAlignment="1">
      <alignment horizontal="right" vertical="top" wrapText="1"/>
    </xf>
    <xf numFmtId="0" fontId="28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vertical="top"/>
    </xf>
    <xf numFmtId="0" fontId="32" fillId="0" borderId="1" xfId="0" applyNumberFormat="1" applyFont="1" applyBorder="1" applyAlignment="1">
      <alignment horizontal="left" vertical="top" wrapText="1"/>
    </xf>
    <xf numFmtId="0" fontId="33" fillId="0" borderId="1" xfId="0" applyFont="1" applyBorder="1" applyAlignment="1">
      <alignment horizontal="right" vertical="top" wrapText="1"/>
    </xf>
    <xf numFmtId="0" fontId="23" fillId="0" borderId="0" xfId="0" applyNumberFormat="1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32" fillId="0" borderId="0" xfId="0" applyNumberFormat="1" applyFont="1" applyAlignment="1">
      <alignment horizontal="center" vertical="top" wrapText="1"/>
    </xf>
    <xf numFmtId="0" fontId="24" fillId="0" borderId="0" xfId="0" applyFont="1"/>
  </cellXfs>
  <cellStyles count="29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_Расчет по Елшанскому УПХГ" xfId="18"/>
    <cellStyle name="Параметр" xfId="19"/>
    <cellStyle name="ПеременныеСметы" xfId="20"/>
    <cellStyle name="Процентный" xfId="21" builtinId="5"/>
    <cellStyle name="РесСмета" xfId="22"/>
    <cellStyle name="СводкаСтоимРаб" xfId="23"/>
    <cellStyle name="СводРасч" xfId="24"/>
    <cellStyle name="Титул" xfId="25"/>
    <cellStyle name="Формула" xfId="26"/>
    <cellStyle name="Хвост" xfId="27"/>
    <cellStyle name="Экспертиза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tabSelected="1" view="pageBreakPreview" zoomScale="70" zoomScaleNormal="100" zoomScaleSheetLayoutView="70" workbookViewId="0">
      <selection activeCell="Z17" sqref="Z17:AE17"/>
    </sheetView>
  </sheetViews>
  <sheetFormatPr defaultRowHeight="18.75" x14ac:dyDescent="0.2"/>
  <cols>
    <col min="1" max="1" width="22.28515625" style="4" customWidth="1"/>
    <col min="2" max="2" width="14" style="4" customWidth="1"/>
    <col min="3" max="5" width="10.42578125" style="4" customWidth="1"/>
    <col min="6" max="6" width="7.7109375" style="4" customWidth="1"/>
    <col min="7" max="7" width="11" style="4" customWidth="1"/>
    <col min="8" max="8" width="12.7109375" style="4" customWidth="1"/>
    <col min="9" max="9" width="13.28515625" style="4" customWidth="1"/>
    <col min="10" max="10" width="8.42578125" style="4" customWidth="1"/>
    <col min="11" max="11" width="7.5703125" style="4" customWidth="1"/>
    <col min="12" max="12" width="6.42578125" style="4" customWidth="1"/>
    <col min="13" max="13" width="7.28515625" style="4" customWidth="1"/>
    <col min="14" max="14" width="9.28515625" style="4" customWidth="1"/>
    <col min="15" max="15" width="9.85546875" style="4" customWidth="1"/>
    <col min="16" max="16" width="8.28515625" style="4" customWidth="1"/>
    <col min="17" max="17" width="11.5703125" style="3" customWidth="1"/>
    <col min="18" max="18" width="16.28515625" style="4" customWidth="1"/>
    <col min="19" max="19" width="10.5703125" style="4" customWidth="1"/>
    <col min="20" max="20" width="14" style="4" customWidth="1"/>
    <col min="21" max="21" width="9.140625" style="4"/>
    <col min="22" max="22" width="18.5703125" style="4" customWidth="1"/>
    <col min="23" max="26" width="12" style="4" customWidth="1"/>
    <col min="27" max="27" width="14" style="4" customWidth="1"/>
    <col min="28" max="29" width="12" style="4" customWidth="1"/>
    <col min="30" max="30" width="9.140625" style="4" customWidth="1"/>
    <col min="31" max="31" width="12" style="4" customWidth="1"/>
    <col min="32" max="33" width="9.140625" style="4" customWidth="1"/>
    <col min="34" max="34" width="12.85546875" style="4" customWidth="1"/>
    <col min="35" max="16384" width="9.140625" style="4"/>
  </cols>
  <sheetData>
    <row r="1" spans="1:35" x14ac:dyDescent="0.2">
      <c r="D1" s="20"/>
      <c r="E1" s="21"/>
      <c r="F1" s="21"/>
      <c r="N1" s="61" t="s">
        <v>105</v>
      </c>
      <c r="O1" s="61"/>
      <c r="P1" s="61"/>
      <c r="Q1" s="61"/>
      <c r="R1" s="61"/>
      <c r="S1" s="61"/>
      <c r="T1" s="61"/>
    </row>
    <row r="2" spans="1:35" ht="30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X2" s="4" t="s">
        <v>89</v>
      </c>
      <c r="Z2" s="4" t="s">
        <v>89</v>
      </c>
      <c r="AC2" s="4" t="s">
        <v>89</v>
      </c>
      <c r="AD2" s="4" t="s">
        <v>88</v>
      </c>
      <c r="AF2" s="4" t="s">
        <v>88</v>
      </c>
    </row>
    <row r="3" spans="1:35" ht="27" customHeight="1" x14ac:dyDescent="0.2">
      <c r="A3" s="62" t="s">
        <v>87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V3" s="5" t="s">
        <v>86</v>
      </c>
      <c r="W3" s="5" t="s">
        <v>86</v>
      </c>
      <c r="X3" s="5" t="s">
        <v>84</v>
      </c>
      <c r="Y3" s="5" t="s">
        <v>86</v>
      </c>
      <c r="Z3" s="5" t="s">
        <v>84</v>
      </c>
      <c r="AA3" s="5" t="s">
        <v>86</v>
      </c>
      <c r="AB3" s="5" t="s">
        <v>86</v>
      </c>
      <c r="AC3" s="5" t="s">
        <v>84</v>
      </c>
      <c r="AD3" s="5" t="s">
        <v>85</v>
      </c>
      <c r="AE3" s="5" t="s">
        <v>86</v>
      </c>
      <c r="AF3" s="5" t="s">
        <v>85</v>
      </c>
      <c r="AG3" s="5"/>
      <c r="AH3" s="5" t="s">
        <v>84</v>
      </c>
    </row>
    <row r="4" spans="1:35" s="22" customFormat="1" ht="26.25" hidden="1" customHeight="1" x14ac:dyDescent="0.3">
      <c r="A4" s="22" t="s">
        <v>83</v>
      </c>
      <c r="B4" s="66" t="s">
        <v>82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V4" s="63" t="s">
        <v>81</v>
      </c>
      <c r="W4" s="63" t="s">
        <v>80</v>
      </c>
      <c r="X4" s="63" t="s">
        <v>80</v>
      </c>
      <c r="Y4" s="63" t="s">
        <v>79</v>
      </c>
      <c r="Z4" s="63" t="s">
        <v>79</v>
      </c>
      <c r="AA4" s="63" t="s">
        <v>78</v>
      </c>
      <c r="AB4" s="63" t="s">
        <v>77</v>
      </c>
      <c r="AC4" s="63" t="s">
        <v>77</v>
      </c>
      <c r="AD4" s="63" t="s">
        <v>77</v>
      </c>
      <c r="AE4" s="63" t="s">
        <v>76</v>
      </c>
      <c r="AF4" s="63" t="s">
        <v>76</v>
      </c>
      <c r="AG4" s="63" t="s">
        <v>75</v>
      </c>
      <c r="AH4" s="63" t="s">
        <v>74</v>
      </c>
    </row>
    <row r="5" spans="1:35" s="23" customFormat="1" ht="42.75" customHeight="1" x14ac:dyDescent="0.3">
      <c r="A5" s="22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</row>
    <row r="6" spans="1:35" s="22" customFormat="1" ht="37.5" x14ac:dyDescent="0.3">
      <c r="A6" s="24" t="s">
        <v>4</v>
      </c>
      <c r="B6" s="70" t="s">
        <v>69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V6" s="2"/>
      <c r="W6" s="2"/>
      <c r="X6" s="2"/>
      <c r="Y6" s="2"/>
      <c r="Z6" s="2"/>
      <c r="AA6" s="2"/>
      <c r="AB6" s="2"/>
      <c r="AC6" s="2">
        <v>2</v>
      </c>
      <c r="AD6" s="2">
        <v>4</v>
      </c>
      <c r="AE6" s="2">
        <f>52+11</f>
        <v>63</v>
      </c>
      <c r="AF6" s="2"/>
      <c r="AG6" s="2"/>
      <c r="AH6" s="2"/>
      <c r="AI6" s="52" t="s">
        <v>73</v>
      </c>
    </row>
    <row r="7" spans="1:35" ht="36" customHeight="1" x14ac:dyDescent="0.2">
      <c r="A7" s="67" t="s">
        <v>6</v>
      </c>
      <c r="B7" s="67"/>
      <c r="C7" s="26">
        <f>SUM(V6:AH6)</f>
        <v>69</v>
      </c>
      <c r="D7" s="26"/>
      <c r="E7" s="68" t="s">
        <v>7</v>
      </c>
      <c r="F7" s="68"/>
      <c r="G7" s="68"/>
      <c r="H7" s="60" t="s">
        <v>115</v>
      </c>
      <c r="I7" s="69" t="s">
        <v>8</v>
      </c>
      <c r="J7" s="69"/>
      <c r="K7" s="69"/>
      <c r="L7" s="69"/>
      <c r="M7" s="27">
        <v>2</v>
      </c>
      <c r="N7" s="27" t="s">
        <v>70</v>
      </c>
      <c r="O7" s="27"/>
      <c r="P7" s="27"/>
      <c r="Q7" s="27"/>
      <c r="R7" s="27"/>
      <c r="S7" s="27"/>
      <c r="T7" s="27"/>
      <c r="V7" s="1">
        <v>3</v>
      </c>
      <c r="W7" s="1">
        <v>3</v>
      </c>
      <c r="X7" s="1">
        <v>3</v>
      </c>
      <c r="Y7" s="1">
        <v>3</v>
      </c>
      <c r="Z7" s="1">
        <v>3</v>
      </c>
      <c r="AA7" s="1">
        <v>3</v>
      </c>
      <c r="AB7" s="1">
        <v>3</v>
      </c>
      <c r="AC7" s="1">
        <v>6</v>
      </c>
      <c r="AD7" s="1">
        <v>6</v>
      </c>
      <c r="AE7" s="1">
        <v>6</v>
      </c>
      <c r="AF7" s="1">
        <v>3</v>
      </c>
      <c r="AG7" s="1">
        <v>3</v>
      </c>
      <c r="AH7" s="1">
        <v>6</v>
      </c>
      <c r="AI7" s="4" t="s">
        <v>9</v>
      </c>
    </row>
    <row r="8" spans="1:35" s="3" customFormat="1" ht="18.75" customHeight="1" x14ac:dyDescent="0.2">
      <c r="A8" s="71" t="s">
        <v>72</v>
      </c>
      <c r="B8" s="74" t="s">
        <v>11</v>
      </c>
      <c r="C8" s="75"/>
      <c r="D8" s="75"/>
      <c r="E8" s="75"/>
      <c r="F8" s="75"/>
      <c r="G8" s="75"/>
      <c r="H8" s="75"/>
      <c r="I8" s="75"/>
      <c r="J8" s="76"/>
      <c r="K8" s="74" t="s">
        <v>12</v>
      </c>
      <c r="L8" s="75"/>
      <c r="M8" s="75"/>
      <c r="N8" s="75"/>
      <c r="O8" s="75"/>
      <c r="P8" s="76"/>
      <c r="Q8" s="85" t="s">
        <v>13</v>
      </c>
      <c r="R8" s="79" t="s">
        <v>14</v>
      </c>
      <c r="S8" s="80"/>
      <c r="T8" s="81"/>
      <c r="V8" s="1">
        <v>12</v>
      </c>
      <c r="W8" s="1">
        <v>12</v>
      </c>
      <c r="X8" s="1">
        <v>12</v>
      </c>
      <c r="Y8" s="1">
        <v>12</v>
      </c>
      <c r="Z8" s="1">
        <v>12</v>
      </c>
      <c r="AA8" s="1">
        <v>12</v>
      </c>
      <c r="AB8" s="1">
        <v>12</v>
      </c>
      <c r="AC8" s="1">
        <v>12</v>
      </c>
      <c r="AD8" s="1">
        <v>12</v>
      </c>
      <c r="AE8" s="1">
        <v>12</v>
      </c>
      <c r="AF8" s="1">
        <v>12</v>
      </c>
      <c r="AG8" s="1">
        <v>12</v>
      </c>
      <c r="AH8" s="1">
        <v>12</v>
      </c>
      <c r="AI8" s="3" t="s">
        <v>15</v>
      </c>
    </row>
    <row r="9" spans="1:35" s="3" customFormat="1" ht="18.75" customHeight="1" x14ac:dyDescent="0.2">
      <c r="A9" s="72"/>
      <c r="B9" s="74" t="s">
        <v>16</v>
      </c>
      <c r="C9" s="75"/>
      <c r="D9" s="75"/>
      <c r="E9" s="76"/>
      <c r="F9" s="88" t="s">
        <v>17</v>
      </c>
      <c r="G9" s="91" t="s">
        <v>0</v>
      </c>
      <c r="H9" s="79" t="s">
        <v>18</v>
      </c>
      <c r="I9" s="80"/>
      <c r="J9" s="81"/>
      <c r="K9" s="91" t="s">
        <v>19</v>
      </c>
      <c r="L9" s="91" t="s">
        <v>17</v>
      </c>
      <c r="M9" s="91" t="s">
        <v>0</v>
      </c>
      <c r="N9" s="79" t="s">
        <v>20</v>
      </c>
      <c r="O9" s="80"/>
      <c r="P9" s="81"/>
      <c r="Q9" s="86"/>
      <c r="R9" s="82"/>
      <c r="S9" s="83"/>
      <c r="T9" s="84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ht="18.75" customHeight="1" x14ac:dyDescent="0.2">
      <c r="A10" s="72"/>
      <c r="B10" s="77"/>
      <c r="C10" s="79" t="s">
        <v>21</v>
      </c>
      <c r="D10" s="80"/>
      <c r="E10" s="81"/>
      <c r="F10" s="89"/>
      <c r="G10" s="92"/>
      <c r="H10" s="94"/>
      <c r="I10" s="95"/>
      <c r="J10" s="96"/>
      <c r="K10" s="92"/>
      <c r="L10" s="92"/>
      <c r="M10" s="92"/>
      <c r="N10" s="94"/>
      <c r="O10" s="95"/>
      <c r="P10" s="96"/>
      <c r="Q10" s="86"/>
      <c r="R10" s="77" t="s">
        <v>22</v>
      </c>
      <c r="S10" s="77" t="s">
        <v>23</v>
      </c>
      <c r="T10" s="77" t="s">
        <v>24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">
        <f>AH6*AH7</f>
        <v>0</v>
      </c>
      <c r="AI10" s="52"/>
    </row>
    <row r="11" spans="1:35" ht="18" customHeight="1" x14ac:dyDescent="0.2">
      <c r="A11" s="72"/>
      <c r="B11" s="78"/>
      <c r="C11" s="82"/>
      <c r="D11" s="83"/>
      <c r="E11" s="84"/>
      <c r="F11" s="90"/>
      <c r="G11" s="93"/>
      <c r="H11" s="82"/>
      <c r="I11" s="83"/>
      <c r="J11" s="84"/>
      <c r="K11" s="93"/>
      <c r="L11" s="93"/>
      <c r="M11" s="93"/>
      <c r="N11" s="82"/>
      <c r="O11" s="83"/>
      <c r="P11" s="84"/>
      <c r="Q11" s="87"/>
      <c r="R11" s="78"/>
      <c r="S11" s="78"/>
      <c r="T11" s="78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">
        <f>AH6*AH8*M7*0.025</f>
        <v>0</v>
      </c>
      <c r="AI11" s="51"/>
    </row>
    <row r="12" spans="1:35" s="14" customFormat="1" ht="29.25" customHeight="1" x14ac:dyDescent="0.2">
      <c r="A12" s="73"/>
      <c r="B12" s="6" t="s">
        <v>42</v>
      </c>
      <c r="C12" s="7" t="s">
        <v>43</v>
      </c>
      <c r="D12" s="7" t="s">
        <v>44</v>
      </c>
      <c r="E12" s="7" t="s">
        <v>45</v>
      </c>
      <c r="F12" s="7" t="s">
        <v>46</v>
      </c>
      <c r="G12" s="7" t="s">
        <v>47</v>
      </c>
      <c r="H12" s="8" t="s">
        <v>48</v>
      </c>
      <c r="I12" s="9" t="s">
        <v>49</v>
      </c>
      <c r="J12" s="10" t="s">
        <v>50</v>
      </c>
      <c r="K12" s="7" t="s">
        <v>51</v>
      </c>
      <c r="L12" s="7" t="s">
        <v>52</v>
      </c>
      <c r="M12" s="9" t="s">
        <v>53</v>
      </c>
      <c r="N12" s="11" t="s">
        <v>54</v>
      </c>
      <c r="O12" s="7" t="s">
        <v>55</v>
      </c>
      <c r="P12" s="9" t="s">
        <v>56</v>
      </c>
      <c r="Q12" s="12" t="s">
        <v>57</v>
      </c>
      <c r="R12" s="7" t="s">
        <v>58</v>
      </c>
      <c r="S12" s="7" t="s">
        <v>59</v>
      </c>
      <c r="T12" s="13" t="s">
        <v>60</v>
      </c>
      <c r="V12" s="50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49">
        <f>AH10+AH11</f>
        <v>0</v>
      </c>
    </row>
    <row r="13" spans="1:35" ht="13.5" customHeight="1" x14ac:dyDescent="0.2">
      <c r="A13" s="10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11">
        <v>8</v>
      </c>
      <c r="I13" s="7">
        <v>9</v>
      </c>
      <c r="J13" s="10">
        <v>10</v>
      </c>
      <c r="K13" s="7">
        <v>11</v>
      </c>
      <c r="L13" s="7">
        <v>12</v>
      </c>
      <c r="M13" s="7">
        <v>13</v>
      </c>
      <c r="N13" s="11">
        <v>14</v>
      </c>
      <c r="O13" s="7">
        <v>15</v>
      </c>
      <c r="P13" s="10">
        <v>16</v>
      </c>
      <c r="Q13" s="7">
        <v>17</v>
      </c>
      <c r="R13" s="11">
        <v>18</v>
      </c>
      <c r="S13" s="7">
        <v>19</v>
      </c>
      <c r="T13" s="7">
        <v>20</v>
      </c>
      <c r="AB13" s="5"/>
      <c r="AD13" s="5"/>
      <c r="AE13" s="5"/>
      <c r="AF13" s="5"/>
      <c r="AG13" s="5"/>
      <c r="AH13" s="5"/>
    </row>
    <row r="14" spans="1:35" s="17" customFormat="1" ht="35.25" customHeight="1" x14ac:dyDescent="0.2">
      <c r="A14" s="16" t="s">
        <v>25</v>
      </c>
      <c r="B14" s="38">
        <f>SUM(C14:E14)</f>
        <v>455.4</v>
      </c>
      <c r="C14" s="38">
        <f>SUM(C15:C20)</f>
        <v>415.8</v>
      </c>
      <c r="D14" s="38">
        <f>SUM(D15:D20)</f>
        <v>13.2</v>
      </c>
      <c r="E14" s="38">
        <f>SUM(E15:E20)</f>
        <v>26.4</v>
      </c>
      <c r="F14" s="38"/>
      <c r="G14" s="38">
        <f>B14+F14</f>
        <v>455.4</v>
      </c>
      <c r="H14" s="38"/>
      <c r="I14" s="38">
        <f>SUM(I15:I20)</f>
        <v>455.4</v>
      </c>
      <c r="J14" s="38"/>
      <c r="K14" s="38">
        <f>SUM(K16:K20)</f>
        <v>0</v>
      </c>
      <c r="L14" s="38"/>
      <c r="M14" s="38">
        <f>SUM(N14:P14)</f>
        <v>0</v>
      </c>
      <c r="N14" s="38"/>
      <c r="O14" s="38">
        <f>SUM(O16:O20)</f>
        <v>0</v>
      </c>
      <c r="P14" s="38"/>
      <c r="Q14" s="38">
        <f>G14+M14</f>
        <v>455.4</v>
      </c>
      <c r="R14" s="38"/>
      <c r="S14" s="38">
        <f>Q14</f>
        <v>455.4</v>
      </c>
      <c r="T14" s="38"/>
      <c r="V14" s="98"/>
      <c r="W14" s="98"/>
      <c r="X14" s="98"/>
      <c r="Y14" s="98"/>
      <c r="Z14" s="98"/>
      <c r="AA14" s="98"/>
      <c r="AB14" s="98"/>
      <c r="AC14" s="98"/>
      <c r="AD14" s="15"/>
      <c r="AE14" s="48"/>
      <c r="AF14" s="15"/>
      <c r="AG14" s="15"/>
      <c r="AH14" s="15"/>
    </row>
    <row r="15" spans="1:35" s="3" customFormat="1" ht="22.5" customHeight="1" x14ac:dyDescent="0.2">
      <c r="A15" s="34" t="s">
        <v>26</v>
      </c>
      <c r="B15" s="39"/>
      <c r="C15" s="40"/>
      <c r="D15" s="40"/>
      <c r="E15" s="40"/>
      <c r="F15" s="40"/>
      <c r="G15" s="38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V15" s="98"/>
      <c r="W15" s="98"/>
      <c r="X15" s="98"/>
      <c r="Y15" s="98"/>
      <c r="Z15" s="98"/>
      <c r="AA15" s="98"/>
      <c r="AB15" s="98"/>
      <c r="AC15" s="98"/>
      <c r="AD15" s="5"/>
      <c r="AE15" s="48"/>
      <c r="AF15" s="5"/>
      <c r="AG15" s="5"/>
      <c r="AH15" s="5"/>
    </row>
    <row r="16" spans="1:35" s="3" customFormat="1" ht="36" customHeight="1" x14ac:dyDescent="0.2">
      <c r="A16" s="35" t="s">
        <v>27</v>
      </c>
      <c r="B16" s="39"/>
      <c r="C16" s="39"/>
      <c r="D16" s="39"/>
      <c r="E16" s="39"/>
      <c r="F16" s="39"/>
      <c r="G16" s="38"/>
      <c r="H16" s="39"/>
      <c r="I16" s="39"/>
      <c r="J16" s="39"/>
      <c r="K16" s="39">
        <f>AB16</f>
        <v>0</v>
      </c>
      <c r="L16" s="39"/>
      <c r="M16" s="40">
        <f>SUM(N16:P16)</f>
        <v>0</v>
      </c>
      <c r="N16" s="39"/>
      <c r="O16" s="39">
        <f>K16</f>
        <v>0</v>
      </c>
      <c r="P16" s="39"/>
      <c r="Q16" s="40">
        <f>G16+M16</f>
        <v>0</v>
      </c>
      <c r="R16" s="39"/>
      <c r="S16" s="39"/>
      <c r="T16" s="39"/>
      <c r="W16" s="46" t="s">
        <v>94</v>
      </c>
      <c r="X16" s="44"/>
      <c r="Y16" s="44"/>
      <c r="Z16" s="44"/>
      <c r="AA16" s="45"/>
      <c r="AB16" s="44"/>
      <c r="AC16" s="44"/>
      <c r="AD16" s="47"/>
      <c r="AE16" s="44"/>
      <c r="AF16" s="47"/>
      <c r="AG16" s="4"/>
      <c r="AH16" s="4"/>
    </row>
    <row r="17" spans="1:34" ht="24" customHeight="1" x14ac:dyDescent="0.2">
      <c r="A17" s="35" t="s">
        <v>28</v>
      </c>
      <c r="B17" s="39">
        <f>SUM(C17:E17)</f>
        <v>414</v>
      </c>
      <c r="C17" s="39">
        <f>V6*V7+W6*W7+Y6*Y7+AA6*AA7+AB6*AB7+AE6*AE7</f>
        <v>378</v>
      </c>
      <c r="D17" s="39">
        <f>AH6*AH7+X6*X7+Z6*Z7+AC6*AC7</f>
        <v>12</v>
      </c>
      <c r="E17" s="39">
        <f>AF6*AF7+AD6*AD7</f>
        <v>24</v>
      </c>
      <c r="F17" s="39"/>
      <c r="G17" s="38">
        <f>B17+F17</f>
        <v>414</v>
      </c>
      <c r="H17" s="39"/>
      <c r="I17" s="39">
        <f>G17</f>
        <v>414</v>
      </c>
      <c r="J17" s="39"/>
      <c r="K17" s="39"/>
      <c r="L17" s="39"/>
      <c r="M17" s="40"/>
      <c r="N17" s="39"/>
      <c r="O17" s="39"/>
      <c r="P17" s="39"/>
      <c r="Q17" s="40">
        <f>G17+M17</f>
        <v>414</v>
      </c>
      <c r="R17" s="39"/>
      <c r="S17" s="39">
        <f>Q17</f>
        <v>414</v>
      </c>
      <c r="T17" s="39"/>
      <c r="V17" s="46"/>
      <c r="W17" s="44" t="s">
        <v>86</v>
      </c>
      <c r="X17" s="46" t="s">
        <v>91</v>
      </c>
      <c r="Y17" s="46">
        <v>378</v>
      </c>
      <c r="Z17" s="97"/>
      <c r="AA17" s="97"/>
      <c r="AB17" s="97"/>
      <c r="AC17" s="97"/>
      <c r="AD17" s="97"/>
      <c r="AE17" s="97"/>
      <c r="AF17" s="47"/>
    </row>
    <row r="18" spans="1:34" ht="19.5" customHeight="1" x14ac:dyDescent="0.2">
      <c r="A18" s="35" t="s">
        <v>29</v>
      </c>
      <c r="B18" s="39">
        <f>SUM(C18:E18)</f>
        <v>0</v>
      </c>
      <c r="C18" s="39"/>
      <c r="D18" s="39">
        <f>AB18</f>
        <v>0</v>
      </c>
      <c r="E18" s="39"/>
      <c r="F18" s="39"/>
      <c r="G18" s="38">
        <f>B18+F18</f>
        <v>0</v>
      </c>
      <c r="H18" s="39"/>
      <c r="I18" s="39">
        <f>G18</f>
        <v>0</v>
      </c>
      <c r="J18" s="39"/>
      <c r="K18" s="39"/>
      <c r="L18" s="39"/>
      <c r="M18" s="40"/>
      <c r="N18" s="39"/>
      <c r="O18" s="39"/>
      <c r="P18" s="39"/>
      <c r="Q18" s="40">
        <f>G18+M18</f>
        <v>0</v>
      </c>
      <c r="R18" s="39"/>
      <c r="S18" s="39">
        <f>Q18</f>
        <v>0</v>
      </c>
      <c r="T18" s="39"/>
      <c r="V18" s="46"/>
      <c r="W18" s="44" t="s">
        <v>84</v>
      </c>
      <c r="X18" s="46" t="s">
        <v>92</v>
      </c>
      <c r="Y18" s="46">
        <v>24</v>
      </c>
      <c r="Z18" s="44"/>
      <c r="AA18" s="45"/>
      <c r="AB18" s="44"/>
      <c r="AC18" s="44"/>
      <c r="AD18" s="47"/>
      <c r="AE18" s="44"/>
      <c r="AF18" s="47"/>
    </row>
    <row r="19" spans="1:34" ht="21" customHeight="1" x14ac:dyDescent="0.2">
      <c r="A19" s="35" t="s">
        <v>30</v>
      </c>
      <c r="B19" s="39">
        <f>SUM(C19:E19)</f>
        <v>41.400000000000006</v>
      </c>
      <c r="C19" s="39">
        <f>M7*0.025*(V6*V8+W6*W8+Y6*Y8+AA6*AA8+AB6*AB8+AE6*AE8)</f>
        <v>37.800000000000004</v>
      </c>
      <c r="D19" s="39">
        <f>M7*0.025*(X6*X8+AC6*AC8+AH6*AH8)</f>
        <v>1.2000000000000002</v>
      </c>
      <c r="E19" s="39">
        <f>M7*0.025*(AF6*AF8+AD6*AD8)</f>
        <v>2.4000000000000004</v>
      </c>
      <c r="F19" s="39"/>
      <c r="G19" s="38">
        <f>B19+F19</f>
        <v>41.400000000000006</v>
      </c>
      <c r="H19" s="39"/>
      <c r="I19" s="39">
        <f>G19</f>
        <v>41.400000000000006</v>
      </c>
      <c r="J19" s="39"/>
      <c r="K19" s="39">
        <f>M7*0.025*AB16</f>
        <v>0</v>
      </c>
      <c r="L19" s="39"/>
      <c r="M19" s="40">
        <f>SUM(N19:P19)</f>
        <v>0</v>
      </c>
      <c r="N19" s="39"/>
      <c r="O19" s="39">
        <f>K19</f>
        <v>0</v>
      </c>
      <c r="P19" s="39"/>
      <c r="Q19" s="40">
        <f>G19+M19</f>
        <v>41.400000000000006</v>
      </c>
      <c r="R19" s="39"/>
      <c r="S19" s="39">
        <f>Q19</f>
        <v>41.400000000000006</v>
      </c>
      <c r="T19" s="39"/>
      <c r="V19" s="46"/>
      <c r="W19" s="53" t="s">
        <v>85</v>
      </c>
      <c r="X19" s="46" t="s">
        <v>93</v>
      </c>
      <c r="Y19" s="46">
        <v>12</v>
      </c>
      <c r="Z19" s="54"/>
      <c r="AA19" s="54"/>
      <c r="AB19" s="54"/>
      <c r="AC19" s="54"/>
      <c r="AD19" s="54"/>
      <c r="AE19" s="54"/>
      <c r="AF19" s="54"/>
    </row>
    <row r="20" spans="1:34" x14ac:dyDescent="0.2">
      <c r="A20" s="35" t="s">
        <v>31</v>
      </c>
      <c r="B20" s="39"/>
      <c r="C20" s="39"/>
      <c r="D20" s="39"/>
      <c r="E20" s="39"/>
      <c r="F20" s="39"/>
      <c r="G20" s="38"/>
      <c r="H20" s="39"/>
      <c r="I20" s="39"/>
      <c r="J20" s="39"/>
      <c r="K20" s="39"/>
      <c r="L20" s="39"/>
      <c r="M20" s="40"/>
      <c r="N20" s="39"/>
      <c r="O20" s="39"/>
      <c r="P20" s="39"/>
      <c r="Q20" s="40"/>
      <c r="R20" s="39"/>
      <c r="S20" s="39">
        <f>Q20</f>
        <v>0</v>
      </c>
      <c r="T20" s="39"/>
      <c r="V20" s="46"/>
      <c r="W20" s="44"/>
      <c r="X20" s="46"/>
      <c r="Y20" s="46"/>
      <c r="Z20" s="44"/>
      <c r="AA20" s="45"/>
      <c r="AB20" s="44"/>
      <c r="AC20" s="44"/>
      <c r="AE20" s="44"/>
    </row>
    <row r="21" spans="1:34" ht="27" customHeight="1" x14ac:dyDescent="0.2">
      <c r="A21" s="36" t="s">
        <v>32</v>
      </c>
      <c r="B21" s="38">
        <f>SUM(C21:E21)</f>
        <v>455.4</v>
      </c>
      <c r="C21" s="38">
        <f>SUM(C15:C20)</f>
        <v>415.8</v>
      </c>
      <c r="D21" s="38">
        <f>SUM(D15:D20)</f>
        <v>13.2</v>
      </c>
      <c r="E21" s="38">
        <f>SUM(E15:E20)</f>
        <v>26.4</v>
      </c>
      <c r="F21" s="38"/>
      <c r="G21" s="38">
        <f>B21+F21</f>
        <v>455.4</v>
      </c>
      <c r="H21" s="38"/>
      <c r="I21" s="38">
        <f>SUM(I15:I20)</f>
        <v>455.4</v>
      </c>
      <c r="J21" s="38"/>
      <c r="K21" s="38">
        <f>SUM(K16:K20)</f>
        <v>0</v>
      </c>
      <c r="L21" s="38"/>
      <c r="M21" s="40">
        <f>SUM(M16:M20)</f>
        <v>0</v>
      </c>
      <c r="N21" s="38"/>
      <c r="O21" s="38">
        <f>SUM(O16:O20)</f>
        <v>0</v>
      </c>
      <c r="P21" s="38"/>
      <c r="Q21" s="40">
        <f>G21+M21</f>
        <v>455.4</v>
      </c>
      <c r="R21" s="38"/>
      <c r="S21" s="39">
        <f>Q21</f>
        <v>455.4</v>
      </c>
      <c r="T21" s="39"/>
      <c r="W21" s="4" t="s">
        <v>95</v>
      </c>
      <c r="X21" s="43"/>
    </row>
    <row r="22" spans="1:34" ht="21" customHeight="1" x14ac:dyDescent="0.2">
      <c r="A22" s="18"/>
      <c r="B22" s="19" t="s">
        <v>33</v>
      </c>
      <c r="C22" s="99" t="s">
        <v>34</v>
      </c>
      <c r="D22" s="100"/>
      <c r="E22" s="100"/>
      <c r="F22" s="100"/>
      <c r="G22" s="100"/>
      <c r="H22" s="100"/>
      <c r="I22" s="101"/>
      <c r="J22" s="100"/>
      <c r="K22" s="100"/>
      <c r="L22" s="100"/>
      <c r="M22" s="100"/>
      <c r="N22" s="100"/>
      <c r="O22" s="27">
        <f>M7</f>
        <v>2</v>
      </c>
      <c r="P22" s="102" t="s">
        <v>71</v>
      </c>
      <c r="Q22" s="102"/>
      <c r="R22" s="102"/>
      <c r="S22" s="103"/>
      <c r="T22" s="104"/>
      <c r="W22" s="4" t="s">
        <v>96</v>
      </c>
      <c r="Y22" s="4">
        <f>63*12*0.025*2</f>
        <v>37.800000000000004</v>
      </c>
    </row>
    <row r="23" spans="1:34" s="3" customFormat="1" ht="24" customHeight="1" x14ac:dyDescent="0.2">
      <c r="A23" s="105" t="s">
        <v>36</v>
      </c>
      <c r="B23" s="105"/>
      <c r="C23" s="105"/>
      <c r="D23" s="105"/>
      <c r="E23" s="105"/>
      <c r="F23" s="106" t="s">
        <v>61</v>
      </c>
      <c r="G23" s="106"/>
      <c r="H23" s="106"/>
      <c r="I23" s="106"/>
      <c r="J23" s="106"/>
      <c r="K23" s="106"/>
      <c r="L23" s="106"/>
      <c r="M23" s="28" t="s">
        <v>37</v>
      </c>
      <c r="N23" s="106" t="str">
        <f>"(1+0,14*"&amp;TEXT(D14,"0,000")&amp;":"&amp;TEXT(B14,"0,000")&amp;")*(1+0,51*"&amp;TEXT(E14,"0,000")&amp;":"&amp;TEXT(B14,"0,000")&amp;")"</f>
        <v>(1+0,14*13,200:455,400)*(1+0,51*26,400:455,400)</v>
      </c>
      <c r="O23" s="106"/>
      <c r="P23" s="106"/>
      <c r="Q23" s="106"/>
      <c r="R23" s="106"/>
      <c r="S23" s="28" t="s">
        <v>38</v>
      </c>
      <c r="T23" s="29">
        <f>(1+0.14*D14/B14)*(1+0.51*E14/B14)</f>
        <v>1.0337431632010083</v>
      </c>
      <c r="V23" s="4"/>
      <c r="W23" s="4" t="s">
        <v>97</v>
      </c>
      <c r="X23" s="4"/>
      <c r="Y23" s="4">
        <f>4*12*0.025*2</f>
        <v>2.4000000000000004</v>
      </c>
      <c r="Z23" s="4"/>
      <c r="AA23" s="4"/>
      <c r="AB23" s="4"/>
      <c r="AC23" s="4"/>
      <c r="AD23" s="4"/>
      <c r="AE23" s="4"/>
      <c r="AF23" s="4"/>
      <c r="AG23" s="4"/>
      <c r="AH23" s="4"/>
    </row>
    <row r="24" spans="1:34" s="3" customFormat="1" ht="26.25" customHeight="1" x14ac:dyDescent="0.2">
      <c r="A24" s="105" t="s">
        <v>39</v>
      </c>
      <c r="B24" s="105"/>
      <c r="C24" s="105"/>
      <c r="D24" s="105"/>
      <c r="E24" s="105"/>
      <c r="F24" s="106" t="s">
        <v>62</v>
      </c>
      <c r="G24" s="106"/>
      <c r="H24" s="106"/>
      <c r="I24" s="106"/>
      <c r="J24" s="106"/>
      <c r="K24" s="106"/>
      <c r="L24" s="106"/>
      <c r="M24" s="28" t="s">
        <v>37</v>
      </c>
      <c r="N24" s="106" t="str">
        <f>"(1+0,51*"&amp;TEXT(I14,"0,000")&amp;":"&amp;TEXT(G14,"0,000")&amp;")*(1+1,03*"&amp;TEXT(J14,"0,000")&amp;":"&amp;TEXT(G14,"0,000")&amp;")"</f>
        <v>(1+0,51*455,400:455,400)*(1+1,03*0,000:455,400)</v>
      </c>
      <c r="O24" s="106"/>
      <c r="P24" s="106"/>
      <c r="Q24" s="106"/>
      <c r="R24" s="106"/>
      <c r="S24" s="28" t="s">
        <v>38</v>
      </c>
      <c r="T24" s="29">
        <f>(1+0.51*I14/G14)*(1+1.03*J14/G14)</f>
        <v>1.51</v>
      </c>
      <c r="V24" s="4"/>
      <c r="W24" s="3" t="s">
        <v>98</v>
      </c>
      <c r="Y24" s="3">
        <f>2*12*0.025*2</f>
        <v>1.2000000000000002</v>
      </c>
      <c r="AA24" s="4"/>
      <c r="AB24" s="4"/>
      <c r="AD24" s="4"/>
      <c r="AE24" s="4"/>
      <c r="AF24" s="4"/>
      <c r="AG24" s="4"/>
      <c r="AH24" s="4"/>
    </row>
    <row r="25" spans="1:34" s="3" customFormat="1" ht="21" customHeight="1" x14ac:dyDescent="0.2">
      <c r="A25" s="105" t="s">
        <v>40</v>
      </c>
      <c r="B25" s="105"/>
      <c r="C25" s="105"/>
      <c r="D25" s="105"/>
      <c r="E25" s="105"/>
      <c r="F25" s="106" t="s">
        <v>63</v>
      </c>
      <c r="G25" s="106"/>
      <c r="H25" s="106"/>
      <c r="I25" s="106"/>
      <c r="J25" s="106"/>
      <c r="K25" s="106"/>
      <c r="L25" s="106"/>
      <c r="M25" s="28" t="s">
        <v>37</v>
      </c>
      <c r="N25" s="106" t="str">
        <f>"(1+0,61*"&amp;TEXT(O14,"0,0")&amp;":"&amp;TEXT(M14,"0,0")&amp;")*(1+1,39*"&amp;TEXT(P14,"0,0")&amp;":"&amp;TEXT(M14,"0,0")&amp;")"</f>
        <v>(1+0,61*0,0:0,0)*(1+1,39*0,0:0,0)</v>
      </c>
      <c r="O25" s="106"/>
      <c r="P25" s="106"/>
      <c r="Q25" s="106"/>
      <c r="R25" s="106"/>
      <c r="S25" s="28" t="s">
        <v>38</v>
      </c>
      <c r="T25" s="29">
        <v>1</v>
      </c>
      <c r="V25" s="4"/>
      <c r="X25" s="3" t="s">
        <v>99</v>
      </c>
      <c r="Y25" s="3">
        <f>SUM(Y17:Y24)</f>
        <v>455.4</v>
      </c>
      <c r="AA25" s="42"/>
      <c r="AB25" s="4"/>
      <c r="AD25" s="4"/>
      <c r="AE25" s="4"/>
      <c r="AF25" s="4"/>
      <c r="AG25" s="4"/>
      <c r="AH25" s="4"/>
    </row>
    <row r="26" spans="1:34" s="3" customFormat="1" ht="23.25" customHeight="1" x14ac:dyDescent="0.2">
      <c r="A26" s="105" t="s">
        <v>64</v>
      </c>
      <c r="B26" s="105"/>
      <c r="C26" s="105"/>
      <c r="D26" s="105"/>
      <c r="E26" s="105"/>
      <c r="F26" s="105" t="s">
        <v>65</v>
      </c>
      <c r="G26" s="105"/>
      <c r="H26" s="105"/>
      <c r="I26" s="105"/>
      <c r="J26" s="105"/>
      <c r="K26" s="105"/>
      <c r="L26" s="105"/>
      <c r="M26" s="28" t="s">
        <v>37</v>
      </c>
      <c r="N26" s="105" t="str">
        <f>"0,5+"&amp;TEXT(B14,"0,000")&amp;":"&amp;TEXT(G14,"0,000")&amp;" *"&amp;TEXT(T23,"0,000")&amp;"*"&amp;TEXT(T24,"0,000")</f>
        <v>0,5+455,400:455,400 *1,034*1,510</v>
      </c>
      <c r="O26" s="105"/>
      <c r="P26" s="105"/>
      <c r="Q26" s="105"/>
      <c r="R26" s="105"/>
      <c r="S26" s="31" t="s">
        <v>38</v>
      </c>
      <c r="T26" s="55">
        <f>0.5+B14/G21*T23*T24</f>
        <v>2.0609521764335224</v>
      </c>
      <c r="V26" s="4"/>
      <c r="AA26" s="41"/>
      <c r="AB26" s="4"/>
      <c r="AD26" s="4"/>
      <c r="AE26" s="4"/>
      <c r="AF26" s="4"/>
      <c r="AG26" s="4"/>
      <c r="AH26" s="4"/>
    </row>
    <row r="27" spans="1:34" s="3" customFormat="1" ht="24" customHeight="1" x14ac:dyDescent="0.2">
      <c r="A27" s="105" t="s">
        <v>66</v>
      </c>
      <c r="B27" s="105"/>
      <c r="C27" s="105"/>
      <c r="D27" s="105"/>
      <c r="E27" s="105"/>
      <c r="F27" s="107" t="s">
        <v>68</v>
      </c>
      <c r="G27" s="107"/>
      <c r="H27" s="107"/>
      <c r="I27" s="107"/>
      <c r="J27" s="107"/>
      <c r="K27" s="107"/>
      <c r="L27" s="107"/>
      <c r="M27" s="28" t="s">
        <v>37</v>
      </c>
      <c r="N27" s="105" t="str">
        <f>"1+(1,31*"&amp;TEXT(K14,"0,00")&amp;"+0,95*"&amp;TEXT(L14,"0,00")&amp;" ):"&amp;TEXT(Q14,"0,000")&amp;"*"&amp;TEXT(T25,"0,000")&amp;""</f>
        <v>1+(1,31*0,00+0,95*0,00 ):455,400*1,000</v>
      </c>
      <c r="O27" s="105"/>
      <c r="P27" s="105"/>
      <c r="Q27" s="105"/>
      <c r="R27" s="105"/>
      <c r="S27" s="28" t="s">
        <v>38</v>
      </c>
      <c r="T27" s="29">
        <f>1+(1.31*K21+0.95*L21)/Q21*T25</f>
        <v>1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s="3" customFormat="1" ht="23.25" customHeight="1" x14ac:dyDescent="0.2">
      <c r="A28" s="105" t="s">
        <v>41</v>
      </c>
      <c r="B28" s="105"/>
      <c r="C28" s="105"/>
      <c r="D28" s="105"/>
      <c r="E28" s="105"/>
      <c r="F28" s="105" t="s">
        <v>67</v>
      </c>
      <c r="G28" s="105"/>
      <c r="H28" s="105"/>
      <c r="I28" s="105"/>
      <c r="J28" s="105"/>
      <c r="K28" s="105"/>
      <c r="L28" s="105"/>
      <c r="M28" s="28" t="s">
        <v>37</v>
      </c>
      <c r="N28" s="106" t="str">
        <f>"(1+(0,313*"&amp;TEXT(S14,"0,0")&amp;":"&amp;TEXT(Q14,"0,000")&amp;")*(1+0,566*"&amp;TEXT(T14,"0,000")&amp;":"&amp;TEXT(Q14,"0,000")&amp;")"</f>
        <v>(1+(0,313*455,4:455,400)*(1+0,566*0,000:455,400)</v>
      </c>
      <c r="O28" s="106"/>
      <c r="P28" s="106"/>
      <c r="Q28" s="106"/>
      <c r="R28" s="106"/>
      <c r="S28" s="33" t="s">
        <v>38</v>
      </c>
      <c r="T28" s="29">
        <f>(1+0.313*S21/Q21)*(1+0.566*T21/Q21)</f>
        <v>1.3129999999999999</v>
      </c>
      <c r="V28" s="4" t="s">
        <v>103</v>
      </c>
      <c r="W28" s="4" t="s">
        <v>102</v>
      </c>
      <c r="X28" s="4"/>
      <c r="Y28" s="4"/>
      <c r="Z28" s="4"/>
      <c r="AA28" s="4"/>
      <c r="AB28" s="4">
        <f>(1+0.14*13.2/415.8)*(1+0.51*26.4/455.4)</f>
        <v>1.0341410628019323</v>
      </c>
      <c r="AC28" s="4"/>
      <c r="AD28" s="4"/>
      <c r="AE28" s="4"/>
      <c r="AF28" s="4"/>
      <c r="AG28" s="4"/>
      <c r="AH28" s="4"/>
    </row>
    <row r="29" spans="1:34" ht="36" customHeight="1" x14ac:dyDescent="0.2">
      <c r="V29" s="4" t="s">
        <v>104</v>
      </c>
      <c r="W29" s="4" t="s">
        <v>106</v>
      </c>
      <c r="AB29" s="4">
        <f>(1+0.51*455.4/455.4)</f>
        <v>1.51</v>
      </c>
      <c r="AD29" s="4" t="s">
        <v>107</v>
      </c>
    </row>
    <row r="30" spans="1:34" x14ac:dyDescent="0.2">
      <c r="V30" s="4" t="s">
        <v>100</v>
      </c>
      <c r="W30" s="4" t="s">
        <v>101</v>
      </c>
      <c r="AB30" s="56">
        <f>0.5+455.4/455.4*AB28*AB29</f>
        <v>2.0615530048309179</v>
      </c>
    </row>
  </sheetData>
  <mergeCells count="68">
    <mergeCell ref="A28:E28"/>
    <mergeCell ref="F28:L28"/>
    <mergeCell ref="N28:R28"/>
    <mergeCell ref="A26:E26"/>
    <mergeCell ref="F26:L26"/>
    <mergeCell ref="N26:R26"/>
    <mergeCell ref="A27:E27"/>
    <mergeCell ref="F27:L27"/>
    <mergeCell ref="N27:R27"/>
    <mergeCell ref="A24:E24"/>
    <mergeCell ref="F24:L24"/>
    <mergeCell ref="N24:R24"/>
    <mergeCell ref="A25:E25"/>
    <mergeCell ref="F25:L25"/>
    <mergeCell ref="N25:R25"/>
    <mergeCell ref="C22:N22"/>
    <mergeCell ref="P22:T22"/>
    <mergeCell ref="A23:E23"/>
    <mergeCell ref="F23:L23"/>
    <mergeCell ref="N23:R23"/>
    <mergeCell ref="Z17:AE17"/>
    <mergeCell ref="R10:R11"/>
    <mergeCell ref="S10:S11"/>
    <mergeCell ref="T10:T11"/>
    <mergeCell ref="V14:V15"/>
    <mergeCell ref="W14:W15"/>
    <mergeCell ref="X14:X15"/>
    <mergeCell ref="Y14:Y15"/>
    <mergeCell ref="Z14:Z15"/>
    <mergeCell ref="AA14:AA15"/>
    <mergeCell ref="AB14:AB15"/>
    <mergeCell ref="AC14:AC15"/>
    <mergeCell ref="Q8:Q11"/>
    <mergeCell ref="R8:T9"/>
    <mergeCell ref="B9:E9"/>
    <mergeCell ref="F9:F11"/>
    <mergeCell ref="G9:G11"/>
    <mergeCell ref="H9:J11"/>
    <mergeCell ref="K9:K11"/>
    <mergeCell ref="L9:L11"/>
    <mergeCell ref="M9:M11"/>
    <mergeCell ref="N9:P11"/>
    <mergeCell ref="A8:A12"/>
    <mergeCell ref="B8:J8"/>
    <mergeCell ref="K8:P8"/>
    <mergeCell ref="B10:B11"/>
    <mergeCell ref="C10:E11"/>
    <mergeCell ref="B4:T4"/>
    <mergeCell ref="A7:B7"/>
    <mergeCell ref="E7:G7"/>
    <mergeCell ref="I7:L7"/>
    <mergeCell ref="B6:T6"/>
    <mergeCell ref="N1:T1"/>
    <mergeCell ref="A3:T3"/>
    <mergeCell ref="AG4:AG5"/>
    <mergeCell ref="AH4:AH5"/>
    <mergeCell ref="B5:T5"/>
    <mergeCell ref="AC4:AC5"/>
    <mergeCell ref="AD4:AD5"/>
    <mergeCell ref="AB4:AB5"/>
    <mergeCell ref="AA4:AA5"/>
    <mergeCell ref="Z4:Z5"/>
    <mergeCell ref="Y4:Y5"/>
    <mergeCell ref="X4:X5"/>
    <mergeCell ref="AE4:AE5"/>
    <mergeCell ref="AF4:AF5"/>
    <mergeCell ref="W4:W5"/>
    <mergeCell ref="V4:V5"/>
  </mergeCells>
  <printOptions horizontalCentered="1"/>
  <pageMargins left="0.19685039370078741" right="0.19685039370078741" top="0.78740157480314965" bottom="0.39370078740157483" header="0.31496062992125984" footer="0.31496062992125984"/>
  <pageSetup paperSize="9" scale="64" orientation="landscape" r:id="rId1"/>
  <headerFooter>
    <oddFooter>&amp;RСтраница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view="pageBreakPreview" topLeftCell="A7" zoomScale="80" zoomScaleSheetLayoutView="80" workbookViewId="0">
      <selection activeCell="A30" sqref="A30"/>
    </sheetView>
  </sheetViews>
  <sheetFormatPr defaultRowHeight="18.75" x14ac:dyDescent="0.2"/>
  <cols>
    <col min="1" max="1" width="22.28515625" style="4" customWidth="1"/>
    <col min="2" max="2" width="10.5703125" style="4" customWidth="1"/>
    <col min="3" max="3" width="8.7109375" style="4" customWidth="1"/>
    <col min="4" max="4" width="10" style="4" customWidth="1"/>
    <col min="5" max="5" width="11.42578125" style="4" customWidth="1"/>
    <col min="6" max="6" width="7.7109375" style="4" customWidth="1"/>
    <col min="7" max="7" width="10.7109375" style="4" customWidth="1"/>
    <col min="8" max="8" width="9.42578125" style="4" customWidth="1"/>
    <col min="9" max="9" width="13.140625" style="4" customWidth="1"/>
    <col min="10" max="10" width="9.85546875" style="4" customWidth="1"/>
    <col min="11" max="11" width="7.5703125" style="4" customWidth="1"/>
    <col min="12" max="12" width="6.42578125" style="4" customWidth="1"/>
    <col min="13" max="13" width="7.28515625" style="4" customWidth="1"/>
    <col min="14" max="14" width="9.28515625" style="4" customWidth="1"/>
    <col min="15" max="15" width="9.85546875" style="4" customWidth="1"/>
    <col min="16" max="16" width="8.28515625" style="4" customWidth="1"/>
    <col min="17" max="17" width="14.28515625" style="3" customWidth="1"/>
    <col min="18" max="18" width="13.28515625" style="4" customWidth="1"/>
    <col min="19" max="19" width="9.42578125" style="4" customWidth="1"/>
    <col min="20" max="20" width="11" style="4" customWidth="1"/>
    <col min="21" max="22" width="9.140625" style="4"/>
    <col min="23" max="23" width="12" style="4" customWidth="1"/>
    <col min="24" max="24" width="16.28515625" style="4" customWidth="1"/>
    <col min="25" max="25" width="12" style="4" customWidth="1"/>
    <col min="26" max="27" width="9.140625" style="4"/>
    <col min="28" max="28" width="12.85546875" style="4" customWidth="1"/>
    <col min="29" max="16384" width="9.140625" style="4"/>
  </cols>
  <sheetData>
    <row r="1" spans="1:29" x14ac:dyDescent="0.2">
      <c r="D1" s="20"/>
      <c r="E1" s="21"/>
      <c r="F1" s="21"/>
      <c r="N1" s="61" t="s">
        <v>90</v>
      </c>
      <c r="O1" s="61"/>
      <c r="P1" s="61"/>
      <c r="Q1" s="61"/>
      <c r="R1" s="61"/>
      <c r="S1" s="61"/>
      <c r="T1" s="61"/>
    </row>
    <row r="2" spans="1:29" ht="30" customHeight="1" x14ac:dyDescent="0.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9" ht="27" customHeight="1" x14ac:dyDescent="0.2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V3" s="4" t="s">
        <v>84</v>
      </c>
      <c r="W3" s="4" t="s">
        <v>84</v>
      </c>
      <c r="X3" s="4" t="s">
        <v>84</v>
      </c>
      <c r="Y3" s="4" t="s">
        <v>84</v>
      </c>
      <c r="Z3" s="4" t="s">
        <v>84</v>
      </c>
      <c r="AA3" s="4" t="s">
        <v>85</v>
      </c>
      <c r="AB3" s="4" t="s">
        <v>86</v>
      </c>
    </row>
    <row r="4" spans="1:29" s="23" customFormat="1" ht="41.25" customHeight="1" x14ac:dyDescent="0.3">
      <c r="A4" s="22" t="s">
        <v>3</v>
      </c>
      <c r="B4" s="65">
        <f>ИДм!B5</f>
        <v>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V4" s="37"/>
      <c r="W4" s="37"/>
      <c r="X4" s="37"/>
      <c r="Y4" s="37"/>
      <c r="Z4" s="37"/>
      <c r="AA4" s="37"/>
      <c r="AB4" s="37"/>
    </row>
    <row r="5" spans="1:29" s="22" customFormat="1" ht="33" customHeight="1" x14ac:dyDescent="0.3">
      <c r="A5" s="24" t="s">
        <v>4</v>
      </c>
      <c r="B5" s="70" t="str">
        <f>ИДм!B6</f>
        <v>Узлы почасового учета электроэнергии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V5" s="2"/>
      <c r="W5" s="2"/>
      <c r="X5" s="2"/>
      <c r="Y5" s="2"/>
      <c r="Z5" s="2">
        <v>2</v>
      </c>
      <c r="AA5" s="2">
        <v>4</v>
      </c>
      <c r="AB5" s="2">
        <v>63</v>
      </c>
      <c r="AC5" s="25" t="s">
        <v>5</v>
      </c>
    </row>
    <row r="6" spans="1:29" ht="36" customHeight="1" x14ac:dyDescent="0.2">
      <c r="A6" s="67" t="s">
        <v>6</v>
      </c>
      <c r="B6" s="67"/>
      <c r="C6" s="26">
        <f>SUM(V5:AB5)</f>
        <v>69</v>
      </c>
      <c r="D6" s="26"/>
      <c r="E6" s="68" t="s">
        <v>7</v>
      </c>
      <c r="F6" s="68"/>
      <c r="G6" s="68"/>
      <c r="H6" s="60" t="s">
        <v>115</v>
      </c>
      <c r="I6" s="69" t="s">
        <v>8</v>
      </c>
      <c r="J6" s="69"/>
      <c r="K6" s="69"/>
      <c r="L6" s="69"/>
      <c r="M6" s="27">
        <f>ИДм!M7</f>
        <v>2</v>
      </c>
      <c r="N6" s="27" t="s">
        <v>70</v>
      </c>
      <c r="O6" s="27"/>
      <c r="P6" s="27"/>
      <c r="Q6" s="27"/>
      <c r="R6" s="27"/>
      <c r="S6" s="27"/>
      <c r="T6" s="27"/>
      <c r="V6" s="1">
        <v>3</v>
      </c>
      <c r="W6" s="1">
        <v>3</v>
      </c>
      <c r="X6" s="1">
        <v>3</v>
      </c>
      <c r="Y6" s="1">
        <v>3</v>
      </c>
      <c r="Z6" s="1">
        <v>6</v>
      </c>
      <c r="AA6" s="1">
        <v>6</v>
      </c>
      <c r="AB6" s="1">
        <v>6</v>
      </c>
      <c r="AC6" s="4" t="s">
        <v>9</v>
      </c>
    </row>
    <row r="7" spans="1:29" s="3" customFormat="1" ht="18.75" customHeight="1" x14ac:dyDescent="0.2">
      <c r="A7" s="71" t="s">
        <v>10</v>
      </c>
      <c r="B7" s="74" t="s">
        <v>11</v>
      </c>
      <c r="C7" s="75"/>
      <c r="D7" s="75"/>
      <c r="E7" s="75"/>
      <c r="F7" s="75"/>
      <c r="G7" s="75"/>
      <c r="H7" s="75"/>
      <c r="I7" s="75"/>
      <c r="J7" s="76"/>
      <c r="K7" s="74" t="s">
        <v>12</v>
      </c>
      <c r="L7" s="75"/>
      <c r="M7" s="75"/>
      <c r="N7" s="75"/>
      <c r="O7" s="75"/>
      <c r="P7" s="76"/>
      <c r="Q7" s="85" t="s">
        <v>13</v>
      </c>
      <c r="R7" s="79" t="s">
        <v>14</v>
      </c>
      <c r="S7" s="80"/>
      <c r="T7" s="81"/>
      <c r="V7" s="1">
        <v>12</v>
      </c>
      <c r="W7" s="1">
        <v>12</v>
      </c>
      <c r="X7" s="1">
        <v>12</v>
      </c>
      <c r="Y7" s="1">
        <v>12</v>
      </c>
      <c r="Z7" s="1">
        <v>12</v>
      </c>
      <c r="AA7" s="1">
        <v>12</v>
      </c>
      <c r="AB7" s="1">
        <v>12</v>
      </c>
      <c r="AC7" s="3" t="s">
        <v>15</v>
      </c>
    </row>
    <row r="8" spans="1:29" s="3" customFormat="1" ht="18.75" customHeight="1" x14ac:dyDescent="0.2">
      <c r="A8" s="72"/>
      <c r="B8" s="74" t="s">
        <v>16</v>
      </c>
      <c r="C8" s="75"/>
      <c r="D8" s="75"/>
      <c r="E8" s="76"/>
      <c r="F8" s="88" t="s">
        <v>17</v>
      </c>
      <c r="G8" s="91" t="s">
        <v>0</v>
      </c>
      <c r="H8" s="79" t="s">
        <v>18</v>
      </c>
      <c r="I8" s="80"/>
      <c r="J8" s="81"/>
      <c r="K8" s="91" t="s">
        <v>19</v>
      </c>
      <c r="L8" s="91" t="s">
        <v>17</v>
      </c>
      <c r="M8" s="91" t="s">
        <v>0</v>
      </c>
      <c r="N8" s="79" t="s">
        <v>20</v>
      </c>
      <c r="O8" s="80"/>
      <c r="P8" s="81"/>
      <c r="Q8" s="86"/>
      <c r="R8" s="82"/>
      <c r="S8" s="83"/>
      <c r="T8" s="84"/>
      <c r="V8" s="1"/>
      <c r="W8" s="1"/>
      <c r="X8" s="1"/>
      <c r="Y8" s="1"/>
      <c r="Z8" s="1"/>
      <c r="AA8" s="1"/>
      <c r="AB8" s="1">
        <f>AB5*AB6</f>
        <v>378</v>
      </c>
    </row>
    <row r="9" spans="1:29" ht="18.75" customHeight="1" x14ac:dyDescent="0.2">
      <c r="A9" s="72"/>
      <c r="B9" s="77"/>
      <c r="C9" s="79" t="s">
        <v>21</v>
      </c>
      <c r="D9" s="80"/>
      <c r="E9" s="81"/>
      <c r="F9" s="89"/>
      <c r="G9" s="92"/>
      <c r="H9" s="94"/>
      <c r="I9" s="95"/>
      <c r="J9" s="96"/>
      <c r="K9" s="92"/>
      <c r="L9" s="92"/>
      <c r="M9" s="92"/>
      <c r="N9" s="94"/>
      <c r="O9" s="95"/>
      <c r="P9" s="96"/>
      <c r="Q9" s="86"/>
      <c r="R9" s="77" t="s">
        <v>22</v>
      </c>
      <c r="S9" s="77" t="s">
        <v>23</v>
      </c>
      <c r="T9" s="77" t="s">
        <v>24</v>
      </c>
      <c r="V9" s="5"/>
      <c r="W9" s="5"/>
      <c r="X9" s="5"/>
      <c r="Y9" s="5"/>
      <c r="Z9" s="5"/>
      <c r="AA9" s="5"/>
      <c r="AB9" s="5">
        <f>AB5*AB7*0.025</f>
        <v>18.900000000000002</v>
      </c>
    </row>
    <row r="10" spans="1:29" ht="18" customHeight="1" x14ac:dyDescent="0.2">
      <c r="A10" s="72"/>
      <c r="B10" s="78"/>
      <c r="C10" s="82"/>
      <c r="D10" s="83"/>
      <c r="E10" s="84"/>
      <c r="F10" s="90"/>
      <c r="G10" s="93"/>
      <c r="H10" s="82"/>
      <c r="I10" s="83"/>
      <c r="J10" s="84"/>
      <c r="K10" s="93"/>
      <c r="L10" s="93"/>
      <c r="M10" s="93"/>
      <c r="N10" s="82"/>
      <c r="O10" s="83"/>
      <c r="P10" s="84"/>
      <c r="Q10" s="87"/>
      <c r="R10" s="78"/>
      <c r="S10" s="78"/>
      <c r="T10" s="78"/>
      <c r="V10" s="5"/>
      <c r="W10" s="5"/>
      <c r="X10" s="5"/>
      <c r="Y10" s="5"/>
      <c r="Z10" s="5"/>
      <c r="AA10" s="5"/>
      <c r="AB10" s="5"/>
    </row>
    <row r="11" spans="1:29" s="14" customFormat="1" ht="29.25" customHeight="1" x14ac:dyDescent="0.2">
      <c r="A11" s="73"/>
      <c r="B11" s="6" t="s">
        <v>42</v>
      </c>
      <c r="C11" s="7" t="s">
        <v>43</v>
      </c>
      <c r="D11" s="7" t="s">
        <v>44</v>
      </c>
      <c r="E11" s="7" t="s">
        <v>45</v>
      </c>
      <c r="F11" s="7" t="s">
        <v>46</v>
      </c>
      <c r="G11" s="7" t="s">
        <v>47</v>
      </c>
      <c r="H11" s="8" t="s">
        <v>48</v>
      </c>
      <c r="I11" s="9" t="s">
        <v>49</v>
      </c>
      <c r="J11" s="10" t="s">
        <v>50</v>
      </c>
      <c r="K11" s="7" t="s">
        <v>51</v>
      </c>
      <c r="L11" s="7" t="s">
        <v>52</v>
      </c>
      <c r="M11" s="9" t="s">
        <v>53</v>
      </c>
      <c r="N11" s="11" t="s">
        <v>54</v>
      </c>
      <c r="O11" s="7" t="s">
        <v>55</v>
      </c>
      <c r="P11" s="9" t="s">
        <v>56</v>
      </c>
      <c r="Q11" s="12" t="s">
        <v>57</v>
      </c>
      <c r="R11" s="7" t="s">
        <v>58</v>
      </c>
      <c r="S11" s="7" t="s">
        <v>59</v>
      </c>
      <c r="T11" s="13" t="s">
        <v>60</v>
      </c>
      <c r="V11" s="15"/>
      <c r="W11" s="15"/>
      <c r="X11" s="15"/>
      <c r="Y11" s="15"/>
      <c r="Z11" s="15"/>
      <c r="AA11" s="15"/>
      <c r="AB11" s="15"/>
    </row>
    <row r="12" spans="1:29" ht="13.5" customHeight="1" x14ac:dyDescent="0.2">
      <c r="A12" s="10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11">
        <v>8</v>
      </c>
      <c r="I12" s="7">
        <v>9</v>
      </c>
      <c r="J12" s="10">
        <v>10</v>
      </c>
      <c r="K12" s="7">
        <v>11</v>
      </c>
      <c r="L12" s="7">
        <v>12</v>
      </c>
      <c r="M12" s="7">
        <v>13</v>
      </c>
      <c r="N12" s="11">
        <v>14</v>
      </c>
      <c r="O12" s="7">
        <v>15</v>
      </c>
      <c r="P12" s="10">
        <v>16</v>
      </c>
      <c r="Q12" s="7">
        <v>17</v>
      </c>
      <c r="R12" s="11">
        <v>18</v>
      </c>
      <c r="S12" s="7">
        <v>19</v>
      </c>
      <c r="T12" s="7">
        <v>20</v>
      </c>
      <c r="V12" s="5"/>
      <c r="W12" s="5"/>
      <c r="X12" s="5"/>
      <c r="Y12" s="5"/>
      <c r="Z12" s="5"/>
      <c r="AA12" s="5"/>
      <c r="AB12" s="5"/>
    </row>
    <row r="13" spans="1:29" s="17" customFormat="1" ht="35.25" customHeight="1" x14ac:dyDescent="0.2">
      <c r="A13" s="16" t="s">
        <v>25</v>
      </c>
      <c r="B13" s="38">
        <f>SUM(B14:B19)</f>
        <v>455.4</v>
      </c>
      <c r="C13" s="38">
        <f>SUM(C14:C19)</f>
        <v>415.8</v>
      </c>
      <c r="D13" s="38">
        <f>SUM(D14:D19)</f>
        <v>13.2</v>
      </c>
      <c r="E13" s="38">
        <f>SUM(E14:E19)</f>
        <v>26.4</v>
      </c>
      <c r="F13" s="38"/>
      <c r="G13" s="38">
        <f>B13+F13</f>
        <v>455.4</v>
      </c>
      <c r="H13" s="38"/>
      <c r="I13" s="38">
        <f>I16+I18</f>
        <v>455.4</v>
      </c>
      <c r="J13" s="57"/>
      <c r="K13" s="38"/>
      <c r="L13" s="38"/>
      <c r="M13" s="38"/>
      <c r="N13" s="38"/>
      <c r="O13" s="38"/>
      <c r="P13" s="38"/>
      <c r="Q13" s="38">
        <f>G13+M13</f>
        <v>455.4</v>
      </c>
      <c r="R13" s="38"/>
      <c r="S13" s="38"/>
      <c r="T13" s="38">
        <f>SUM(T14:T19)</f>
        <v>455.4</v>
      </c>
      <c r="V13" s="15"/>
      <c r="W13" s="15"/>
      <c r="X13" s="15"/>
      <c r="Y13" s="15"/>
      <c r="Z13" s="15"/>
      <c r="AA13" s="15"/>
      <c r="AB13" s="15"/>
    </row>
    <row r="14" spans="1:29" s="3" customFormat="1" ht="22.5" customHeight="1" x14ac:dyDescent="0.2">
      <c r="A14" s="34" t="s">
        <v>26</v>
      </c>
      <c r="B14" s="39"/>
      <c r="C14" s="40"/>
      <c r="D14" s="40"/>
      <c r="E14" s="40"/>
      <c r="F14" s="40"/>
      <c r="G14" s="38"/>
      <c r="H14" s="40"/>
      <c r="I14" s="40"/>
      <c r="J14" s="58"/>
      <c r="K14" s="40"/>
      <c r="L14" s="40"/>
      <c r="M14" s="40"/>
      <c r="N14" s="40"/>
      <c r="O14" s="40"/>
      <c r="P14" s="40"/>
      <c r="Q14" s="40"/>
      <c r="R14" s="40"/>
      <c r="S14" s="40"/>
      <c r="T14" s="40"/>
      <c r="V14" s="5"/>
      <c r="W14" s="5"/>
      <c r="X14" s="5"/>
      <c r="Y14" s="5"/>
      <c r="Z14" s="5"/>
      <c r="AA14" s="5"/>
      <c r="AB14" s="5"/>
    </row>
    <row r="15" spans="1:29" s="3" customFormat="1" ht="18.75" customHeight="1" x14ac:dyDescent="0.2">
      <c r="A15" s="35" t="s">
        <v>27</v>
      </c>
      <c r="B15" s="39"/>
      <c r="C15" s="39"/>
      <c r="D15" s="39"/>
      <c r="E15" s="39"/>
      <c r="F15" s="39"/>
      <c r="G15" s="38"/>
      <c r="H15" s="39"/>
      <c r="I15" s="39"/>
      <c r="J15" s="58"/>
      <c r="K15" s="39"/>
      <c r="L15" s="39"/>
      <c r="M15" s="40"/>
      <c r="N15" s="39"/>
      <c r="O15" s="39"/>
      <c r="P15" s="39"/>
      <c r="Q15" s="40"/>
      <c r="R15" s="39"/>
      <c r="S15" s="39"/>
      <c r="T15" s="39"/>
      <c r="V15" s="4"/>
      <c r="W15" s="4"/>
      <c r="X15" s="4"/>
      <c r="Y15" s="4"/>
      <c r="Z15" s="4"/>
      <c r="AA15" s="4"/>
      <c r="AB15" s="4"/>
    </row>
    <row r="16" spans="1:29" ht="24" customHeight="1" x14ac:dyDescent="0.2">
      <c r="A16" s="35" t="s">
        <v>28</v>
      </c>
      <c r="B16" s="39">
        <f>SUM(C16:E16)</f>
        <v>414</v>
      </c>
      <c r="C16" s="39">
        <f>AB5*AB6</f>
        <v>378</v>
      </c>
      <c r="D16" s="39">
        <f>Z5*Z6</f>
        <v>12</v>
      </c>
      <c r="E16" s="39">
        <f>AA5*AA6</f>
        <v>24</v>
      </c>
      <c r="F16" s="39"/>
      <c r="G16" s="38">
        <f>B16+F16</f>
        <v>414</v>
      </c>
      <c r="H16" s="39"/>
      <c r="I16" s="39">
        <f>G16</f>
        <v>414</v>
      </c>
      <c r="J16" s="59"/>
      <c r="K16" s="39"/>
      <c r="L16" s="39"/>
      <c r="M16" s="40"/>
      <c r="N16" s="39"/>
      <c r="O16" s="39"/>
      <c r="P16" s="39"/>
      <c r="Q16" s="40">
        <f>G16+M16</f>
        <v>414</v>
      </c>
      <c r="R16" s="39"/>
      <c r="S16" s="39"/>
      <c r="T16" s="39">
        <f>G16</f>
        <v>414</v>
      </c>
    </row>
    <row r="17" spans="1:28" ht="19.5" customHeight="1" x14ac:dyDescent="0.2">
      <c r="A17" s="35" t="s">
        <v>29</v>
      </c>
      <c r="B17" s="39"/>
      <c r="C17" s="39"/>
      <c r="D17" s="39"/>
      <c r="E17" s="39"/>
      <c r="F17" s="39"/>
      <c r="G17" s="38"/>
      <c r="H17" s="39"/>
      <c r="I17" s="39"/>
      <c r="J17" s="59"/>
      <c r="K17" s="39"/>
      <c r="L17" s="39"/>
      <c r="M17" s="40"/>
      <c r="N17" s="39"/>
      <c r="O17" s="39"/>
      <c r="P17" s="39"/>
      <c r="Q17" s="40"/>
      <c r="R17" s="39"/>
      <c r="S17" s="39"/>
      <c r="T17" s="39"/>
    </row>
    <row r="18" spans="1:28" ht="21" customHeight="1" x14ac:dyDescent="0.2">
      <c r="A18" s="35" t="s">
        <v>30</v>
      </c>
      <c r="B18" s="39">
        <f>SUM(C18:E18)</f>
        <v>41.400000000000006</v>
      </c>
      <c r="C18" s="39">
        <f>AB5*AB7*0.025*M6</f>
        <v>37.800000000000004</v>
      </c>
      <c r="D18" s="39">
        <f>Z5*Z7*0.025*M6</f>
        <v>1.2000000000000002</v>
      </c>
      <c r="E18" s="39">
        <f>AA5*AA7*0.025*M6</f>
        <v>2.4000000000000004</v>
      </c>
      <c r="F18" s="39"/>
      <c r="G18" s="38">
        <f>B18+F18</f>
        <v>41.400000000000006</v>
      </c>
      <c r="H18" s="39"/>
      <c r="I18" s="39">
        <f>G18</f>
        <v>41.400000000000006</v>
      </c>
      <c r="J18" s="59"/>
      <c r="K18" s="39"/>
      <c r="L18" s="39"/>
      <c r="M18" s="40"/>
      <c r="N18" s="39"/>
      <c r="O18" s="39"/>
      <c r="P18" s="39"/>
      <c r="Q18" s="40">
        <f>G18+M18</f>
        <v>41.400000000000006</v>
      </c>
      <c r="R18" s="39"/>
      <c r="S18" s="39"/>
      <c r="T18" s="39">
        <f>G18</f>
        <v>41.400000000000006</v>
      </c>
    </row>
    <row r="19" spans="1:28" x14ac:dyDescent="0.2">
      <c r="A19" s="35" t="s">
        <v>31</v>
      </c>
      <c r="B19" s="39"/>
      <c r="C19" s="39"/>
      <c r="D19" s="39"/>
      <c r="E19" s="39"/>
      <c r="F19" s="39"/>
      <c r="G19" s="38"/>
      <c r="H19" s="39"/>
      <c r="I19" s="39"/>
      <c r="J19" s="59"/>
      <c r="K19" s="39"/>
      <c r="L19" s="39"/>
      <c r="M19" s="40"/>
      <c r="N19" s="39"/>
      <c r="O19" s="39"/>
      <c r="P19" s="39"/>
      <c r="Q19" s="40"/>
      <c r="R19" s="39"/>
      <c r="S19" s="39"/>
      <c r="T19" s="39"/>
    </row>
    <row r="20" spans="1:28" ht="27" customHeight="1" x14ac:dyDescent="0.2">
      <c r="A20" s="36" t="s">
        <v>32</v>
      </c>
      <c r="B20" s="38">
        <f>SUM(C20:E20)</f>
        <v>455.4</v>
      </c>
      <c r="C20" s="38">
        <f>SUM(C15:C18)</f>
        <v>415.8</v>
      </c>
      <c r="D20" s="38">
        <f>SUM(D14:D19)</f>
        <v>13.2</v>
      </c>
      <c r="E20" s="38">
        <f>SUM(E14:E19)</f>
        <v>26.4</v>
      </c>
      <c r="F20" s="38"/>
      <c r="G20" s="38">
        <f>B20+F20</f>
        <v>455.4</v>
      </c>
      <c r="H20" s="38"/>
      <c r="I20" s="38">
        <f>SUM(I14:I19)</f>
        <v>455.4</v>
      </c>
      <c r="J20" s="59"/>
      <c r="K20" s="38"/>
      <c r="L20" s="38"/>
      <c r="M20" s="40"/>
      <c r="N20" s="38"/>
      <c r="O20" s="38"/>
      <c r="P20" s="38"/>
      <c r="Q20" s="40">
        <f>G20+M20</f>
        <v>455.4</v>
      </c>
      <c r="R20" s="38"/>
      <c r="S20" s="38"/>
      <c r="T20" s="38">
        <f>SUM(T14:T19)</f>
        <v>455.4</v>
      </c>
    </row>
    <row r="21" spans="1:28" ht="21" customHeight="1" x14ac:dyDescent="0.2">
      <c r="A21" s="18"/>
      <c r="B21" s="19" t="s">
        <v>33</v>
      </c>
      <c r="C21" s="99" t="s">
        <v>34</v>
      </c>
      <c r="D21" s="100"/>
      <c r="E21" s="100"/>
      <c r="F21" s="100"/>
      <c r="G21" s="100"/>
      <c r="H21" s="100"/>
      <c r="I21" s="101"/>
      <c r="J21" s="100"/>
      <c r="K21" s="100"/>
      <c r="L21" s="100"/>
      <c r="M21" s="100"/>
      <c r="N21" s="100"/>
      <c r="O21" s="27">
        <f>M6</f>
        <v>2</v>
      </c>
      <c r="P21" s="102" t="s">
        <v>35</v>
      </c>
      <c r="Q21" s="102"/>
      <c r="R21" s="102"/>
      <c r="S21" s="103"/>
      <c r="T21" s="104"/>
      <c r="U21" s="4" t="s">
        <v>108</v>
      </c>
      <c r="X21" s="4">
        <f>69*6</f>
        <v>414</v>
      </c>
    </row>
    <row r="22" spans="1:28" s="3" customFormat="1" ht="24" customHeight="1" x14ac:dyDescent="0.2">
      <c r="A22" s="105" t="s">
        <v>36</v>
      </c>
      <c r="B22" s="105"/>
      <c r="C22" s="105"/>
      <c r="D22" s="105"/>
      <c r="E22" s="105"/>
      <c r="F22" s="106" t="s">
        <v>61</v>
      </c>
      <c r="G22" s="106"/>
      <c r="H22" s="106"/>
      <c r="I22" s="106"/>
      <c r="J22" s="106"/>
      <c r="K22" s="106"/>
      <c r="L22" s="106"/>
      <c r="M22" s="28" t="s">
        <v>37</v>
      </c>
      <c r="N22" s="106" t="str">
        <f>"(1+0,14*"&amp;TEXT(D13,"0,000")&amp;":"&amp;TEXT(B13,"0,000")&amp;")*(1+0,51*"&amp;TEXT(E13,"0,000")&amp;":"&amp;TEXT(B13,"0,000")&amp;")"</f>
        <v>(1+0,14*13,200:455,400)*(1+0,51*26,400:455,400)</v>
      </c>
      <c r="O22" s="106"/>
      <c r="P22" s="106"/>
      <c r="Q22" s="106"/>
      <c r="R22" s="106"/>
      <c r="S22" s="28" t="s">
        <v>38</v>
      </c>
      <c r="T22" s="29">
        <f>(1+0.14*D13/B13)*(1+0.51*E13/B13)</f>
        <v>1.0337431632010083</v>
      </c>
      <c r="U22" s="3" t="s">
        <v>109</v>
      </c>
      <c r="V22" s="4"/>
      <c r="W22" s="4"/>
      <c r="X22" s="4">
        <f>69*12*0.025*2</f>
        <v>41.400000000000006</v>
      </c>
      <c r="Y22" s="4"/>
      <c r="Z22" s="4"/>
      <c r="AA22" s="4"/>
      <c r="AB22" s="4"/>
    </row>
    <row r="23" spans="1:28" s="3" customFormat="1" ht="26.25" customHeight="1" x14ac:dyDescent="0.2">
      <c r="A23" s="105" t="s">
        <v>39</v>
      </c>
      <c r="B23" s="105"/>
      <c r="C23" s="105"/>
      <c r="D23" s="105"/>
      <c r="E23" s="105"/>
      <c r="F23" s="106" t="s">
        <v>62</v>
      </c>
      <c r="G23" s="106"/>
      <c r="H23" s="106"/>
      <c r="I23" s="106"/>
      <c r="J23" s="106"/>
      <c r="K23" s="106"/>
      <c r="L23" s="106"/>
      <c r="M23" s="28" t="s">
        <v>37</v>
      </c>
      <c r="N23" s="106" t="str">
        <f>"(1+0,51*"&amp;TEXT(I13,"0,000")&amp;":"&amp;TEXT(G13,"0,000")&amp;")*(1+1,03*"&amp;TEXT(J13,"0,000")&amp;":"&amp;TEXT(G13,"0,000")&amp;")"</f>
        <v>(1+0,51*455,400:455,400)*(1+1,03*0,000:455,400)</v>
      </c>
      <c r="O23" s="106"/>
      <c r="P23" s="106"/>
      <c r="Q23" s="106"/>
      <c r="R23" s="106"/>
      <c r="S23" s="28" t="s">
        <v>38</v>
      </c>
      <c r="T23" s="29">
        <f>(1+0.51*I13/G13)*(1+1.03*J13/G13)</f>
        <v>1.51</v>
      </c>
      <c r="U23" s="3" t="s">
        <v>110</v>
      </c>
      <c r="V23" s="4"/>
      <c r="W23" s="4"/>
      <c r="X23" s="4">
        <f>SUM(X21:X22)</f>
        <v>455.4</v>
      </c>
      <c r="Y23" s="4"/>
      <c r="Z23" s="4"/>
      <c r="AA23" s="4"/>
      <c r="AB23" s="4"/>
    </row>
    <row r="24" spans="1:28" s="3" customFormat="1" ht="21" customHeight="1" x14ac:dyDescent="0.2">
      <c r="A24" s="105" t="s">
        <v>40</v>
      </c>
      <c r="B24" s="105"/>
      <c r="C24" s="105"/>
      <c r="D24" s="105"/>
      <c r="E24" s="105"/>
      <c r="F24" s="106" t="s">
        <v>63</v>
      </c>
      <c r="G24" s="106"/>
      <c r="H24" s="106"/>
      <c r="I24" s="106"/>
      <c r="J24" s="106"/>
      <c r="K24" s="106"/>
      <c r="L24" s="106"/>
      <c r="M24" s="28" t="s">
        <v>37</v>
      </c>
      <c r="N24" s="106" t="str">
        <f>"(1+0,61*"&amp;TEXT(O13,"0,0")&amp;":"&amp;TEXT(M13,"0,0")&amp;")*(1+1,39*"&amp;TEXT(P13,"0,0")&amp;":"&amp;TEXT(M13,"0,0")&amp;")"</f>
        <v>(1+0,61*0,0:0,0)*(1+1,39*0,0:0,0)</v>
      </c>
      <c r="O24" s="106"/>
      <c r="P24" s="106"/>
      <c r="Q24" s="106"/>
      <c r="R24" s="106"/>
      <c r="S24" s="28" t="s">
        <v>38</v>
      </c>
      <c r="T24" s="30">
        <v>1</v>
      </c>
      <c r="V24" s="4"/>
      <c r="W24" s="4"/>
      <c r="X24" s="4"/>
      <c r="Y24" s="4"/>
      <c r="Z24" s="4"/>
      <c r="AA24" s="4"/>
      <c r="AB24" s="4"/>
    </row>
    <row r="25" spans="1:28" s="3" customFormat="1" ht="23.25" customHeight="1" x14ac:dyDescent="0.2">
      <c r="A25" s="105" t="s">
        <v>64</v>
      </c>
      <c r="B25" s="105"/>
      <c r="C25" s="105"/>
      <c r="D25" s="105"/>
      <c r="E25" s="105"/>
      <c r="F25" s="105" t="s">
        <v>65</v>
      </c>
      <c r="G25" s="105"/>
      <c r="H25" s="105"/>
      <c r="I25" s="105"/>
      <c r="J25" s="105"/>
      <c r="K25" s="105"/>
      <c r="L25" s="105"/>
      <c r="M25" s="28" t="s">
        <v>37</v>
      </c>
      <c r="N25" s="105" t="str">
        <f>"0,5+"&amp;TEXT(B13,"0,000")&amp;":"&amp;TEXT(G13,"0,000")&amp;" *"&amp;TEXT(T22,"0,000")&amp;"*"&amp;TEXT(T23,"0,000")</f>
        <v>0,5+455,400:455,400 *1,034*1,510</v>
      </c>
      <c r="O25" s="105"/>
      <c r="P25" s="105"/>
      <c r="Q25" s="105"/>
      <c r="R25" s="105"/>
      <c r="S25" s="31" t="s">
        <v>38</v>
      </c>
      <c r="T25" s="29">
        <f>0.5+B13/G20*T22*T23</f>
        <v>2.0609521764335224</v>
      </c>
      <c r="U25" s="3" t="s">
        <v>112</v>
      </c>
      <c r="V25" s="4"/>
      <c r="W25" s="4"/>
      <c r="X25" s="43">
        <f>(1+0.14*13.2/455.4)*(1+0.51*26.4/455.4)</f>
        <v>1.0337431632010083</v>
      </c>
      <c r="Y25" s="4" t="s">
        <v>111</v>
      </c>
      <c r="Z25" s="4"/>
      <c r="AA25" s="4"/>
      <c r="AB25" s="4"/>
    </row>
    <row r="26" spans="1:28" s="3" customFormat="1" ht="24" customHeight="1" x14ac:dyDescent="0.2">
      <c r="A26" s="105" t="s">
        <v>66</v>
      </c>
      <c r="B26" s="105"/>
      <c r="C26" s="105"/>
      <c r="D26" s="105"/>
      <c r="E26" s="105"/>
      <c r="F26" s="107" t="s">
        <v>68</v>
      </c>
      <c r="G26" s="107"/>
      <c r="H26" s="107"/>
      <c r="I26" s="107"/>
      <c r="J26" s="107"/>
      <c r="K26" s="107"/>
      <c r="L26" s="107"/>
      <c r="M26" s="28" t="s">
        <v>37</v>
      </c>
      <c r="N26" s="105" t="str">
        <f>"1+(1,31*"&amp;TEXT(K13,"0")&amp;"+0,95*"&amp;TEXT(L13,"0,0")&amp;" ):"&amp;TEXT(Q13,"0,000")&amp;"*"&amp;TEXT(T24,"0")&amp;""</f>
        <v>1+(1,31*0+0,95*0,0 ):455,400*1</v>
      </c>
      <c r="O26" s="105"/>
      <c r="P26" s="105"/>
      <c r="Q26" s="105"/>
      <c r="R26" s="105"/>
      <c r="S26" s="28" t="s">
        <v>38</v>
      </c>
      <c r="T26" s="32">
        <f>1+(1.31*K20+0.95*L20)/Q20*T24</f>
        <v>1</v>
      </c>
      <c r="U26" s="3" t="s">
        <v>113</v>
      </c>
      <c r="V26" s="4"/>
      <c r="W26" s="4"/>
      <c r="X26" s="4">
        <f>(1+0.51*455.4/455.4)</f>
        <v>1.51</v>
      </c>
      <c r="Y26" s="4"/>
      <c r="Z26" s="4"/>
      <c r="AA26" s="4"/>
      <c r="AB26" s="4"/>
    </row>
    <row r="27" spans="1:28" s="3" customFormat="1" ht="23.25" customHeight="1" x14ac:dyDescent="0.2">
      <c r="A27" s="105" t="s">
        <v>41</v>
      </c>
      <c r="B27" s="105"/>
      <c r="C27" s="105"/>
      <c r="D27" s="105"/>
      <c r="E27" s="105"/>
      <c r="F27" s="105" t="s">
        <v>67</v>
      </c>
      <c r="G27" s="105"/>
      <c r="H27" s="105"/>
      <c r="I27" s="105"/>
      <c r="J27" s="105"/>
      <c r="K27" s="105"/>
      <c r="L27" s="105"/>
      <c r="M27" s="28" t="s">
        <v>37</v>
      </c>
      <c r="N27" s="106" t="str">
        <f>"(1+(0,313*"&amp;TEXT(S13,"0,0")&amp;":"&amp;TEXT(Q13,"0,000")&amp;")*(1+0,566*"&amp;TEXT(T13,"0,000")&amp;":"&amp;TEXT(Q13,"0,000")&amp;")"</f>
        <v>(1+(0,313*0,0:455,400)*(1+0,566*455,400:455,400)</v>
      </c>
      <c r="O27" s="106"/>
      <c r="P27" s="106"/>
      <c r="Q27" s="106"/>
      <c r="R27" s="106"/>
      <c r="S27" s="33" t="s">
        <v>38</v>
      </c>
      <c r="T27" s="29">
        <f>(1+0.313*S20/Q20)*(1+0.566*T20/Q20)</f>
        <v>1.5659999999999998</v>
      </c>
      <c r="U27" s="3" t="s">
        <v>114</v>
      </c>
      <c r="V27" s="4"/>
      <c r="W27" s="4"/>
      <c r="X27" s="43">
        <f>0.5+B13/G13*X25*X26</f>
        <v>2.0609521764335224</v>
      </c>
      <c r="Y27" s="4"/>
      <c r="Z27" s="4"/>
      <c r="AA27" s="4"/>
      <c r="AB27" s="4"/>
    </row>
    <row r="28" spans="1:28" ht="12.75" customHeight="1" x14ac:dyDescent="0.2"/>
  </sheetData>
  <mergeCells count="45">
    <mergeCell ref="N1:T1"/>
    <mergeCell ref="A3:T3"/>
    <mergeCell ref="B4:T4"/>
    <mergeCell ref="B5:T5"/>
    <mergeCell ref="A6:B6"/>
    <mergeCell ref="E6:G6"/>
    <mergeCell ref="I6:L6"/>
    <mergeCell ref="A7:A11"/>
    <mergeCell ref="B7:J7"/>
    <mergeCell ref="K7:P7"/>
    <mergeCell ref="Q7:Q10"/>
    <mergeCell ref="R7:T8"/>
    <mergeCell ref="B8:E8"/>
    <mergeCell ref="F8:F10"/>
    <mergeCell ref="G8:G10"/>
    <mergeCell ref="H8:J10"/>
    <mergeCell ref="K8:K10"/>
    <mergeCell ref="A25:E25"/>
    <mergeCell ref="F25:L25"/>
    <mergeCell ref="N25:R25"/>
    <mergeCell ref="S9:S10"/>
    <mergeCell ref="T9:T10"/>
    <mergeCell ref="C21:N21"/>
    <mergeCell ref="P21:T21"/>
    <mergeCell ref="A22:E22"/>
    <mergeCell ref="F22:L22"/>
    <mergeCell ref="N22:R22"/>
    <mergeCell ref="L8:L10"/>
    <mergeCell ref="M8:M10"/>
    <mergeCell ref="N8:P10"/>
    <mergeCell ref="B9:B10"/>
    <mergeCell ref="C9:E10"/>
    <mergeCell ref="R9:R10"/>
    <mergeCell ref="F23:L23"/>
    <mergeCell ref="N23:R23"/>
    <mergeCell ref="A24:E24"/>
    <mergeCell ref="F24:L24"/>
    <mergeCell ref="N24:R24"/>
    <mergeCell ref="A23:E23"/>
    <mergeCell ref="A26:E26"/>
    <mergeCell ref="F26:L26"/>
    <mergeCell ref="N26:R26"/>
    <mergeCell ref="A27:E27"/>
    <mergeCell ref="F27:L27"/>
    <mergeCell ref="N27:R27"/>
  </mergeCells>
  <printOptions horizontalCentered="1"/>
  <pageMargins left="0.19685039370078741" right="0.19685039370078741" top="0.78740157480314965" bottom="0.39370078740157483" header="0.31496062992125984" footer="0.31496062992125984"/>
  <pageSetup paperSize="9" scale="68" orientation="landscape" r:id="rId1"/>
  <headerFooter>
    <oddFooter>&amp;RСтраница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C17" sqref="C17"/>
    </sheetView>
  </sheetViews>
  <sheetFormatPr defaultRowHeight="12.75" x14ac:dyDescent="0.2"/>
  <cols>
    <col min="1" max="1" width="9.28515625" style="109" bestFit="1" customWidth="1"/>
    <col min="2" max="2" width="18" style="109" customWidth="1"/>
    <col min="3" max="3" width="50.85546875" style="109" customWidth="1"/>
    <col min="4" max="7" width="9.28515625" style="109" bestFit="1" customWidth="1"/>
    <col min="8" max="8" width="10.42578125" style="109" bestFit="1" customWidth="1"/>
    <col min="9" max="14" width="9.28515625" style="109" bestFit="1" customWidth="1"/>
    <col min="15" max="16384" width="9.140625" style="109"/>
  </cols>
  <sheetData>
    <row r="1" spans="1:14" x14ac:dyDescent="0.2">
      <c r="A1" s="108" t="s">
        <v>116</v>
      </c>
      <c r="K1" s="110" t="s">
        <v>117</v>
      </c>
    </row>
    <row r="2" spans="1:14" x14ac:dyDescent="0.2">
      <c r="A2" s="111"/>
      <c r="K2" s="112"/>
    </row>
    <row r="3" spans="1:14" x14ac:dyDescent="0.2">
      <c r="A3" s="111"/>
      <c r="K3" s="112"/>
    </row>
    <row r="4" spans="1:14" x14ac:dyDescent="0.2">
      <c r="A4" s="111" t="s">
        <v>118</v>
      </c>
      <c r="K4" s="112" t="s">
        <v>119</v>
      </c>
    </row>
    <row r="5" spans="1:14" x14ac:dyDescent="0.2">
      <c r="D5" s="113"/>
    </row>
    <row r="6" spans="1:14" ht="15.75" x14ac:dyDescent="0.2">
      <c r="D6" s="113"/>
      <c r="F6" s="114" t="s">
        <v>176</v>
      </c>
      <c r="G6" s="115"/>
    </row>
    <row r="7" spans="1:14" ht="14.25" x14ac:dyDescent="0.2">
      <c r="D7" s="113"/>
      <c r="F7" s="116" t="s">
        <v>120</v>
      </c>
      <c r="G7" s="117"/>
    </row>
    <row r="8" spans="1:14" x14ac:dyDescent="0.2">
      <c r="C8" s="156"/>
      <c r="D8" s="113"/>
      <c r="E8" s="113"/>
    </row>
    <row r="11" spans="1:14" x14ac:dyDescent="0.2">
      <c r="A11" s="118" t="s">
        <v>122</v>
      </c>
      <c r="B11" s="119" t="s">
        <v>123</v>
      </c>
      <c r="C11" s="120" t="s">
        <v>124</v>
      </c>
      <c r="D11" s="120" t="s">
        <v>125</v>
      </c>
      <c r="E11" s="118" t="s">
        <v>126</v>
      </c>
      <c r="F11" s="118"/>
      <c r="G11" s="118" t="s">
        <v>127</v>
      </c>
      <c r="H11" s="118"/>
      <c r="I11" s="118"/>
      <c r="J11" s="118"/>
      <c r="K11" s="118"/>
      <c r="L11" s="118"/>
      <c r="M11" s="120" t="s">
        <v>128</v>
      </c>
      <c r="N11" s="120" t="s">
        <v>129</v>
      </c>
    </row>
    <row r="12" spans="1:14" x14ac:dyDescent="0.2">
      <c r="A12" s="118"/>
      <c r="B12" s="119"/>
      <c r="C12" s="120"/>
      <c r="D12" s="120"/>
      <c r="E12" s="118" t="s">
        <v>130</v>
      </c>
      <c r="F12" s="118" t="s">
        <v>131</v>
      </c>
      <c r="G12" s="118" t="s">
        <v>130</v>
      </c>
      <c r="H12" s="118" t="s">
        <v>132</v>
      </c>
      <c r="I12" s="120" t="s">
        <v>133</v>
      </c>
      <c r="J12" s="120"/>
      <c r="K12" s="120"/>
      <c r="L12" s="121"/>
      <c r="M12" s="120"/>
      <c r="N12" s="120"/>
    </row>
    <row r="13" spans="1:14" x14ac:dyDescent="0.2">
      <c r="A13" s="118"/>
      <c r="B13" s="122"/>
      <c r="C13" s="123"/>
      <c r="D13" s="120"/>
      <c r="E13" s="118"/>
      <c r="F13" s="118"/>
      <c r="G13" s="118"/>
      <c r="H13" s="118"/>
      <c r="I13" s="124" t="s">
        <v>134</v>
      </c>
      <c r="J13" s="124" t="s">
        <v>135</v>
      </c>
      <c r="K13" s="124" t="s">
        <v>136</v>
      </c>
      <c r="L13" s="124" t="s">
        <v>137</v>
      </c>
      <c r="M13" s="120"/>
      <c r="N13" s="120"/>
    </row>
    <row r="14" spans="1:14" x14ac:dyDescent="0.2">
      <c r="A14" s="125">
        <v>1</v>
      </c>
      <c r="B14" s="126">
        <v>2</v>
      </c>
      <c r="C14" s="127">
        <v>3</v>
      </c>
      <c r="D14" s="128">
        <v>4</v>
      </c>
      <c r="E14" s="129">
        <v>5</v>
      </c>
      <c r="F14" s="129">
        <v>6</v>
      </c>
      <c r="G14" s="128">
        <v>7</v>
      </c>
      <c r="H14" s="127">
        <v>8</v>
      </c>
      <c r="I14" s="130">
        <v>9</v>
      </c>
      <c r="J14" s="130">
        <v>10</v>
      </c>
      <c r="K14" s="130">
        <v>11</v>
      </c>
      <c r="L14" s="130">
        <v>12</v>
      </c>
      <c r="M14" s="130">
        <v>13</v>
      </c>
      <c r="N14" s="130">
        <v>14</v>
      </c>
    </row>
    <row r="15" spans="1:14" x14ac:dyDescent="0.2">
      <c r="A15" s="131" t="s">
        <v>181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1:14" x14ac:dyDescent="0.2">
      <c r="A16" s="133" t="s">
        <v>139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pans="1:14" ht="141" x14ac:dyDescent="0.2">
      <c r="A17" s="134" t="s">
        <v>140</v>
      </c>
      <c r="B17" s="135" t="s">
        <v>177</v>
      </c>
      <c r="C17" s="136" t="s">
        <v>178</v>
      </c>
      <c r="D17" s="137" t="s">
        <v>141</v>
      </c>
      <c r="E17" s="138"/>
      <c r="F17" s="139">
        <v>1</v>
      </c>
      <c r="G17" s="139">
        <v>1439828.06</v>
      </c>
      <c r="H17" s="139">
        <v>1439828.06</v>
      </c>
      <c r="I17" s="139">
        <v>1439828.06</v>
      </c>
      <c r="J17" s="139"/>
      <c r="K17" s="139"/>
      <c r="L17" s="139"/>
      <c r="M17" s="139">
        <v>6009.88</v>
      </c>
      <c r="N17" s="139"/>
    </row>
    <row r="18" spans="1:14" x14ac:dyDescent="0.2">
      <c r="A18" s="140"/>
      <c r="B18" s="141"/>
      <c r="C18" s="142" t="s">
        <v>142</v>
      </c>
      <c r="D18" s="143" t="s">
        <v>121</v>
      </c>
      <c r="E18" s="144">
        <v>1201.9752000000001</v>
      </c>
      <c r="F18" s="145">
        <v>1201.98</v>
      </c>
      <c r="G18" s="145">
        <v>271.58</v>
      </c>
      <c r="H18" s="145">
        <v>326433.73</v>
      </c>
      <c r="I18" s="145">
        <v>326433.73</v>
      </c>
      <c r="J18" s="139"/>
      <c r="K18" s="139"/>
      <c r="L18" s="139"/>
      <c r="M18" s="139"/>
      <c r="N18" s="139"/>
    </row>
    <row r="19" spans="1:14" x14ac:dyDescent="0.2">
      <c r="A19" s="140"/>
      <c r="B19" s="141"/>
      <c r="C19" s="142" t="s">
        <v>143</v>
      </c>
      <c r="D19" s="143" t="s">
        <v>121</v>
      </c>
      <c r="E19" s="144">
        <v>1201.9752000000001</v>
      </c>
      <c r="F19" s="145">
        <v>1201.98</v>
      </c>
      <c r="G19" s="145">
        <v>247.96</v>
      </c>
      <c r="H19" s="145">
        <v>298042.96000000002</v>
      </c>
      <c r="I19" s="145">
        <v>298042.96000000002</v>
      </c>
      <c r="J19" s="139"/>
      <c r="K19" s="139"/>
      <c r="L19" s="139"/>
      <c r="M19" s="139"/>
      <c r="N19" s="139"/>
    </row>
    <row r="20" spans="1:14" x14ac:dyDescent="0.2">
      <c r="A20" s="140"/>
      <c r="B20" s="141"/>
      <c r="C20" s="142" t="s">
        <v>144</v>
      </c>
      <c r="D20" s="143" t="s">
        <v>121</v>
      </c>
      <c r="E20" s="144">
        <v>3004.9380000000001</v>
      </c>
      <c r="F20" s="145">
        <v>3004.94</v>
      </c>
      <c r="G20" s="145">
        <v>229.68</v>
      </c>
      <c r="H20" s="145">
        <v>690174.62</v>
      </c>
      <c r="I20" s="145">
        <v>690174.62</v>
      </c>
      <c r="J20" s="139"/>
      <c r="K20" s="139"/>
      <c r="L20" s="139"/>
      <c r="M20" s="139"/>
      <c r="N20" s="139"/>
    </row>
    <row r="21" spans="1:14" x14ac:dyDescent="0.2">
      <c r="A21" s="140"/>
      <c r="B21" s="141"/>
      <c r="C21" s="142" t="s">
        <v>172</v>
      </c>
      <c r="D21" s="143" t="s">
        <v>121</v>
      </c>
      <c r="E21" s="144">
        <v>600.98760000000004</v>
      </c>
      <c r="F21" s="145">
        <v>600.99</v>
      </c>
      <c r="G21" s="145">
        <v>208.29</v>
      </c>
      <c r="H21" s="145">
        <v>125180.21</v>
      </c>
      <c r="I21" s="145">
        <v>125180.21</v>
      </c>
      <c r="J21" s="139"/>
      <c r="K21" s="139"/>
      <c r="L21" s="139"/>
      <c r="M21" s="139"/>
      <c r="N21" s="139"/>
    </row>
    <row r="22" spans="1:14" ht="165" x14ac:dyDescent="0.2">
      <c r="A22" s="134" t="s">
        <v>145</v>
      </c>
      <c r="B22" s="135" t="s">
        <v>179</v>
      </c>
      <c r="C22" s="136" t="s">
        <v>180</v>
      </c>
      <c r="D22" s="137" t="s">
        <v>146</v>
      </c>
      <c r="E22" s="138"/>
      <c r="F22" s="146" t="s">
        <v>170</v>
      </c>
      <c r="G22" s="139">
        <v>4035.07</v>
      </c>
      <c r="H22" s="139">
        <v>546348.48</v>
      </c>
      <c r="I22" s="139">
        <v>546348.48</v>
      </c>
      <c r="J22" s="139"/>
      <c r="K22" s="139"/>
      <c r="L22" s="139"/>
      <c r="M22" s="139">
        <v>2281.4899999999998</v>
      </c>
      <c r="N22" s="139"/>
    </row>
    <row r="23" spans="1:14" x14ac:dyDescent="0.2">
      <c r="A23" s="140"/>
      <c r="B23" s="141"/>
      <c r="C23" s="142" t="s">
        <v>142</v>
      </c>
      <c r="D23" s="143" t="s">
        <v>121</v>
      </c>
      <c r="E23" s="144">
        <v>3.3684984</v>
      </c>
      <c r="F23" s="145">
        <v>456.09</v>
      </c>
      <c r="G23" s="145">
        <v>271.58</v>
      </c>
      <c r="H23" s="145">
        <v>123864.92</v>
      </c>
      <c r="I23" s="145">
        <v>123864.92</v>
      </c>
      <c r="J23" s="139"/>
      <c r="K23" s="139"/>
      <c r="L23" s="139"/>
      <c r="M23" s="139"/>
      <c r="N23" s="139"/>
    </row>
    <row r="24" spans="1:14" x14ac:dyDescent="0.2">
      <c r="A24" s="140"/>
      <c r="B24" s="141"/>
      <c r="C24" s="142" t="s">
        <v>143</v>
      </c>
      <c r="D24" s="143" t="s">
        <v>121</v>
      </c>
      <c r="E24" s="144">
        <v>3.3684984</v>
      </c>
      <c r="F24" s="145">
        <v>456.09</v>
      </c>
      <c r="G24" s="145">
        <v>247.96</v>
      </c>
      <c r="H24" s="145">
        <v>113092.08</v>
      </c>
      <c r="I24" s="145">
        <v>113092.08</v>
      </c>
      <c r="J24" s="139"/>
      <c r="K24" s="139"/>
      <c r="L24" s="139"/>
      <c r="M24" s="139"/>
      <c r="N24" s="139"/>
    </row>
    <row r="25" spans="1:14" x14ac:dyDescent="0.2">
      <c r="A25" s="140"/>
      <c r="B25" s="141"/>
      <c r="C25" s="142" t="s">
        <v>144</v>
      </c>
      <c r="D25" s="143" t="s">
        <v>121</v>
      </c>
      <c r="E25" s="144">
        <v>8.421246</v>
      </c>
      <c r="F25" s="145">
        <v>1140.24</v>
      </c>
      <c r="G25" s="145">
        <v>229.68</v>
      </c>
      <c r="H25" s="145">
        <v>261890.32</v>
      </c>
      <c r="I25" s="145">
        <v>261890.32</v>
      </c>
      <c r="J25" s="139"/>
      <c r="K25" s="139"/>
      <c r="L25" s="139"/>
      <c r="M25" s="139"/>
      <c r="N25" s="139"/>
    </row>
    <row r="26" spans="1:14" x14ac:dyDescent="0.2">
      <c r="A26" s="140"/>
      <c r="B26" s="141"/>
      <c r="C26" s="142" t="s">
        <v>172</v>
      </c>
      <c r="D26" s="143" t="s">
        <v>121</v>
      </c>
      <c r="E26" s="144">
        <v>1.6842492</v>
      </c>
      <c r="F26" s="145">
        <v>228.05</v>
      </c>
      <c r="G26" s="145">
        <v>208.29</v>
      </c>
      <c r="H26" s="145">
        <v>47500.53</v>
      </c>
      <c r="I26" s="145">
        <v>47500.53</v>
      </c>
      <c r="J26" s="139"/>
      <c r="K26" s="139"/>
      <c r="L26" s="139"/>
      <c r="M26" s="139"/>
      <c r="N26" s="139"/>
    </row>
    <row r="27" spans="1:14" x14ac:dyDescent="0.2">
      <c r="A27" s="133" t="s">
        <v>147</v>
      </c>
      <c r="B27" s="132"/>
      <c r="C27" s="132"/>
      <c r="D27" s="132"/>
      <c r="E27" s="132"/>
      <c r="F27" s="132"/>
      <c r="G27" s="132"/>
      <c r="H27" s="146">
        <v>1986176.54</v>
      </c>
      <c r="I27" s="146">
        <v>1986176.54</v>
      </c>
      <c r="J27" s="139"/>
      <c r="K27" s="139"/>
      <c r="L27" s="139"/>
      <c r="M27" s="146">
        <v>8291.3700000000008</v>
      </c>
      <c r="N27" s="139"/>
    </row>
    <row r="28" spans="1:14" x14ac:dyDescent="0.2">
      <c r="A28" s="133" t="s">
        <v>148</v>
      </c>
      <c r="B28" s="132"/>
      <c r="C28" s="132"/>
      <c r="D28" s="132"/>
      <c r="E28" s="132"/>
      <c r="F28" s="132"/>
      <c r="G28" s="132"/>
      <c r="H28" s="146">
        <v>1092397.1000000001</v>
      </c>
      <c r="I28" s="139"/>
      <c r="J28" s="139"/>
      <c r="K28" s="139"/>
      <c r="L28" s="139"/>
      <c r="M28" s="139"/>
      <c r="N28" s="139"/>
    </row>
    <row r="29" spans="1:14" x14ac:dyDescent="0.2">
      <c r="A29" s="133" t="s">
        <v>149</v>
      </c>
      <c r="B29" s="132"/>
      <c r="C29" s="132"/>
      <c r="D29" s="132"/>
      <c r="E29" s="132"/>
      <c r="F29" s="132"/>
      <c r="G29" s="132"/>
      <c r="H29" s="146">
        <v>635576.49</v>
      </c>
      <c r="I29" s="139"/>
      <c r="J29" s="139"/>
      <c r="K29" s="139"/>
      <c r="L29" s="139"/>
      <c r="M29" s="139"/>
      <c r="N29" s="139"/>
    </row>
    <row r="30" spans="1:14" x14ac:dyDescent="0.2">
      <c r="A30" s="147" t="s">
        <v>173</v>
      </c>
      <c r="B30" s="132"/>
      <c r="C30" s="132"/>
      <c r="D30" s="132"/>
      <c r="E30" s="132"/>
      <c r="F30" s="132"/>
      <c r="G30" s="132"/>
      <c r="H30" s="139"/>
      <c r="I30" s="139"/>
      <c r="J30" s="139"/>
      <c r="K30" s="139"/>
      <c r="L30" s="139"/>
      <c r="M30" s="139"/>
      <c r="N30" s="139"/>
    </row>
    <row r="31" spans="1:14" x14ac:dyDescent="0.2">
      <c r="A31" s="133" t="s">
        <v>151</v>
      </c>
      <c r="B31" s="132"/>
      <c r="C31" s="132"/>
      <c r="D31" s="132"/>
      <c r="E31" s="132"/>
      <c r="F31" s="132"/>
      <c r="G31" s="132"/>
      <c r="H31" s="146">
        <v>3714150.13</v>
      </c>
      <c r="I31" s="139"/>
      <c r="J31" s="139"/>
      <c r="K31" s="139"/>
      <c r="L31" s="139"/>
      <c r="M31" s="146">
        <v>8291.3700000000008</v>
      </c>
      <c r="N31" s="139"/>
    </row>
    <row r="32" spans="1:14" x14ac:dyDescent="0.2">
      <c r="A32" s="133" t="s">
        <v>152</v>
      </c>
      <c r="B32" s="132"/>
      <c r="C32" s="132"/>
      <c r="D32" s="132"/>
      <c r="E32" s="132"/>
      <c r="F32" s="132"/>
      <c r="G32" s="132"/>
      <c r="H32" s="146">
        <v>3714150.13</v>
      </c>
      <c r="I32" s="139"/>
      <c r="J32" s="139"/>
      <c r="K32" s="139"/>
      <c r="L32" s="139"/>
      <c r="M32" s="146">
        <v>8291.3700000000008</v>
      </c>
      <c r="N32" s="139"/>
    </row>
    <row r="33" spans="1:14" x14ac:dyDescent="0.2">
      <c r="A33" s="133" t="s">
        <v>153</v>
      </c>
      <c r="B33" s="132"/>
      <c r="C33" s="132"/>
      <c r="D33" s="132"/>
      <c r="E33" s="132"/>
      <c r="F33" s="132"/>
      <c r="G33" s="132"/>
      <c r="H33" s="139"/>
      <c r="I33" s="139"/>
      <c r="J33" s="139"/>
      <c r="K33" s="139"/>
      <c r="L33" s="139"/>
      <c r="M33" s="139"/>
      <c r="N33" s="139"/>
    </row>
    <row r="34" spans="1:14" x14ac:dyDescent="0.2">
      <c r="A34" s="133" t="s">
        <v>154</v>
      </c>
      <c r="B34" s="132"/>
      <c r="C34" s="132"/>
      <c r="D34" s="132"/>
      <c r="E34" s="132"/>
      <c r="F34" s="132"/>
      <c r="G34" s="132"/>
      <c r="H34" s="146">
        <v>1986176.54</v>
      </c>
      <c r="I34" s="139"/>
      <c r="J34" s="139"/>
      <c r="K34" s="139"/>
      <c r="L34" s="139"/>
      <c r="M34" s="139"/>
      <c r="N34" s="139"/>
    </row>
    <row r="35" spans="1:14" x14ac:dyDescent="0.2">
      <c r="A35" s="133" t="s">
        <v>155</v>
      </c>
      <c r="B35" s="132"/>
      <c r="C35" s="132"/>
      <c r="D35" s="132"/>
      <c r="E35" s="132"/>
      <c r="F35" s="132"/>
      <c r="G35" s="132"/>
      <c r="H35" s="146">
        <v>1092397.1000000001</v>
      </c>
      <c r="I35" s="139"/>
      <c r="J35" s="139"/>
      <c r="K35" s="139"/>
      <c r="L35" s="139"/>
      <c r="M35" s="139"/>
      <c r="N35" s="139"/>
    </row>
    <row r="36" spans="1:14" x14ac:dyDescent="0.2">
      <c r="A36" s="133" t="s">
        <v>156</v>
      </c>
      <c r="B36" s="132"/>
      <c r="C36" s="132"/>
      <c r="D36" s="132"/>
      <c r="E36" s="132"/>
      <c r="F36" s="132"/>
      <c r="G36" s="132"/>
      <c r="H36" s="146">
        <v>635576.49</v>
      </c>
      <c r="I36" s="139"/>
      <c r="J36" s="139"/>
      <c r="K36" s="139"/>
      <c r="L36" s="139"/>
      <c r="M36" s="139"/>
      <c r="N36" s="139"/>
    </row>
    <row r="37" spans="1:14" x14ac:dyDescent="0.2">
      <c r="A37" s="147" t="s">
        <v>174</v>
      </c>
      <c r="B37" s="132"/>
      <c r="C37" s="132"/>
      <c r="D37" s="132"/>
      <c r="E37" s="132"/>
      <c r="F37" s="132"/>
      <c r="G37" s="132"/>
      <c r="H37" s="148">
        <v>3714150.13</v>
      </c>
      <c r="I37" s="139"/>
      <c r="J37" s="139"/>
      <c r="K37" s="139"/>
      <c r="L37" s="139"/>
      <c r="M37" s="148">
        <v>8291.3700000000008</v>
      </c>
      <c r="N37" s="139"/>
    </row>
    <row r="38" spans="1:14" x14ac:dyDescent="0.2">
      <c r="A38" s="149" t="s">
        <v>158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</row>
    <row r="39" spans="1:14" x14ac:dyDescent="0.2">
      <c r="A39" s="133" t="s">
        <v>159</v>
      </c>
      <c r="B39" s="132"/>
      <c r="C39" s="132"/>
      <c r="D39" s="132"/>
      <c r="E39" s="132"/>
      <c r="F39" s="132"/>
      <c r="G39" s="132"/>
      <c r="H39" s="146">
        <v>1986176.54</v>
      </c>
      <c r="I39" s="146">
        <v>1986176.54</v>
      </c>
      <c r="J39" s="139"/>
      <c r="K39" s="139"/>
      <c r="L39" s="139"/>
      <c r="M39" s="146">
        <v>8291.3700000000008</v>
      </c>
      <c r="N39" s="139"/>
    </row>
    <row r="40" spans="1:14" x14ac:dyDescent="0.2">
      <c r="A40" s="133" t="s">
        <v>148</v>
      </c>
      <c r="B40" s="132"/>
      <c r="C40" s="132"/>
      <c r="D40" s="132"/>
      <c r="E40" s="132"/>
      <c r="F40" s="132"/>
      <c r="G40" s="132"/>
      <c r="H40" s="146">
        <v>1092397.1000000001</v>
      </c>
      <c r="I40" s="139"/>
      <c r="J40" s="139"/>
      <c r="K40" s="139"/>
      <c r="L40" s="139"/>
      <c r="M40" s="139"/>
      <c r="N40" s="139"/>
    </row>
    <row r="41" spans="1:14" x14ac:dyDescent="0.2">
      <c r="A41" s="133" t="s">
        <v>149</v>
      </c>
      <c r="B41" s="132"/>
      <c r="C41" s="132"/>
      <c r="D41" s="132"/>
      <c r="E41" s="132"/>
      <c r="F41" s="132"/>
      <c r="G41" s="132"/>
      <c r="H41" s="146">
        <v>635576.49</v>
      </c>
      <c r="I41" s="139"/>
      <c r="J41" s="139"/>
      <c r="K41" s="139"/>
      <c r="L41" s="139"/>
      <c r="M41" s="139"/>
      <c r="N41" s="139"/>
    </row>
    <row r="42" spans="1:14" x14ac:dyDescent="0.2">
      <c r="A42" s="147" t="s">
        <v>160</v>
      </c>
      <c r="B42" s="132"/>
      <c r="C42" s="132"/>
      <c r="D42" s="132"/>
      <c r="E42" s="132"/>
      <c r="F42" s="132"/>
      <c r="G42" s="132"/>
      <c r="H42" s="139"/>
      <c r="I42" s="139"/>
      <c r="J42" s="139"/>
      <c r="K42" s="139"/>
      <c r="L42" s="139"/>
      <c r="M42" s="139"/>
      <c r="N42" s="139"/>
    </row>
    <row r="43" spans="1:14" x14ac:dyDescent="0.2">
      <c r="A43" s="133" t="s">
        <v>151</v>
      </c>
      <c r="B43" s="132"/>
      <c r="C43" s="132"/>
      <c r="D43" s="132"/>
      <c r="E43" s="132"/>
      <c r="F43" s="132"/>
      <c r="G43" s="132"/>
      <c r="H43" s="146">
        <v>3714150.13</v>
      </c>
      <c r="I43" s="139"/>
      <c r="J43" s="139"/>
      <c r="K43" s="139"/>
      <c r="L43" s="139"/>
      <c r="M43" s="146">
        <v>8291.3700000000008</v>
      </c>
      <c r="N43" s="139"/>
    </row>
    <row r="44" spans="1:14" x14ac:dyDescent="0.2">
      <c r="A44" s="133" t="s">
        <v>152</v>
      </c>
      <c r="B44" s="132"/>
      <c r="C44" s="132"/>
      <c r="D44" s="132"/>
      <c r="E44" s="132"/>
      <c r="F44" s="132"/>
      <c r="G44" s="132"/>
      <c r="H44" s="146">
        <v>3714150.13</v>
      </c>
      <c r="I44" s="139"/>
      <c r="J44" s="139"/>
      <c r="K44" s="139"/>
      <c r="L44" s="139"/>
      <c r="M44" s="146">
        <v>8291.3700000000008</v>
      </c>
      <c r="N44" s="139"/>
    </row>
    <row r="45" spans="1:14" x14ac:dyDescent="0.2">
      <c r="A45" s="133" t="s">
        <v>153</v>
      </c>
      <c r="B45" s="132"/>
      <c r="C45" s="132"/>
      <c r="D45" s="132"/>
      <c r="E45" s="132"/>
      <c r="F45" s="132"/>
      <c r="G45" s="132"/>
      <c r="H45" s="139"/>
      <c r="I45" s="139"/>
      <c r="J45" s="139"/>
      <c r="K45" s="139"/>
      <c r="L45" s="139"/>
      <c r="M45" s="139"/>
      <c r="N45" s="139"/>
    </row>
    <row r="46" spans="1:14" x14ac:dyDescent="0.2">
      <c r="A46" s="133" t="s">
        <v>154</v>
      </c>
      <c r="B46" s="132"/>
      <c r="C46" s="132"/>
      <c r="D46" s="132"/>
      <c r="E46" s="132"/>
      <c r="F46" s="132"/>
      <c r="G46" s="132"/>
      <c r="H46" s="146">
        <v>1986176.54</v>
      </c>
      <c r="I46" s="139"/>
      <c r="J46" s="139"/>
      <c r="K46" s="139"/>
      <c r="L46" s="139"/>
      <c r="M46" s="139"/>
      <c r="N46" s="139"/>
    </row>
    <row r="47" spans="1:14" x14ac:dyDescent="0.2">
      <c r="A47" s="133" t="s">
        <v>155</v>
      </c>
      <c r="B47" s="132"/>
      <c r="C47" s="132"/>
      <c r="D47" s="132"/>
      <c r="E47" s="132"/>
      <c r="F47" s="132"/>
      <c r="G47" s="132"/>
      <c r="H47" s="146">
        <v>1092397.1000000001</v>
      </c>
      <c r="I47" s="139"/>
      <c r="J47" s="139"/>
      <c r="K47" s="139"/>
      <c r="L47" s="139"/>
      <c r="M47" s="139"/>
      <c r="N47" s="139"/>
    </row>
    <row r="48" spans="1:14" x14ac:dyDescent="0.2">
      <c r="A48" s="133" t="s">
        <v>156</v>
      </c>
      <c r="B48" s="132"/>
      <c r="C48" s="132"/>
      <c r="D48" s="132"/>
      <c r="E48" s="132"/>
      <c r="F48" s="132"/>
      <c r="G48" s="132"/>
      <c r="H48" s="146">
        <v>635576.49</v>
      </c>
      <c r="I48" s="139"/>
      <c r="J48" s="139"/>
      <c r="K48" s="139"/>
      <c r="L48" s="139"/>
      <c r="M48" s="139"/>
      <c r="N48" s="139"/>
    </row>
    <row r="49" spans="1:14" x14ac:dyDescent="0.2">
      <c r="A49" s="151" t="s">
        <v>175</v>
      </c>
      <c r="B49" s="132"/>
      <c r="C49" s="132"/>
      <c r="D49" s="132"/>
      <c r="E49" s="132"/>
      <c r="F49" s="132"/>
      <c r="G49" s="132"/>
      <c r="H49" s="152">
        <v>3714150.13</v>
      </c>
      <c r="I49" s="139"/>
      <c r="J49" s="139"/>
      <c r="K49" s="139"/>
      <c r="L49" s="139"/>
      <c r="M49" s="139"/>
      <c r="N49" s="139"/>
    </row>
    <row r="50" spans="1:14" x14ac:dyDescent="0.2">
      <c r="A50" s="147" t="s">
        <v>163</v>
      </c>
      <c r="B50" s="132"/>
      <c r="C50" s="132"/>
      <c r="D50" s="132"/>
      <c r="E50" s="132"/>
      <c r="F50" s="132"/>
      <c r="G50" s="132"/>
      <c r="H50" s="148">
        <v>3714150.13</v>
      </c>
      <c r="I50" s="139"/>
      <c r="J50" s="139"/>
      <c r="K50" s="139"/>
      <c r="L50" s="139"/>
      <c r="M50" s="148">
        <v>8291.3700000000008</v>
      </c>
      <c r="N50" s="139"/>
    </row>
  </sheetData>
  <mergeCells count="39">
    <mergeCell ref="D11:D13"/>
    <mergeCell ref="A27:G27"/>
    <mergeCell ref="N11:N13"/>
    <mergeCell ref="F12:F13"/>
    <mergeCell ref="E11:F11"/>
    <mergeCell ref="E12:E13"/>
    <mergeCell ref="M11:M13"/>
    <mergeCell ref="I12:K12"/>
    <mergeCell ref="G12:G13"/>
    <mergeCell ref="H12:H13"/>
    <mergeCell ref="G11:L11"/>
    <mergeCell ref="A15:N15"/>
    <mergeCell ref="A16:N16"/>
    <mergeCell ref="A40:G40"/>
    <mergeCell ref="A41:G41"/>
    <mergeCell ref="A42:G42"/>
    <mergeCell ref="A34:G34"/>
    <mergeCell ref="A35:G35"/>
    <mergeCell ref="A36:G36"/>
    <mergeCell ref="A37:G37"/>
    <mergeCell ref="A38:N38"/>
    <mergeCell ref="A39:G39"/>
    <mergeCell ref="A28:G28"/>
    <mergeCell ref="A29:G29"/>
    <mergeCell ref="A30:G30"/>
    <mergeCell ref="A31:G31"/>
    <mergeCell ref="A32:G32"/>
    <mergeCell ref="A46:G46"/>
    <mergeCell ref="A47:G47"/>
    <mergeCell ref="A48:G48"/>
    <mergeCell ref="A49:G49"/>
    <mergeCell ref="A50:G50"/>
    <mergeCell ref="A43:G43"/>
    <mergeCell ref="A44:G44"/>
    <mergeCell ref="A45:G45"/>
    <mergeCell ref="A33:G33"/>
    <mergeCell ref="A11:A13"/>
    <mergeCell ref="B11:B13"/>
    <mergeCell ref="C11:C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D10" sqref="D10:D12"/>
    </sheetView>
  </sheetViews>
  <sheetFormatPr defaultRowHeight="12.75" x14ac:dyDescent="0.2"/>
  <cols>
    <col min="1" max="1" width="9.28515625" style="109" bestFit="1" customWidth="1"/>
    <col min="2" max="2" width="19.7109375" style="109" customWidth="1"/>
    <col min="3" max="3" width="60.7109375" style="109" customWidth="1"/>
    <col min="4" max="7" width="9.28515625" style="109" bestFit="1" customWidth="1"/>
    <col min="8" max="8" width="10.42578125" style="109" bestFit="1" customWidth="1"/>
    <col min="9" max="14" width="9.28515625" style="109" bestFit="1" customWidth="1"/>
    <col min="15" max="16384" width="9.140625" style="109"/>
  </cols>
  <sheetData>
    <row r="1" spans="1:14" x14ac:dyDescent="0.2">
      <c r="A1" s="108" t="s">
        <v>116</v>
      </c>
      <c r="K1" s="110" t="s">
        <v>117</v>
      </c>
    </row>
    <row r="2" spans="1:14" x14ac:dyDescent="0.2">
      <c r="A2" s="111"/>
      <c r="K2" s="112"/>
    </row>
    <row r="3" spans="1:14" x14ac:dyDescent="0.2">
      <c r="A3" s="111"/>
      <c r="K3" s="112"/>
    </row>
    <row r="4" spans="1:14" x14ac:dyDescent="0.2">
      <c r="A4" s="111" t="s">
        <v>118</v>
      </c>
      <c r="K4" s="112" t="s">
        <v>119</v>
      </c>
    </row>
    <row r="5" spans="1:14" x14ac:dyDescent="0.2">
      <c r="D5" s="113"/>
    </row>
    <row r="6" spans="1:14" ht="15.75" x14ac:dyDescent="0.2">
      <c r="D6" s="113"/>
      <c r="F6" s="114" t="s">
        <v>171</v>
      </c>
      <c r="G6" s="115"/>
    </row>
    <row r="7" spans="1:14" ht="14.25" x14ac:dyDescent="0.2">
      <c r="D7" s="113"/>
      <c r="F7" s="116" t="s">
        <v>120</v>
      </c>
      <c r="G7" s="117"/>
    </row>
    <row r="10" spans="1:14" x14ac:dyDescent="0.2">
      <c r="A10" s="118" t="s">
        <v>122</v>
      </c>
      <c r="B10" s="119" t="s">
        <v>123</v>
      </c>
      <c r="C10" s="120" t="s">
        <v>124</v>
      </c>
      <c r="D10" s="120" t="s">
        <v>125</v>
      </c>
      <c r="E10" s="118" t="s">
        <v>126</v>
      </c>
      <c r="F10" s="118"/>
      <c r="G10" s="118" t="s">
        <v>127</v>
      </c>
      <c r="H10" s="118"/>
      <c r="I10" s="118"/>
      <c r="J10" s="118"/>
      <c r="K10" s="118"/>
      <c r="L10" s="118"/>
      <c r="M10" s="120" t="s">
        <v>128</v>
      </c>
      <c r="N10" s="120" t="s">
        <v>129</v>
      </c>
    </row>
    <row r="11" spans="1:14" x14ac:dyDescent="0.2">
      <c r="A11" s="118"/>
      <c r="B11" s="119"/>
      <c r="C11" s="120"/>
      <c r="D11" s="120"/>
      <c r="E11" s="118" t="s">
        <v>130</v>
      </c>
      <c r="F11" s="118" t="s">
        <v>131</v>
      </c>
      <c r="G11" s="118" t="s">
        <v>130</v>
      </c>
      <c r="H11" s="118" t="s">
        <v>132</v>
      </c>
      <c r="I11" s="120" t="s">
        <v>133</v>
      </c>
      <c r="J11" s="120"/>
      <c r="K11" s="120"/>
      <c r="L11" s="121"/>
      <c r="M11" s="120"/>
      <c r="N11" s="120"/>
    </row>
    <row r="12" spans="1:14" x14ac:dyDescent="0.2">
      <c r="A12" s="118"/>
      <c r="B12" s="122"/>
      <c r="C12" s="123"/>
      <c r="D12" s="120"/>
      <c r="E12" s="118"/>
      <c r="F12" s="118"/>
      <c r="G12" s="118"/>
      <c r="H12" s="118"/>
      <c r="I12" s="124" t="s">
        <v>134</v>
      </c>
      <c r="J12" s="124" t="s">
        <v>135</v>
      </c>
      <c r="K12" s="124" t="s">
        <v>136</v>
      </c>
      <c r="L12" s="124" t="s">
        <v>137</v>
      </c>
      <c r="M12" s="120"/>
      <c r="N12" s="120"/>
    </row>
    <row r="13" spans="1:14" x14ac:dyDescent="0.2">
      <c r="A13" s="125">
        <v>1</v>
      </c>
      <c r="B13" s="126">
        <v>2</v>
      </c>
      <c r="C13" s="127">
        <v>3</v>
      </c>
      <c r="D13" s="128">
        <v>4</v>
      </c>
      <c r="E13" s="129">
        <v>5</v>
      </c>
      <c r="F13" s="129">
        <v>6</v>
      </c>
      <c r="G13" s="128">
        <v>7</v>
      </c>
      <c r="H13" s="127">
        <v>8</v>
      </c>
      <c r="I13" s="130">
        <v>9</v>
      </c>
      <c r="J13" s="130">
        <v>10</v>
      </c>
      <c r="K13" s="130">
        <v>11</v>
      </c>
      <c r="L13" s="130">
        <v>12</v>
      </c>
      <c r="M13" s="130">
        <v>13</v>
      </c>
      <c r="N13" s="130">
        <v>14</v>
      </c>
    </row>
    <row r="14" spans="1:14" x14ac:dyDescent="0.2">
      <c r="A14" s="131" t="s">
        <v>138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</row>
    <row r="15" spans="1:14" x14ac:dyDescent="0.2">
      <c r="A15" s="133" t="s">
        <v>139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1:14" ht="114" x14ac:dyDescent="0.2">
      <c r="A16" s="134" t="s">
        <v>140</v>
      </c>
      <c r="B16" s="135" t="s">
        <v>166</v>
      </c>
      <c r="C16" s="136" t="s">
        <v>167</v>
      </c>
      <c r="D16" s="137" t="s">
        <v>141</v>
      </c>
      <c r="E16" s="138"/>
      <c r="F16" s="139">
        <v>1</v>
      </c>
      <c r="G16" s="139">
        <v>1872236.54</v>
      </c>
      <c r="H16" s="139">
        <v>1872236.54</v>
      </c>
      <c r="I16" s="139">
        <v>1872236.54</v>
      </c>
      <c r="J16" s="139"/>
      <c r="K16" s="139"/>
      <c r="L16" s="139"/>
      <c r="M16" s="139">
        <v>7167.34</v>
      </c>
      <c r="N16" s="139"/>
    </row>
    <row r="17" spans="1:14" x14ac:dyDescent="0.2">
      <c r="A17" s="140"/>
      <c r="B17" s="141"/>
      <c r="C17" s="142" t="s">
        <v>142</v>
      </c>
      <c r="D17" s="143" t="s">
        <v>121</v>
      </c>
      <c r="E17" s="144">
        <v>4300.4001600000001</v>
      </c>
      <c r="F17" s="145">
        <v>4300.3999999999996</v>
      </c>
      <c r="G17" s="145">
        <v>271.58</v>
      </c>
      <c r="H17" s="145">
        <v>1167902.6299999999</v>
      </c>
      <c r="I17" s="145">
        <v>1167902.6299999999</v>
      </c>
      <c r="J17" s="139"/>
      <c r="K17" s="139"/>
      <c r="L17" s="139"/>
      <c r="M17" s="139"/>
      <c r="N17" s="139"/>
    </row>
    <row r="18" spans="1:14" x14ac:dyDescent="0.2">
      <c r="A18" s="140"/>
      <c r="B18" s="141"/>
      <c r="C18" s="142" t="s">
        <v>143</v>
      </c>
      <c r="D18" s="143" t="s">
        <v>121</v>
      </c>
      <c r="E18" s="144">
        <v>2508.5667600000002</v>
      </c>
      <c r="F18" s="145">
        <v>2508.5700000000002</v>
      </c>
      <c r="G18" s="145">
        <v>247.96</v>
      </c>
      <c r="H18" s="145">
        <v>622025.02</v>
      </c>
      <c r="I18" s="145">
        <v>622025.02</v>
      </c>
      <c r="J18" s="139"/>
      <c r="K18" s="139"/>
      <c r="L18" s="139"/>
      <c r="M18" s="139"/>
      <c r="N18" s="139"/>
    </row>
    <row r="19" spans="1:14" x14ac:dyDescent="0.2">
      <c r="A19" s="140"/>
      <c r="B19" s="141"/>
      <c r="C19" s="142" t="s">
        <v>144</v>
      </c>
      <c r="D19" s="143" t="s">
        <v>121</v>
      </c>
      <c r="E19" s="144">
        <v>358.36667999999997</v>
      </c>
      <c r="F19" s="145">
        <v>358.37</v>
      </c>
      <c r="G19" s="145">
        <v>229.68</v>
      </c>
      <c r="H19" s="145">
        <v>82310.42</v>
      </c>
      <c r="I19" s="145">
        <v>82310.42</v>
      </c>
      <c r="J19" s="139"/>
      <c r="K19" s="139"/>
      <c r="L19" s="139"/>
      <c r="M19" s="139"/>
      <c r="N19" s="139"/>
    </row>
    <row r="20" spans="1:14" ht="126" x14ac:dyDescent="0.2">
      <c r="A20" s="134" t="s">
        <v>145</v>
      </c>
      <c r="B20" s="135" t="s">
        <v>168</v>
      </c>
      <c r="C20" s="136" t="s">
        <v>169</v>
      </c>
      <c r="D20" s="137" t="s">
        <v>146</v>
      </c>
      <c r="E20" s="138"/>
      <c r="F20" s="146" t="s">
        <v>170</v>
      </c>
      <c r="G20" s="139">
        <v>5245.88</v>
      </c>
      <c r="H20" s="139">
        <v>710292.15</v>
      </c>
      <c r="I20" s="139">
        <v>710292.15</v>
      </c>
      <c r="J20" s="139"/>
      <c r="K20" s="139"/>
      <c r="L20" s="139"/>
      <c r="M20" s="139">
        <v>2720.19</v>
      </c>
      <c r="N20" s="139"/>
    </row>
    <row r="21" spans="1:14" x14ac:dyDescent="0.2">
      <c r="A21" s="140"/>
      <c r="B21" s="141"/>
      <c r="C21" s="142" t="s">
        <v>142</v>
      </c>
      <c r="D21" s="143" t="s">
        <v>121</v>
      </c>
      <c r="E21" s="144">
        <v>12.0494304</v>
      </c>
      <c r="F21" s="145">
        <v>1631.49</v>
      </c>
      <c r="G21" s="145">
        <v>271.58</v>
      </c>
      <c r="H21" s="145">
        <v>443080.05</v>
      </c>
      <c r="I21" s="145">
        <v>443080.05</v>
      </c>
      <c r="J21" s="139"/>
      <c r="K21" s="139"/>
      <c r="L21" s="139"/>
      <c r="M21" s="139"/>
      <c r="N21" s="139"/>
    </row>
    <row r="22" spans="1:14" x14ac:dyDescent="0.2">
      <c r="A22" s="140"/>
      <c r="B22" s="141"/>
      <c r="C22" s="142" t="s">
        <v>143</v>
      </c>
      <c r="D22" s="143" t="s">
        <v>121</v>
      </c>
      <c r="E22" s="144">
        <v>7.0288344</v>
      </c>
      <c r="F22" s="145">
        <v>951.7</v>
      </c>
      <c r="G22" s="145">
        <v>247.96</v>
      </c>
      <c r="H22" s="145">
        <v>235983.53</v>
      </c>
      <c r="I22" s="145">
        <v>235983.53</v>
      </c>
      <c r="J22" s="139"/>
      <c r="K22" s="139"/>
      <c r="L22" s="139"/>
      <c r="M22" s="139"/>
      <c r="N22" s="139"/>
    </row>
    <row r="23" spans="1:14" x14ac:dyDescent="0.2">
      <c r="A23" s="140"/>
      <c r="B23" s="141"/>
      <c r="C23" s="142" t="s">
        <v>144</v>
      </c>
      <c r="D23" s="143" t="s">
        <v>121</v>
      </c>
      <c r="E23" s="144">
        <v>1.0041192000000001</v>
      </c>
      <c r="F23" s="145">
        <v>135.96</v>
      </c>
      <c r="G23" s="145">
        <v>229.68</v>
      </c>
      <c r="H23" s="145">
        <v>31227.29</v>
      </c>
      <c r="I23" s="145">
        <v>31227.29</v>
      </c>
      <c r="J23" s="139"/>
      <c r="K23" s="139"/>
      <c r="L23" s="139"/>
      <c r="M23" s="139"/>
      <c r="N23" s="139"/>
    </row>
    <row r="24" spans="1:14" x14ac:dyDescent="0.2">
      <c r="A24" s="133" t="s">
        <v>147</v>
      </c>
      <c r="B24" s="132"/>
      <c r="C24" s="132"/>
      <c r="D24" s="132"/>
      <c r="E24" s="132"/>
      <c r="F24" s="132"/>
      <c r="G24" s="132"/>
      <c r="H24" s="146">
        <v>2582528.69</v>
      </c>
      <c r="I24" s="146">
        <v>2582528.69</v>
      </c>
      <c r="J24" s="139"/>
      <c r="K24" s="139"/>
      <c r="L24" s="139"/>
      <c r="M24" s="146">
        <v>9887.5300000000007</v>
      </c>
      <c r="N24" s="139"/>
    </row>
    <row r="25" spans="1:14" x14ac:dyDescent="0.2">
      <c r="A25" s="133" t="s">
        <v>148</v>
      </c>
      <c r="B25" s="132"/>
      <c r="C25" s="132"/>
      <c r="D25" s="132"/>
      <c r="E25" s="132"/>
      <c r="F25" s="132"/>
      <c r="G25" s="132"/>
      <c r="H25" s="146">
        <v>1420390.78</v>
      </c>
      <c r="I25" s="139"/>
      <c r="J25" s="139"/>
      <c r="K25" s="139"/>
      <c r="L25" s="139"/>
      <c r="M25" s="139"/>
      <c r="N25" s="139"/>
    </row>
    <row r="26" spans="1:14" x14ac:dyDescent="0.2">
      <c r="A26" s="133" t="s">
        <v>149</v>
      </c>
      <c r="B26" s="132"/>
      <c r="C26" s="132"/>
      <c r="D26" s="132"/>
      <c r="E26" s="132"/>
      <c r="F26" s="132"/>
      <c r="G26" s="132"/>
      <c r="H26" s="146">
        <v>826409.18</v>
      </c>
      <c r="I26" s="139"/>
      <c r="J26" s="139"/>
      <c r="K26" s="139"/>
      <c r="L26" s="139"/>
      <c r="M26" s="139"/>
      <c r="N26" s="139"/>
    </row>
    <row r="27" spans="1:14" x14ac:dyDescent="0.2">
      <c r="A27" s="147" t="s">
        <v>150</v>
      </c>
      <c r="B27" s="132"/>
      <c r="C27" s="132"/>
      <c r="D27" s="132"/>
      <c r="E27" s="132"/>
      <c r="F27" s="132"/>
      <c r="G27" s="132"/>
      <c r="H27" s="139"/>
      <c r="I27" s="139"/>
      <c r="J27" s="139"/>
      <c r="K27" s="139"/>
      <c r="L27" s="139"/>
      <c r="M27" s="139"/>
      <c r="N27" s="139"/>
    </row>
    <row r="28" spans="1:14" x14ac:dyDescent="0.2">
      <c r="A28" s="133" t="s">
        <v>151</v>
      </c>
      <c r="B28" s="132"/>
      <c r="C28" s="132"/>
      <c r="D28" s="132"/>
      <c r="E28" s="132"/>
      <c r="F28" s="132"/>
      <c r="G28" s="132"/>
      <c r="H28" s="146">
        <v>4829328.6500000004</v>
      </c>
      <c r="I28" s="139"/>
      <c r="J28" s="139"/>
      <c r="K28" s="139"/>
      <c r="L28" s="139"/>
      <c r="M28" s="146">
        <v>9887.5300000000007</v>
      </c>
      <c r="N28" s="139"/>
    </row>
    <row r="29" spans="1:14" x14ac:dyDescent="0.2">
      <c r="A29" s="133" t="s">
        <v>152</v>
      </c>
      <c r="B29" s="132"/>
      <c r="C29" s="132"/>
      <c r="D29" s="132"/>
      <c r="E29" s="132"/>
      <c r="F29" s="132"/>
      <c r="G29" s="132"/>
      <c r="H29" s="146">
        <v>4829328.6500000004</v>
      </c>
      <c r="I29" s="139"/>
      <c r="J29" s="139"/>
      <c r="K29" s="139"/>
      <c r="L29" s="139"/>
      <c r="M29" s="146">
        <v>9887.5300000000007</v>
      </c>
      <c r="N29" s="139"/>
    </row>
    <row r="30" spans="1:14" x14ac:dyDescent="0.2">
      <c r="A30" s="133" t="s">
        <v>153</v>
      </c>
      <c r="B30" s="132"/>
      <c r="C30" s="132"/>
      <c r="D30" s="132"/>
      <c r="E30" s="132"/>
      <c r="F30" s="132"/>
      <c r="G30" s="132"/>
      <c r="H30" s="139"/>
      <c r="I30" s="139"/>
      <c r="J30" s="139"/>
      <c r="K30" s="139"/>
      <c r="L30" s="139"/>
      <c r="M30" s="139"/>
      <c r="N30" s="139"/>
    </row>
    <row r="31" spans="1:14" x14ac:dyDescent="0.2">
      <c r="A31" s="133" t="s">
        <v>154</v>
      </c>
      <c r="B31" s="132"/>
      <c r="C31" s="132"/>
      <c r="D31" s="132"/>
      <c r="E31" s="132"/>
      <c r="F31" s="132"/>
      <c r="G31" s="132"/>
      <c r="H31" s="146">
        <v>2582528.69</v>
      </c>
      <c r="I31" s="139"/>
      <c r="J31" s="139"/>
      <c r="K31" s="139"/>
      <c r="L31" s="139"/>
      <c r="M31" s="139"/>
      <c r="N31" s="139"/>
    </row>
    <row r="32" spans="1:14" x14ac:dyDescent="0.2">
      <c r="A32" s="133" t="s">
        <v>155</v>
      </c>
      <c r="B32" s="132"/>
      <c r="C32" s="132"/>
      <c r="D32" s="132"/>
      <c r="E32" s="132"/>
      <c r="F32" s="132"/>
      <c r="G32" s="132"/>
      <c r="H32" s="146">
        <v>1420390.78</v>
      </c>
      <c r="I32" s="139"/>
      <c r="J32" s="139"/>
      <c r="K32" s="139"/>
      <c r="L32" s="139"/>
      <c r="M32" s="139"/>
      <c r="N32" s="139"/>
    </row>
    <row r="33" spans="1:14" x14ac:dyDescent="0.2">
      <c r="A33" s="133" t="s">
        <v>156</v>
      </c>
      <c r="B33" s="132"/>
      <c r="C33" s="132"/>
      <c r="D33" s="132"/>
      <c r="E33" s="132"/>
      <c r="F33" s="132"/>
      <c r="G33" s="132"/>
      <c r="H33" s="146">
        <v>826409.18</v>
      </c>
      <c r="I33" s="139"/>
      <c r="J33" s="139"/>
      <c r="K33" s="139"/>
      <c r="L33" s="139"/>
      <c r="M33" s="139"/>
      <c r="N33" s="139"/>
    </row>
    <row r="34" spans="1:14" x14ac:dyDescent="0.2">
      <c r="A34" s="147" t="s">
        <v>157</v>
      </c>
      <c r="B34" s="132"/>
      <c r="C34" s="132"/>
      <c r="D34" s="132"/>
      <c r="E34" s="132"/>
      <c r="F34" s="132"/>
      <c r="G34" s="132"/>
      <c r="H34" s="148">
        <v>4829328.6500000004</v>
      </c>
      <c r="I34" s="139"/>
      <c r="J34" s="139"/>
      <c r="K34" s="139"/>
      <c r="L34" s="139"/>
      <c r="M34" s="148">
        <v>9887.5300000000007</v>
      </c>
      <c r="N34" s="139"/>
    </row>
    <row r="35" spans="1:14" x14ac:dyDescent="0.2">
      <c r="A35" s="149" t="s">
        <v>158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</row>
    <row r="36" spans="1:14" x14ac:dyDescent="0.2">
      <c r="A36" s="133" t="s">
        <v>159</v>
      </c>
      <c r="B36" s="132"/>
      <c r="C36" s="132"/>
      <c r="D36" s="132"/>
      <c r="E36" s="132"/>
      <c r="F36" s="132"/>
      <c r="G36" s="132"/>
      <c r="H36" s="146">
        <v>2582528.69</v>
      </c>
      <c r="I36" s="146">
        <v>2582528.69</v>
      </c>
      <c r="J36" s="139"/>
      <c r="K36" s="139"/>
      <c r="L36" s="139"/>
      <c r="M36" s="146">
        <v>9887.5300000000007</v>
      </c>
      <c r="N36" s="139"/>
    </row>
    <row r="37" spans="1:14" x14ac:dyDescent="0.2">
      <c r="A37" s="133" t="s">
        <v>148</v>
      </c>
      <c r="B37" s="132"/>
      <c r="C37" s="132"/>
      <c r="D37" s="132"/>
      <c r="E37" s="132"/>
      <c r="F37" s="132"/>
      <c r="G37" s="132"/>
      <c r="H37" s="146">
        <v>1420390.78</v>
      </c>
      <c r="I37" s="139"/>
      <c r="J37" s="139"/>
      <c r="K37" s="139"/>
      <c r="L37" s="139"/>
      <c r="M37" s="139"/>
      <c r="N37" s="139"/>
    </row>
    <row r="38" spans="1:14" x14ac:dyDescent="0.2">
      <c r="A38" s="133" t="s">
        <v>149</v>
      </c>
      <c r="B38" s="132"/>
      <c r="C38" s="132"/>
      <c r="D38" s="132"/>
      <c r="E38" s="132"/>
      <c r="F38" s="132"/>
      <c r="G38" s="132"/>
      <c r="H38" s="146">
        <v>826409.18</v>
      </c>
      <c r="I38" s="139"/>
      <c r="J38" s="139"/>
      <c r="K38" s="139"/>
      <c r="L38" s="139"/>
      <c r="M38" s="139"/>
      <c r="N38" s="139"/>
    </row>
    <row r="39" spans="1:14" x14ac:dyDescent="0.2">
      <c r="A39" s="147" t="s">
        <v>160</v>
      </c>
      <c r="B39" s="132"/>
      <c r="C39" s="132"/>
      <c r="D39" s="132"/>
      <c r="E39" s="132"/>
      <c r="F39" s="132"/>
      <c r="G39" s="132"/>
      <c r="H39" s="139"/>
      <c r="I39" s="139"/>
      <c r="J39" s="139"/>
      <c r="K39" s="139"/>
      <c r="L39" s="139"/>
      <c r="M39" s="139"/>
      <c r="N39" s="139"/>
    </row>
    <row r="40" spans="1:14" x14ac:dyDescent="0.2">
      <c r="A40" s="133" t="s">
        <v>151</v>
      </c>
      <c r="B40" s="132"/>
      <c r="C40" s="132"/>
      <c r="D40" s="132"/>
      <c r="E40" s="132"/>
      <c r="F40" s="132"/>
      <c r="G40" s="132"/>
      <c r="H40" s="146">
        <v>4829328.6500000004</v>
      </c>
      <c r="I40" s="139"/>
      <c r="J40" s="139"/>
      <c r="K40" s="139"/>
      <c r="L40" s="139"/>
      <c r="M40" s="146">
        <v>9887.5300000000007</v>
      </c>
      <c r="N40" s="139"/>
    </row>
    <row r="41" spans="1:14" x14ac:dyDescent="0.2">
      <c r="A41" s="133" t="s">
        <v>152</v>
      </c>
      <c r="B41" s="132"/>
      <c r="C41" s="132"/>
      <c r="D41" s="132"/>
      <c r="E41" s="132"/>
      <c r="F41" s="132"/>
      <c r="G41" s="132"/>
      <c r="H41" s="146">
        <v>4829328.6500000004</v>
      </c>
      <c r="I41" s="139"/>
      <c r="J41" s="139"/>
      <c r="K41" s="139"/>
      <c r="L41" s="139"/>
      <c r="M41" s="146">
        <v>9887.5300000000007</v>
      </c>
      <c r="N41" s="139"/>
    </row>
    <row r="42" spans="1:14" x14ac:dyDescent="0.2">
      <c r="A42" s="133" t="s">
        <v>153</v>
      </c>
      <c r="B42" s="132"/>
      <c r="C42" s="132"/>
      <c r="D42" s="132"/>
      <c r="E42" s="132"/>
      <c r="F42" s="132"/>
      <c r="G42" s="132"/>
      <c r="H42" s="139"/>
      <c r="I42" s="139"/>
      <c r="J42" s="139"/>
      <c r="K42" s="139"/>
      <c r="L42" s="139"/>
      <c r="M42" s="139"/>
      <c r="N42" s="139"/>
    </row>
    <row r="43" spans="1:14" x14ac:dyDescent="0.2">
      <c r="A43" s="133" t="s">
        <v>154</v>
      </c>
      <c r="B43" s="132"/>
      <c r="C43" s="132"/>
      <c r="D43" s="132"/>
      <c r="E43" s="132"/>
      <c r="F43" s="132"/>
      <c r="G43" s="132"/>
      <c r="H43" s="146">
        <v>2582528.69</v>
      </c>
      <c r="I43" s="139"/>
      <c r="J43" s="139"/>
      <c r="K43" s="139"/>
      <c r="L43" s="139"/>
      <c r="M43" s="139"/>
      <c r="N43" s="139"/>
    </row>
    <row r="44" spans="1:14" x14ac:dyDescent="0.2">
      <c r="A44" s="133" t="s">
        <v>155</v>
      </c>
      <c r="B44" s="132"/>
      <c r="C44" s="132"/>
      <c r="D44" s="132"/>
      <c r="E44" s="132"/>
      <c r="F44" s="132"/>
      <c r="G44" s="132"/>
      <c r="H44" s="146">
        <v>1420390.78</v>
      </c>
      <c r="I44" s="139"/>
      <c r="J44" s="139"/>
      <c r="K44" s="139"/>
      <c r="L44" s="139"/>
      <c r="M44" s="139"/>
      <c r="N44" s="139"/>
    </row>
    <row r="45" spans="1:14" x14ac:dyDescent="0.2">
      <c r="A45" s="133" t="s">
        <v>156</v>
      </c>
      <c r="B45" s="132"/>
      <c r="C45" s="132"/>
      <c r="D45" s="132"/>
      <c r="E45" s="132"/>
      <c r="F45" s="132"/>
      <c r="G45" s="132"/>
      <c r="H45" s="146">
        <v>826409.18</v>
      </c>
      <c r="I45" s="139"/>
      <c r="J45" s="139"/>
      <c r="K45" s="139"/>
      <c r="L45" s="139"/>
      <c r="M45" s="139"/>
      <c r="N45" s="139"/>
    </row>
    <row r="46" spans="1:14" x14ac:dyDescent="0.2">
      <c r="A46" s="151" t="s">
        <v>161</v>
      </c>
      <c r="B46" s="132"/>
      <c r="C46" s="132"/>
      <c r="D46" s="132"/>
      <c r="E46" s="132"/>
      <c r="F46" s="132"/>
      <c r="G46" s="132"/>
      <c r="H46" s="152">
        <v>3863462.92</v>
      </c>
      <c r="I46" s="139"/>
      <c r="J46" s="139"/>
      <c r="K46" s="139"/>
      <c r="L46" s="139"/>
      <c r="M46" s="139"/>
      <c r="N46" s="139"/>
    </row>
    <row r="47" spans="1:14" x14ac:dyDescent="0.2">
      <c r="A47" s="151" t="s">
        <v>162</v>
      </c>
      <c r="B47" s="132"/>
      <c r="C47" s="132"/>
      <c r="D47" s="132"/>
      <c r="E47" s="132"/>
      <c r="F47" s="132"/>
      <c r="G47" s="132"/>
      <c r="H47" s="152">
        <v>965865.73</v>
      </c>
      <c r="I47" s="139"/>
      <c r="J47" s="139"/>
      <c r="K47" s="139"/>
      <c r="L47" s="139"/>
      <c r="M47" s="139"/>
      <c r="N47" s="139"/>
    </row>
    <row r="48" spans="1:14" x14ac:dyDescent="0.2">
      <c r="A48" s="147" t="s">
        <v>163</v>
      </c>
      <c r="B48" s="132"/>
      <c r="C48" s="132"/>
      <c r="D48" s="132"/>
      <c r="E48" s="132"/>
      <c r="F48" s="132"/>
      <c r="G48" s="132"/>
      <c r="H48" s="148">
        <v>4829328.6500000004</v>
      </c>
      <c r="I48" s="139"/>
      <c r="J48" s="139"/>
      <c r="K48" s="139"/>
      <c r="L48" s="139"/>
      <c r="M48" s="148">
        <v>9887.5300000000007</v>
      </c>
      <c r="N48" s="139"/>
    </row>
    <row r="52" spans="1:14" x14ac:dyDescent="0.2">
      <c r="A52" s="153" t="s">
        <v>164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</row>
    <row r="53" spans="1:14" x14ac:dyDescent="0.2">
      <c r="A53" s="155" t="s">
        <v>165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</row>
  </sheetData>
  <mergeCells count="42">
    <mergeCell ref="A15:N15"/>
    <mergeCell ref="N10:N12"/>
    <mergeCell ref="F11:F12"/>
    <mergeCell ref="E10:F10"/>
    <mergeCell ref="E11:E12"/>
    <mergeCell ref="M10:M12"/>
    <mergeCell ref="I11:K11"/>
    <mergeCell ref="G11:G12"/>
    <mergeCell ref="H11:H12"/>
    <mergeCell ref="G10:L10"/>
    <mergeCell ref="A10:A12"/>
    <mergeCell ref="B10:B12"/>
    <mergeCell ref="C10:C12"/>
    <mergeCell ref="D10:D12"/>
    <mergeCell ref="A14:N14"/>
    <mergeCell ref="A34:G34"/>
    <mergeCell ref="A35:N35"/>
    <mergeCell ref="A24:G24"/>
    <mergeCell ref="A25:G25"/>
    <mergeCell ref="A26:G26"/>
    <mergeCell ref="A27:G27"/>
    <mergeCell ref="A28:G28"/>
    <mergeCell ref="A29:G29"/>
    <mergeCell ref="A48:G48"/>
    <mergeCell ref="A52:N52"/>
    <mergeCell ref="A53:N53"/>
    <mergeCell ref="A42:G42"/>
    <mergeCell ref="A43:G43"/>
    <mergeCell ref="A44:G44"/>
    <mergeCell ref="A45:G45"/>
    <mergeCell ref="A46:G46"/>
    <mergeCell ref="A47:G47"/>
    <mergeCell ref="A36:G36"/>
    <mergeCell ref="A37:G37"/>
    <mergeCell ref="A38:G38"/>
    <mergeCell ref="A39:G39"/>
    <mergeCell ref="A40:G40"/>
    <mergeCell ref="A41:G41"/>
    <mergeCell ref="A30:G30"/>
    <mergeCell ref="A31:G31"/>
    <mergeCell ref="A32:G32"/>
    <mergeCell ref="A33:G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ИДм</vt:lpstr>
      <vt:lpstr>ИДа</vt:lpstr>
      <vt:lpstr>09-02-02</vt:lpstr>
      <vt:lpstr>09-02-03</vt:lpstr>
      <vt:lpstr>ИДа!Print_Area</vt:lpstr>
      <vt:lpstr>ИДм!Print_Area</vt:lpstr>
      <vt:lpstr>ИДа!Область_печати</vt:lpstr>
      <vt:lpstr>ИДм!Область_печати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keywords>12.03.2008</cp:keywords>
  <cp:lastModifiedBy>Каргина Гельшат</cp:lastModifiedBy>
  <cp:lastPrinted>2018-08-16T09:15:32Z</cp:lastPrinted>
  <dcterms:created xsi:type="dcterms:W3CDTF">2003-01-28T12:33:10Z</dcterms:created>
  <dcterms:modified xsi:type="dcterms:W3CDTF">2018-08-16T14:47:46Z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