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70" yWindow="4365" windowWidth="15480" windowHeight="4170" firstSheet="1" activeTab="1"/>
  </bookViews>
  <sheets>
    <sheet name="main" sheetId="24110" state="veryHidden" r:id="rId1"/>
    <sheet name="Смета" sheetId="24109" r:id="rId2"/>
  </sheets>
  <definedNames>
    <definedName name="MyRange">#REF!</definedName>
  </definedNames>
  <calcPr calcId="145621"/>
</workbook>
</file>

<file path=xl/calcChain.xml><?xml version="1.0" encoding="utf-8"?>
<calcChain xmlns="http://schemas.openxmlformats.org/spreadsheetml/2006/main">
  <c r="H37" i="24109" l="1"/>
  <c r="H40" i="24109" s="1"/>
  <c r="I37" i="24109"/>
  <c r="I42" i="24109" s="1"/>
  <c r="J37" i="24109"/>
  <c r="J39" i="24109" s="1"/>
  <c r="K37" i="24109"/>
  <c r="K42" i="24109" s="1"/>
  <c r="L37" i="24109"/>
  <c r="L42" i="24109" s="1"/>
  <c r="L50" i="24109" s="1"/>
  <c r="G36" i="24109"/>
  <c r="G34" i="24109"/>
  <c r="G32" i="24109"/>
  <c r="G30" i="24109"/>
  <c r="G28" i="24109"/>
  <c r="G26" i="24109"/>
  <c r="G24" i="24109"/>
  <c r="G18" i="24109"/>
  <c r="G20" i="24109"/>
  <c r="G22" i="24109"/>
  <c r="H39" i="24109" l="1"/>
  <c r="H42" i="24109"/>
  <c r="G42" i="24109" s="1"/>
  <c r="J40" i="24109"/>
  <c r="H38" i="24109"/>
  <c r="J42" i="24109"/>
  <c r="J38" i="24109"/>
  <c r="G37" i="24109"/>
  <c r="K11" i="24109" l="1"/>
  <c r="K7" i="24109"/>
  <c r="K6" i="24109"/>
  <c r="E43" i="24109"/>
  <c r="A42" i="24109" s="1"/>
  <c r="F4" i="24109"/>
  <c r="K5" i="24109" s="1"/>
  <c r="H46" i="24109"/>
  <c r="H45" i="24109"/>
  <c r="A41" i="24109"/>
  <c r="O36" i="24109"/>
  <c r="N36" i="24109"/>
  <c r="M36" i="24109"/>
  <c r="D36" i="24109"/>
  <c r="A36" i="24109"/>
  <c r="O34" i="24109"/>
  <c r="N34" i="24109"/>
  <c r="M34" i="24109"/>
  <c r="D34" i="24109"/>
  <c r="A34" i="24109"/>
  <c r="O32" i="24109"/>
  <c r="N32" i="24109"/>
  <c r="M32" i="24109"/>
  <c r="D32" i="24109"/>
  <c r="A32" i="24109"/>
  <c r="O30" i="24109"/>
  <c r="N30" i="24109"/>
  <c r="M30" i="24109"/>
  <c r="D30" i="24109"/>
  <c r="A30" i="24109"/>
  <c r="O28" i="24109"/>
  <c r="N28" i="24109"/>
  <c r="M28" i="24109"/>
  <c r="A28" i="24109"/>
  <c r="O26" i="24109"/>
  <c r="N26" i="24109"/>
  <c r="M26" i="24109"/>
  <c r="D26" i="24109"/>
  <c r="A26" i="24109"/>
  <c r="O24" i="24109"/>
  <c r="N24" i="24109"/>
  <c r="M24" i="24109"/>
  <c r="A24" i="24109"/>
  <c r="O22" i="24109"/>
  <c r="N22" i="24109"/>
  <c r="M22" i="24109"/>
  <c r="D22" i="24109"/>
  <c r="A22" i="24109"/>
  <c r="O20" i="24109"/>
  <c r="N20" i="24109"/>
  <c r="M20" i="24109"/>
  <c r="A20" i="24109"/>
  <c r="O18" i="24109"/>
  <c r="N18" i="24109"/>
  <c r="M18" i="24109"/>
  <c r="L9" i="24109" s="1"/>
  <c r="K50" i="24109"/>
  <c r="D18" i="24109"/>
  <c r="A18" i="24109"/>
  <c r="L11" i="24109"/>
  <c r="A11" i="24109"/>
  <c r="A10" i="24109"/>
  <c r="D14" i="24109" l="1"/>
  <c r="B14" i="24109"/>
  <c r="L6" i="24109"/>
  <c r="C14" i="24109"/>
  <c r="D20" i="24109"/>
  <c r="D24" i="24109"/>
  <c r="D28" i="24109"/>
  <c r="J50" i="24109" l="1"/>
  <c r="B41" i="24109" l="1"/>
  <c r="G44" i="24109" l="1"/>
  <c r="G50" i="24109" l="1"/>
  <c r="L8" i="24109" s="1"/>
  <c r="G46" i="24109"/>
  <c r="G45" i="24109"/>
  <c r="A46" i="24109" l="1"/>
  <c r="I50" i="24109"/>
  <c r="A45" i="24109"/>
  <c r="H50" i="24109"/>
  <c r="A47" i="24109"/>
  <c r="G47" i="24109"/>
  <c r="E50" i="24109" l="1"/>
  <c r="L7" i="24109" l="1"/>
  <c r="L5" i="24109"/>
</calcChain>
</file>

<file path=xl/sharedStrings.xml><?xml version="1.0" encoding="utf-8"?>
<sst xmlns="http://schemas.openxmlformats.org/spreadsheetml/2006/main" count="78" uniqueCount="66">
  <si>
    <t>ЭМ</t>
  </si>
  <si>
    <t xml:space="preserve">Средства на оплату труда (руб) - </t>
  </si>
  <si>
    <t>Наименование работ и затрат</t>
  </si>
  <si>
    <t xml:space="preserve">Нормативная трудоемкость (чел-ч.) - </t>
  </si>
  <si>
    <t xml:space="preserve">   Расшифровка условных сокращений </t>
  </si>
  <si>
    <t>НР</t>
  </si>
  <si>
    <t>СП</t>
  </si>
  <si>
    <t>ФОТ</t>
  </si>
  <si>
    <t xml:space="preserve">Сводная таблица сметных затрат  </t>
  </si>
  <si>
    <r>
      <t xml:space="preserve">Ind= </t>
    </r>
    <r>
      <rPr>
        <b/>
        <i/>
        <sz val="10"/>
        <rFont val="Arial Narrow"/>
        <family val="2"/>
        <charset val="204"/>
      </rPr>
      <t>►</t>
    </r>
  </si>
  <si>
    <t>МАТ</t>
  </si>
  <si>
    <r>
      <t>ПЗ</t>
    </r>
    <r>
      <rPr>
        <sz val="10"/>
        <rFont val="Arial Narrow"/>
        <family val="2"/>
        <charset val="204"/>
      </rPr>
      <t xml:space="preserve"> - </t>
    </r>
    <r>
      <rPr>
        <i/>
        <sz val="10"/>
        <rFont val="Arial Narrow"/>
        <family val="2"/>
        <charset val="204"/>
      </rPr>
      <t>прямые затраты</t>
    </r>
    <r>
      <rPr>
        <sz val="10"/>
        <rFont val="Arial Narrow"/>
        <family val="2"/>
        <charset val="204"/>
      </rPr>
      <t xml:space="preserve"> = (ОЗП + ЭМ + МАТ)</t>
    </r>
  </si>
  <si>
    <r>
      <t>ЭМ</t>
    </r>
    <r>
      <rPr>
        <sz val="10"/>
        <rFont val="Arial Narrow"/>
        <family val="2"/>
        <charset val="204"/>
      </rPr>
      <t xml:space="preserve"> - </t>
    </r>
    <r>
      <rPr>
        <i/>
        <sz val="10"/>
        <rFont val="Arial Narrow"/>
        <family val="2"/>
        <charset val="204"/>
      </rPr>
      <t xml:space="preserve">затраты на эксплуатацию машин и механизмов, </t>
    </r>
    <r>
      <rPr>
        <b/>
        <sz val="10"/>
        <rFont val="Arial Narrow"/>
        <family val="2"/>
        <charset val="204"/>
      </rPr>
      <t>ЗПМ</t>
    </r>
    <r>
      <rPr>
        <i/>
        <sz val="10"/>
        <rFont val="Arial Narrow"/>
        <family val="2"/>
        <charset val="204"/>
      </rPr>
      <t xml:space="preserve"> - в т.ч. зарплата машинистов</t>
    </r>
  </si>
  <si>
    <t xml:space="preserve">ТЗ </t>
  </si>
  <si>
    <t>Единица измерения</t>
  </si>
  <si>
    <r>
      <t xml:space="preserve">ФОТ </t>
    </r>
    <r>
      <rPr>
        <i/>
        <sz val="10"/>
        <color indexed="8"/>
        <rFont val="Arial Narrow"/>
        <family val="2"/>
        <charset val="204"/>
      </rPr>
      <t>- фонд оплаты труда,</t>
    </r>
    <r>
      <rPr>
        <b/>
        <sz val="10"/>
        <color indexed="8"/>
        <rFont val="Arial Narrow"/>
        <family val="2"/>
        <charset val="204"/>
      </rPr>
      <t xml:space="preserve"> ТЗ</t>
    </r>
    <r>
      <rPr>
        <i/>
        <sz val="10"/>
        <color indexed="8"/>
        <rFont val="Arial Narrow"/>
        <family val="2"/>
        <charset val="204"/>
      </rPr>
      <t xml:space="preserve"> - нормативная трудоемкость (трудозатраты),чел-ч.</t>
    </r>
  </si>
  <si>
    <t>С учетом особых условий производства работ (ОЗП, ЗПМ)  х</t>
  </si>
  <si>
    <t xml:space="preserve">    С учетом стесненных условий работ (ОЗП, ЗПМ)  х</t>
  </si>
  <si>
    <t xml:space="preserve">           </t>
  </si>
  <si>
    <t xml:space="preserve"> Коэффициенты пересчета базовых цен на   </t>
  </si>
  <si>
    <t>Всего</t>
  </si>
  <si>
    <r>
      <t>МАТ</t>
    </r>
    <r>
      <rPr>
        <b/>
        <i/>
        <sz val="10"/>
        <rFont val="Arial Narrow"/>
        <family val="2"/>
        <charset val="204"/>
      </rPr>
      <t xml:space="preserve"> - </t>
    </r>
    <r>
      <rPr>
        <i/>
        <sz val="10"/>
        <rFont val="Arial Narrow"/>
        <family val="2"/>
        <charset val="204"/>
      </rPr>
      <t>материальные затраты, учтенные в расценках работ</t>
    </r>
  </si>
  <si>
    <t xml:space="preserve">ОБОСНО-ВАНИЕ </t>
  </si>
  <si>
    <t>Количество</t>
  </si>
  <si>
    <t>С учетом районного коэффициента  (ОЗП, ЗПМ)  х</t>
  </si>
  <si>
    <t xml:space="preserve">                         Итого прямые затраты в уровне базовых цен 2000г. = (ОЗП + ЭМ + МАТ)</t>
  </si>
  <si>
    <t>№
пп</t>
  </si>
  <si>
    <r>
      <t>Сметная стоимость с учетом понижающего коэффициента -</t>
    </r>
    <r>
      <rPr>
        <b/>
        <i/>
        <u/>
        <sz val="10"/>
        <color indexed="9"/>
        <rFont val="Arial Narrow"/>
        <family val="2"/>
        <charset val="204"/>
      </rPr>
      <t>.</t>
    </r>
  </si>
  <si>
    <t xml:space="preserve">в т. ч. фонд оплаты труда (ФОТ) = ОЗП+ЗПМ =   </t>
  </si>
  <si>
    <r>
      <t>ОЗП</t>
    </r>
    <r>
      <rPr>
        <sz val="10"/>
        <rFont val="Arial Narrow"/>
        <family val="2"/>
        <charset val="204"/>
      </rPr>
      <t xml:space="preserve"> </t>
    </r>
    <r>
      <rPr>
        <i/>
        <sz val="10"/>
        <rFont val="Arial Narrow"/>
        <family val="2"/>
        <charset val="204"/>
      </rPr>
      <t>- основная заработная плата рабочих</t>
    </r>
  </si>
  <si>
    <r>
      <t xml:space="preserve">Осн/Зп
</t>
    </r>
    <r>
      <rPr>
        <sz val="9"/>
        <rFont val="Arial Cyr"/>
        <charset val="204"/>
      </rPr>
      <t xml:space="preserve">(ОЗП) </t>
    </r>
  </si>
  <si>
    <r>
      <t xml:space="preserve">Эк.Маш
</t>
    </r>
    <r>
      <rPr>
        <sz val="9"/>
        <rFont val="Arial Cyr"/>
        <charset val="204"/>
      </rPr>
      <t xml:space="preserve">(ЭМ) </t>
    </r>
  </si>
  <si>
    <r>
      <t xml:space="preserve">Зп.Мех
</t>
    </r>
    <r>
      <rPr>
        <sz val="9"/>
        <rFont val="Arial Cyr"/>
        <charset val="204"/>
      </rPr>
      <t>(ЗПМ)</t>
    </r>
  </si>
  <si>
    <t xml:space="preserve">МАТ
</t>
  </si>
  <si>
    <r>
      <t xml:space="preserve">Затраты на единицу измерения
</t>
    </r>
    <r>
      <rPr>
        <b/>
        <sz val="9"/>
        <rFont val="Arial Cyr"/>
        <charset val="204"/>
      </rPr>
      <t>Общая сметная стоимость</t>
    </r>
    <r>
      <rPr>
        <sz val="9"/>
        <rFont val="Arial Cyr"/>
        <charset val="204"/>
      </rPr>
      <t xml:space="preserve">                                                    </t>
    </r>
  </si>
  <si>
    <t>Трудо-затраты</t>
  </si>
  <si>
    <t>Всего, руб</t>
  </si>
  <si>
    <t>Раздел: Электромонтажные работы по Сб.ФЕРм-2001</t>
  </si>
  <si>
    <t>08-03-526-01</t>
  </si>
  <si>
    <t>Автомат одно-, двух-, трехполюсный на ток до до 25А</t>
  </si>
  <si>
    <t>шт</t>
  </si>
  <si>
    <t>10-08-001-06</t>
  </si>
  <si>
    <t>Концентратор ОПС, блок  базовый на 10 лучей</t>
  </si>
  <si>
    <t xml:space="preserve">10-02-016-06 </t>
  </si>
  <si>
    <t>Преобразователь или блок питания отдельно устанавливаемый</t>
  </si>
  <si>
    <t>10-08-003-07</t>
  </si>
  <si>
    <t>Комплект оптико-эл.преобразователей(излучатель, фотоприемник)</t>
  </si>
  <si>
    <t>комплект</t>
  </si>
  <si>
    <t>10-08-002-06</t>
  </si>
  <si>
    <t>Конструкция для установки извещателя</t>
  </si>
  <si>
    <t>10-08-003-01</t>
  </si>
  <si>
    <t>Прибор сигнализирующий емкостной</t>
  </si>
  <si>
    <t>10-08-005-03</t>
  </si>
  <si>
    <t>Провод 2-х и 3-х жильный бетонным и метал. основаниям</t>
  </si>
  <si>
    <t>100м</t>
  </si>
  <si>
    <t>08-02-411-01</t>
  </si>
  <si>
    <t>Металлорукав  диаметром до 48мм</t>
  </si>
  <si>
    <t>08-02-412-01</t>
  </si>
  <si>
    <t xml:space="preserve">Затягивание провода в трубу (металлорукав) </t>
  </si>
  <si>
    <t>08-02-412-09</t>
  </si>
  <si>
    <t xml:space="preserve">Затягивание каждого послед.провода в трубу (металлорукав) </t>
  </si>
  <si>
    <t>ЛОКАЛЬНЫЙ СМЕТНЫЙ РАСЧЕТ № 1 
 Локальная смета:</t>
  </si>
  <si>
    <t>Расчет сметной стоимости выполнен  по состоянию на 25.12.2013</t>
  </si>
  <si>
    <t>Монтаж и наладка охранной сигнализации</t>
  </si>
  <si>
    <t>Основание: Техническое задание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</si>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</sst>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6" formatCode="#,##0.000"/>
    <numFmt numFmtId="167" formatCode="#,##0.0000"/>
    <numFmt numFmtId="169" formatCode="0.0##%"/>
  </numFmts>
  <fonts count="52" x14ac:knownFonts="1">
    <font>
      <sz val="10"/>
      <name val="Arial Cyr"/>
      <charset val="204"/>
    </font>
    <font>
      <sz val="10"/>
      <name val="Arial Cyr"/>
      <charset val="204"/>
    </font>
    <font>
      <b/>
      <shadow/>
      <sz val="10"/>
      <name val="Arial cyr"/>
      <charset val="204"/>
    </font>
    <font>
      <sz val="11"/>
      <name val="Arial Cyr"/>
      <charset val="204"/>
    </font>
    <font>
      <b/>
      <shadow/>
      <sz val="14"/>
      <name val="Arial cyr"/>
      <charset val="204"/>
    </font>
    <font>
      <b/>
      <i/>
      <sz val="10"/>
      <name val="Arial Cyr"/>
      <charset val="204"/>
    </font>
    <font>
      <b/>
      <sz val="9"/>
      <name val="Arial Cyr"/>
      <family val="2"/>
      <charset val="204"/>
    </font>
    <font>
      <b/>
      <sz val="10"/>
      <name val="Arial Cyr"/>
      <charset val="204"/>
    </font>
    <font>
      <b/>
      <sz val="9"/>
      <color indexed="8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8"/>
      <name val="Arial Cyr"/>
      <charset val="204"/>
    </font>
    <font>
      <b/>
      <i/>
      <sz val="9"/>
      <name val="Arial Cyr"/>
      <charset val="204"/>
    </font>
    <font>
      <b/>
      <sz val="9"/>
      <color indexed="8"/>
      <name val="Arial Cyr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10"/>
      <name val="Arial Narrow"/>
      <family val="2"/>
    </font>
    <font>
      <b/>
      <i/>
      <shadow/>
      <sz val="10"/>
      <name val="Arial Narrow"/>
      <family val="2"/>
    </font>
    <font>
      <b/>
      <sz val="9"/>
      <name val="Arial Narrow"/>
      <family val="2"/>
      <charset val="204"/>
    </font>
    <font>
      <b/>
      <sz val="10"/>
      <name val="Arial"/>
      <family val="2"/>
      <charset val="204"/>
    </font>
    <font>
      <b/>
      <i/>
      <shadow/>
      <sz val="10"/>
      <name val="Arial Narrow"/>
      <family val="2"/>
      <charset val="204"/>
    </font>
    <font>
      <sz val="10"/>
      <color indexed="10"/>
      <name val="Arial Cyr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b/>
      <i/>
      <sz val="9.5"/>
      <name val="Arial Cyr"/>
      <charset val="204"/>
    </font>
    <font>
      <b/>
      <sz val="9.5"/>
      <name val="Arial Narrow"/>
      <family val="2"/>
      <charset val="204"/>
    </font>
    <font>
      <b/>
      <sz val="9.5"/>
      <name val="Arial Narrow"/>
      <family val="2"/>
    </font>
    <font>
      <i/>
      <sz val="10"/>
      <color indexed="8"/>
      <name val="Arial Narrow"/>
      <family val="2"/>
      <charset val="204"/>
    </font>
    <font>
      <i/>
      <sz val="10"/>
      <name val="Arial"/>
      <family val="2"/>
      <charset val="204"/>
    </font>
    <font>
      <sz val="10"/>
      <color indexed="9"/>
      <name val="Arial Cyr"/>
      <family val="2"/>
      <charset val="204"/>
    </font>
    <font>
      <sz val="10"/>
      <color indexed="43"/>
      <name val="Arial Cyr"/>
      <charset val="204"/>
    </font>
    <font>
      <i/>
      <sz val="10"/>
      <color indexed="10"/>
      <name val="Arial Narrow"/>
      <family val="2"/>
      <charset val="204"/>
    </font>
    <font>
      <sz val="9.5"/>
      <name val="Arial Narrow"/>
      <family val="2"/>
      <charset val="204"/>
    </font>
    <font>
      <i/>
      <sz val="9"/>
      <name val="Arial Cyr"/>
      <family val="2"/>
      <charset val="204"/>
    </font>
    <font>
      <b/>
      <i/>
      <sz val="10"/>
      <color indexed="8"/>
      <name val="Arial Narrow"/>
      <family val="2"/>
    </font>
    <font>
      <b/>
      <i/>
      <sz val="10"/>
      <color indexed="8"/>
      <name val="Arial Narrow"/>
      <family val="2"/>
      <charset val="204"/>
    </font>
    <font>
      <b/>
      <i/>
      <u/>
      <sz val="10"/>
      <color indexed="8"/>
      <name val="Arial Narrow"/>
      <family val="2"/>
      <charset val="204"/>
    </font>
    <font>
      <b/>
      <sz val="8"/>
      <name val="Arial"/>
      <family val="2"/>
    </font>
    <font>
      <b/>
      <i/>
      <u/>
      <sz val="10"/>
      <color indexed="9"/>
      <name val="Arial Narrow"/>
      <family val="2"/>
      <charset val="204"/>
    </font>
    <font>
      <sz val="8"/>
      <color indexed="9"/>
      <name val="Arial Cyr"/>
      <charset val="204"/>
    </font>
    <font>
      <sz val="8"/>
      <color indexed="9"/>
      <name val="Arial"/>
      <family val="2"/>
      <charset val="204"/>
    </font>
    <font>
      <b/>
      <shadow/>
      <sz val="11"/>
      <name val="Arial cyr"/>
      <charset val="204"/>
    </font>
    <font>
      <sz val="8"/>
      <color indexed="12"/>
      <name val="Arial Cyr"/>
      <charset val="204"/>
    </font>
    <font>
      <b/>
      <sz val="9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vertical="top"/>
    </xf>
    <xf numFmtId="0" fontId="0" fillId="2" borderId="0" xfId="0" applyFill="1" applyAlignment="1">
      <alignment horizont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0" fontId="30" fillId="0" borderId="0" xfId="0" applyFont="1"/>
    <xf numFmtId="0" fontId="18" fillId="0" borderId="0" xfId="0" applyFont="1" applyAlignment="1">
      <alignment horizontal="right" vertical="center"/>
    </xf>
    <xf numFmtId="4" fontId="19" fillId="2" borderId="8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0" fontId="29" fillId="2" borderId="9" xfId="0" applyFont="1" applyFill="1" applyBorder="1" applyAlignment="1">
      <alignment horizontal="right" vertical="center" wrapText="1"/>
    </xf>
    <xf numFmtId="0" fontId="27" fillId="2" borderId="1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2" fillId="2" borderId="11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 wrapText="1"/>
    </xf>
    <xf numFmtId="4" fontId="19" fillId="2" borderId="15" xfId="0" applyNumberFormat="1" applyFont="1" applyFill="1" applyBorder="1" applyAlignment="1">
      <alignment horizontal="center" vertical="center"/>
    </xf>
    <xf numFmtId="4" fontId="19" fillId="2" borderId="16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top" wrapText="1"/>
    </xf>
    <xf numFmtId="2" fontId="6" fillId="2" borderId="11" xfId="0" applyNumberFormat="1" applyFont="1" applyFill="1" applyBorder="1" applyAlignment="1">
      <alignment horizontal="left" vertical="center"/>
    </xf>
    <xf numFmtId="4" fontId="33" fillId="2" borderId="9" xfId="0" applyNumberFormat="1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Border="1" applyAlignment="1">
      <alignment horizontal="center" vertical="center" wrapText="1"/>
    </xf>
    <xf numFmtId="4" fontId="33" fillId="2" borderId="9" xfId="2" applyNumberFormat="1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32" fillId="2" borderId="0" xfId="0" applyFont="1" applyFill="1" applyBorder="1" applyAlignment="1">
      <alignment horizontal="right" vertical="center"/>
    </xf>
    <xf numFmtId="2" fontId="24" fillId="2" borderId="0" xfId="0" applyNumberFormat="1" applyFont="1" applyFill="1" applyBorder="1" applyAlignment="1">
      <alignment horizontal="center" vertical="center"/>
    </xf>
    <xf numFmtId="2" fontId="24" fillId="2" borderId="0" xfId="0" applyNumberFormat="1" applyFont="1" applyFill="1" applyBorder="1" applyAlignment="1">
      <alignment horizontal="right" vertical="center"/>
    </xf>
    <xf numFmtId="4" fontId="34" fillId="0" borderId="1" xfId="0" applyNumberFormat="1" applyFont="1" applyFill="1" applyBorder="1" applyAlignment="1">
      <alignment horizontal="center" vertical="center"/>
    </xf>
    <xf numFmtId="4" fontId="34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0" fontId="37" fillId="0" borderId="2" xfId="0" applyNumberFormat="1" applyFont="1" applyBorder="1" applyAlignment="1">
      <alignment horizontal="center" wrapText="1"/>
    </xf>
    <xf numFmtId="0" fontId="17" fillId="0" borderId="0" xfId="0" applyFont="1" applyAlignment="1">
      <alignment wrapText="1"/>
    </xf>
    <xf numFmtId="4" fontId="40" fillId="2" borderId="10" xfId="0" applyNumberFormat="1" applyFont="1" applyFill="1" applyBorder="1" applyAlignment="1">
      <alignment horizontal="center" vertical="center" wrapText="1"/>
    </xf>
    <xf numFmtId="4" fontId="40" fillId="2" borderId="19" xfId="0" applyNumberFormat="1" applyFont="1" applyFill="1" applyBorder="1" applyAlignment="1">
      <alignment horizontal="center" vertical="center" wrapText="1"/>
    </xf>
    <xf numFmtId="4" fontId="33" fillId="2" borderId="1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" fontId="24" fillId="2" borderId="0" xfId="0" applyNumberFormat="1" applyFont="1" applyFill="1" applyBorder="1" applyAlignment="1">
      <alignment vertical="center"/>
    </xf>
    <xf numFmtId="2" fontId="36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top" wrapText="1"/>
    </xf>
    <xf numFmtId="4" fontId="6" fillId="2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9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0" fillId="2" borderId="0" xfId="0" applyFill="1" applyAlignment="1">
      <alignment vertical="center"/>
    </xf>
    <xf numFmtId="4" fontId="42" fillId="0" borderId="0" xfId="0" applyNumberFormat="1" applyFont="1" applyAlignment="1">
      <alignment horizontal="right" vertical="center"/>
    </xf>
    <xf numFmtId="4" fontId="28" fillId="2" borderId="20" xfId="0" applyNumberFormat="1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right" vertical="center"/>
    </xf>
    <xf numFmtId="167" fontId="19" fillId="0" borderId="2" xfId="0" applyNumberFormat="1" applyFont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vertical="center" wrapText="1"/>
    </xf>
    <xf numFmtId="2" fontId="11" fillId="2" borderId="11" xfId="0" applyNumberFormat="1" applyFont="1" applyFill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38" fillId="4" borderId="12" xfId="0" applyNumberFormat="1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vertical="center"/>
    </xf>
    <xf numFmtId="49" fontId="8" fillId="4" borderId="18" xfId="0" applyNumberFormat="1" applyFont="1" applyFill="1" applyBorder="1" applyAlignment="1">
      <alignment horizontal="center" vertical="center"/>
    </xf>
    <xf numFmtId="4" fontId="42" fillId="0" borderId="0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/>
    <xf numFmtId="2" fontId="29" fillId="0" borderId="12" xfId="0" applyNumberFormat="1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9" fontId="6" fillId="2" borderId="11" xfId="0" applyNumberFormat="1" applyFont="1" applyFill="1" applyBorder="1" applyAlignment="1">
      <alignment horizontal="left" vertical="center"/>
    </xf>
    <xf numFmtId="169" fontId="28" fillId="2" borderId="11" xfId="1" applyNumberFormat="1" applyFont="1" applyFill="1" applyBorder="1" applyAlignment="1">
      <alignment horizontal="left" vertical="center" shrinkToFit="1"/>
    </xf>
    <xf numFmtId="4" fontId="48" fillId="2" borderId="12" xfId="0" applyNumberFormat="1" applyFont="1" applyFill="1" applyBorder="1" applyAlignment="1">
      <alignment vertical="center"/>
    </xf>
    <xf numFmtId="0" fontId="47" fillId="2" borderId="0" xfId="0" applyFont="1" applyFill="1" applyAlignment="1">
      <alignment horizontal="center" wrapText="1"/>
    </xf>
    <xf numFmtId="166" fontId="51" fillId="2" borderId="0" xfId="0" applyNumberFormat="1" applyFont="1" applyFill="1" applyBorder="1" applyAlignment="1">
      <alignment horizontal="center" vertical="center"/>
    </xf>
    <xf numFmtId="49" fontId="11" fillId="4" borderId="9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9" fontId="50" fillId="0" borderId="0" xfId="0" applyNumberFormat="1" applyFont="1" applyAlignment="1">
      <alignment vertical="center"/>
    </xf>
    <xf numFmtId="9" fontId="47" fillId="0" borderId="0" xfId="0" applyNumberFormat="1" applyFont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1" fontId="11" fillId="0" borderId="0" xfId="0" applyNumberFormat="1" applyFont="1" applyFill="1" applyBorder="1" applyAlignment="1">
      <alignment horizontal="left" vertical="center" wrapText="1"/>
    </xf>
    <xf numFmtId="49" fontId="45" fillId="4" borderId="19" xfId="0" applyNumberFormat="1" applyFont="1" applyFill="1" applyBorder="1" applyAlignment="1">
      <alignment horizontal="center" vertical="center" wrapText="1"/>
    </xf>
    <xf numFmtId="49" fontId="45" fillId="4" borderId="22" xfId="0" applyNumberFormat="1" applyFont="1" applyFill="1" applyBorder="1" applyAlignment="1">
      <alignment horizontal="center" vertical="center" wrapText="1"/>
    </xf>
    <xf numFmtId="49" fontId="27" fillId="4" borderId="2" xfId="0" applyNumberFormat="1" applyFont="1" applyFill="1" applyBorder="1" applyAlignment="1">
      <alignment horizontal="center" vertical="center" wrapText="1"/>
    </xf>
    <xf numFmtId="49" fontId="27" fillId="4" borderId="11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21" xfId="0" applyNumberFormat="1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center" wrapText="1"/>
    </xf>
    <xf numFmtId="49" fontId="28" fillId="4" borderId="18" xfId="0" applyNumberFormat="1" applyFont="1" applyFill="1" applyBorder="1" applyAlignment="1">
      <alignment horizontal="center" vertical="center" wrapText="1"/>
    </xf>
    <xf numFmtId="49" fontId="28" fillId="4" borderId="23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0" fillId="0" borderId="21" xfId="0" applyBorder="1"/>
    <xf numFmtId="4" fontId="13" fillId="2" borderId="0" xfId="0" applyNumberFormat="1" applyFont="1" applyFill="1" applyBorder="1" applyAlignment="1">
      <alignment horizontal="right" vertical="center" wrapText="1"/>
    </xf>
    <xf numFmtId="4" fontId="41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9" fillId="2" borderId="24" xfId="0" applyNumberFormat="1" applyFont="1" applyFill="1" applyBorder="1" applyAlignment="1">
      <alignment horizontal="center" vertical="center"/>
    </xf>
    <xf numFmtId="4" fontId="19" fillId="2" borderId="15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right" vertical="center"/>
    </xf>
    <xf numFmtId="0" fontId="29" fillId="2" borderId="13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21" xfId="0" applyFont="1" applyFill="1" applyBorder="1" applyAlignment="1">
      <alignment horizontal="right" vertical="center" wrapText="1"/>
    </xf>
    <xf numFmtId="2" fontId="9" fillId="0" borderId="21" xfId="0" applyNumberFormat="1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right" vertical="center"/>
    </xf>
    <xf numFmtId="0" fontId="27" fillId="0" borderId="2" xfId="0" applyFont="1" applyBorder="1" applyAlignment="1">
      <alignment horizontal="right" vertical="center" wrapText="1" indent="1"/>
    </xf>
    <xf numFmtId="0" fontId="27" fillId="0" borderId="21" xfId="0" applyFont="1" applyBorder="1" applyAlignment="1">
      <alignment horizontal="right" vertical="center" wrapText="1" indent="1"/>
    </xf>
    <xf numFmtId="0" fontId="27" fillId="0" borderId="11" xfId="0" applyFont="1" applyBorder="1" applyAlignment="1">
      <alignment horizontal="right" vertical="center" wrapText="1" inden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showGridLines="0" tabSelected="1" topLeftCell="A33" workbookViewId="0">
      <selection activeCell="G54" sqref="G54"/>
    </sheetView>
  </sheetViews>
  <sheetFormatPr defaultRowHeight="12.75" x14ac:dyDescent="0.2"/>
  <cols>
    <col min="1" max="2" width="5.140625" customWidth="1"/>
    <col min="3" max="3" width="4.85546875" customWidth="1"/>
    <col min="4" max="4" width="45.7109375" customWidth="1"/>
    <col min="5" max="6" width="6.85546875" customWidth="1"/>
    <col min="7" max="7" width="11.85546875" customWidth="1"/>
    <col min="8" max="10" width="10.7109375" customWidth="1"/>
    <col min="11" max="11" width="9.85546875" customWidth="1"/>
    <col min="12" max="12" width="11.140625" customWidth="1"/>
    <col min="13" max="13" width="5.85546875" hidden="1" customWidth="1"/>
    <col min="14" max="14" width="5" hidden="1" customWidth="1"/>
    <col min="15" max="15" width="5.140625" hidden="1" customWidth="1"/>
  </cols>
  <sheetData>
    <row r="1" spans="1:15" ht="36.75" customHeight="1" x14ac:dyDescent="0.25">
      <c r="A1" s="125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92"/>
      <c r="N1" s="51"/>
      <c r="O1" s="93"/>
    </row>
    <row r="2" spans="1:15" ht="21" customHeight="1" x14ac:dyDescent="0.2">
      <c r="A2" s="137" t="s">
        <v>63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92"/>
      <c r="N2" s="51"/>
      <c r="O2" s="93"/>
    </row>
    <row r="3" spans="1:15" ht="6.75" customHeight="1" x14ac:dyDescent="0.2">
      <c r="A3" s="162"/>
      <c r="B3" s="15"/>
      <c r="C3" s="163"/>
      <c r="D3" s="163"/>
      <c r="E3" s="2"/>
      <c r="F3" s="162"/>
      <c r="G3" s="162"/>
      <c r="H3" s="162"/>
      <c r="I3" s="162"/>
      <c r="J3" s="162"/>
      <c r="K3" s="162"/>
      <c r="L3" s="163"/>
      <c r="M3" s="92"/>
      <c r="N3" s="51"/>
      <c r="O3" s="93"/>
    </row>
    <row r="4" spans="1:15" ht="15" customHeight="1" x14ac:dyDescent="0.25">
      <c r="A4" s="127" t="s">
        <v>4</v>
      </c>
      <c r="B4" s="127"/>
      <c r="C4" s="127"/>
      <c r="D4" s="127"/>
      <c r="E4" s="164"/>
      <c r="F4" s="165" t="str">
        <f>TRUNC((RIGHT(LEFT("01.07.2013",5),2)-1)/3,0)+1&amp;"кв. "&amp;RIGHT("01.07.2013",4)&amp;"г."</f>
        <v>3кв. 2013г.</v>
      </c>
      <c r="G4" s="30"/>
      <c r="H4" s="166"/>
      <c r="I4" s="3"/>
      <c r="J4" s="162"/>
      <c r="K4" s="166"/>
      <c r="L4" s="4" t="s">
        <v>64</v>
      </c>
      <c r="M4" s="92"/>
      <c r="N4" s="51"/>
      <c r="O4" s="93"/>
    </row>
    <row r="5" spans="1:15" ht="14.1" customHeight="1" x14ac:dyDescent="0.2">
      <c r="A5" s="115" t="s">
        <v>11</v>
      </c>
      <c r="B5" s="115"/>
      <c r="C5" s="115"/>
      <c r="D5" s="115"/>
      <c r="E5" s="63"/>
      <c r="F5" s="63"/>
      <c r="G5" s="63"/>
      <c r="H5" s="6"/>
      <c r="I5" s="6"/>
      <c r="J5" s="1"/>
      <c r="K5" s="31" t="str">
        <f>IF(M11=0,"Сметная стоимость в уровне цен на "&amp;F4&amp;"(руб) - ","Сметная стоимость в уровне цен на "&amp;F4&amp;" с  НДС = 18% (руб) - ")</f>
        <v xml:space="preserve">Сметная стоимость в уровне цен на 3кв. 2013г. с  НДС = 18% (руб) - </v>
      </c>
      <c r="L5" s="25" t="e">
        <f>#REF!</f>
        <v>#REF!</v>
      </c>
      <c r="M5" s="92"/>
      <c r="N5" s="51"/>
      <c r="O5" s="93"/>
    </row>
    <row r="6" spans="1:15" ht="14.1" customHeight="1" x14ac:dyDescent="0.2">
      <c r="A6" s="115" t="s">
        <v>29</v>
      </c>
      <c r="B6" s="116"/>
      <c r="C6" s="116"/>
      <c r="D6" s="116"/>
      <c r="E6" s="116"/>
      <c r="F6" s="116"/>
      <c r="G6" s="116"/>
      <c r="H6" s="6"/>
      <c r="I6" s="7"/>
      <c r="J6" s="6"/>
      <c r="K6" s="21" t="str">
        <f>IF(M11=0,"Стоимость оборудования  - ","Стоимость оборудования с НДС = 18% (руб) - ")</f>
        <v xml:space="preserve">Стоимость оборудования с НДС = 18% (руб) - </v>
      </c>
      <c r="L6" s="25" t="e">
        <f>#REF!</f>
        <v>#REF!</v>
      </c>
      <c r="M6" s="92"/>
      <c r="N6" s="51"/>
      <c r="O6" s="93"/>
    </row>
    <row r="7" spans="1:15" ht="14.1" customHeight="1" x14ac:dyDescent="0.2">
      <c r="A7" s="115" t="s">
        <v>12</v>
      </c>
      <c r="B7" s="116"/>
      <c r="C7" s="116"/>
      <c r="D7" s="116"/>
      <c r="E7" s="116"/>
      <c r="F7" s="116"/>
      <c r="G7" s="116"/>
      <c r="H7" s="6"/>
      <c r="I7" s="8"/>
      <c r="J7" s="6"/>
      <c r="K7" s="22" t="str">
        <f>IF(M11=0,"Стоимость  работ (руб) - ","Стоимость  работ с НДС = 18% (руб) - ")</f>
        <v xml:space="preserve">Стоимость  работ с НДС = 18% (руб) - </v>
      </c>
      <c r="L7" s="26" t="e">
        <f>#REF!</f>
        <v>#REF!</v>
      </c>
      <c r="M7" s="92"/>
      <c r="N7" s="51"/>
      <c r="O7" s="93"/>
    </row>
    <row r="8" spans="1:15" ht="14.1" customHeight="1" x14ac:dyDescent="0.2">
      <c r="A8" s="117" t="s">
        <v>21</v>
      </c>
      <c r="B8" s="118"/>
      <c r="C8" s="118"/>
      <c r="D8" s="118"/>
      <c r="E8" s="118"/>
      <c r="F8" s="118"/>
      <c r="G8" s="118"/>
      <c r="H8" s="6"/>
      <c r="I8" s="9"/>
      <c r="J8" s="6"/>
      <c r="K8" s="23" t="s">
        <v>1</v>
      </c>
      <c r="L8" s="27">
        <f>G50</f>
        <v>8540.24</v>
      </c>
      <c r="M8" s="92"/>
      <c r="N8" s="51"/>
      <c r="O8" s="93"/>
    </row>
    <row r="9" spans="1:15" ht="14.1" customHeight="1" x14ac:dyDescent="0.2">
      <c r="A9" s="119" t="s">
        <v>15</v>
      </c>
      <c r="B9" s="119"/>
      <c r="C9" s="119"/>
      <c r="D9" s="119"/>
      <c r="E9" s="119"/>
      <c r="F9" s="119"/>
      <c r="G9" s="119"/>
      <c r="H9" s="6"/>
      <c r="I9" s="5"/>
      <c r="J9" s="6"/>
      <c r="K9" s="21" t="s">
        <v>3</v>
      </c>
      <c r="L9" s="28">
        <f>L50</f>
        <v>714.78030000000012</v>
      </c>
      <c r="M9" s="92"/>
      <c r="N9" s="51"/>
      <c r="O9" s="93"/>
    </row>
    <row r="10" spans="1:15" ht="14.1" hidden="1" customHeight="1" x14ac:dyDescent="0.2">
      <c r="A10" s="74" t="str">
        <f>IF(L10=0,"Отсутствует","")</f>
        <v>Отсутствует</v>
      </c>
      <c r="B10" s="74"/>
      <c r="C10" s="74"/>
      <c r="D10" s="74"/>
      <c r="E10" s="74"/>
      <c r="F10" s="74"/>
      <c r="G10" s="74"/>
      <c r="H10" s="6"/>
      <c r="I10" s="67"/>
      <c r="J10" s="84"/>
      <c r="K10" s="80" t="s">
        <v>27</v>
      </c>
      <c r="L10" s="91">
        <v>0</v>
      </c>
      <c r="M10" s="92"/>
      <c r="N10" s="51"/>
      <c r="O10" s="93"/>
    </row>
    <row r="11" spans="1:15" ht="14.1" hidden="1" customHeight="1" x14ac:dyDescent="0.2">
      <c r="A11" s="74" t="str">
        <f>IF(L10=0,"Отсутствует","")</f>
        <v>Отсутствует</v>
      </c>
      <c r="B11" s="74"/>
      <c r="C11" s="74"/>
      <c r="D11" s="74"/>
      <c r="E11" s="74"/>
      <c r="F11" s="74"/>
      <c r="G11" s="74"/>
      <c r="H11" s="6"/>
      <c r="I11" s="67"/>
      <c r="J11" s="68"/>
      <c r="K11" s="75" t="str">
        <f>IF(M11=0," НДС не облагается     ", "в т.ч.  НДС (18%) -  ")</f>
        <v xml:space="preserve">в т.ч.  НДС (18%) -  </v>
      </c>
      <c r="L11" s="77">
        <f>IF(M11=0,"",L10/(1+M11)*M11)</f>
        <v>0</v>
      </c>
      <c r="M11" s="107">
        <v>0.18</v>
      </c>
      <c r="N11" s="51"/>
      <c r="O11" s="93"/>
    </row>
    <row r="12" spans="1:15" ht="16.5" customHeight="1" x14ac:dyDescent="0.2">
      <c r="A12" s="36"/>
      <c r="B12" s="36"/>
      <c r="C12" s="36"/>
      <c r="D12" s="36"/>
      <c r="E12" s="36"/>
      <c r="F12" s="36"/>
      <c r="G12" s="36"/>
      <c r="H12" s="6"/>
      <c r="I12" s="5"/>
      <c r="J12" s="6"/>
      <c r="K12" s="6"/>
      <c r="L12" s="31" t="s">
        <v>62</v>
      </c>
      <c r="M12" s="92"/>
      <c r="N12" s="51"/>
      <c r="O12" s="93"/>
    </row>
    <row r="13" spans="1:15" ht="26.25" customHeight="1" x14ac:dyDescent="0.2">
      <c r="A13" s="85" t="s">
        <v>26</v>
      </c>
      <c r="B13" s="128" t="s">
        <v>22</v>
      </c>
      <c r="C13" s="129"/>
      <c r="D13" s="86" t="s">
        <v>2</v>
      </c>
      <c r="E13" s="130" t="s">
        <v>14</v>
      </c>
      <c r="F13" s="131"/>
      <c r="G13" s="132" t="s">
        <v>34</v>
      </c>
      <c r="H13" s="133"/>
      <c r="I13" s="133"/>
      <c r="J13" s="133"/>
      <c r="K13" s="133"/>
      <c r="L13" s="134"/>
      <c r="M13" s="92"/>
      <c r="N13" s="51"/>
      <c r="O13" s="93"/>
    </row>
    <row r="14" spans="1:15" ht="27.75" customHeight="1" x14ac:dyDescent="0.2">
      <c r="A14" s="87"/>
      <c r="B14" s="88" t="str">
        <f>IF(SUM($N$1:$N$1478)&gt;0,"k(d)","")</f>
        <v/>
      </c>
      <c r="C14" s="88" t="str">
        <f>IF(SUM($O$1:$O$1478)&gt;0,"k(h)","")</f>
        <v/>
      </c>
      <c r="D14" s="89" t="str">
        <f>IF(AND(SUM($N$1:$N$1478)&gt;0,SUM($O$1:$O$1478)&gt;0),"◄= k(d) -коэф. на демонтаж * k(h) - высотный коэф.",IF(AND(SUM($N$1:$N$1478)&gt;0,SUM($O$1:$O$1478)=0),"◄= k(d) -коэф. на демонтаж",IF(AND(SUM($N$1:$N$1478)=0,SUM($O$1:$O$1478)&gt;0),"◄= k(h) - высотный коэффициент","")))</f>
        <v/>
      </c>
      <c r="E14" s="135" t="s">
        <v>23</v>
      </c>
      <c r="F14" s="136"/>
      <c r="G14" s="90" t="s">
        <v>36</v>
      </c>
      <c r="H14" s="105" t="s">
        <v>30</v>
      </c>
      <c r="I14" s="103" t="s">
        <v>31</v>
      </c>
      <c r="J14" s="103" t="s">
        <v>32</v>
      </c>
      <c r="K14" s="104" t="s">
        <v>33</v>
      </c>
      <c r="L14" s="103" t="s">
        <v>35</v>
      </c>
      <c r="M14" s="92"/>
      <c r="N14" s="51"/>
      <c r="O14" s="93"/>
    </row>
    <row r="15" spans="1:15" ht="12.75" customHeight="1" x14ac:dyDescent="0.2">
      <c r="A15" s="24">
        <v>1</v>
      </c>
      <c r="B15" s="120">
        <v>2</v>
      </c>
      <c r="C15" s="121"/>
      <c r="D15" s="24">
        <v>3</v>
      </c>
      <c r="E15" s="120">
        <v>4</v>
      </c>
      <c r="F15" s="121"/>
      <c r="G15" s="24">
        <v>5</v>
      </c>
      <c r="H15" s="24">
        <v>6</v>
      </c>
      <c r="I15" s="24">
        <v>7</v>
      </c>
      <c r="J15" s="24">
        <v>8</v>
      </c>
      <c r="K15" s="24">
        <v>9</v>
      </c>
      <c r="L15" s="24">
        <v>10</v>
      </c>
      <c r="M15" s="94"/>
      <c r="N15" s="94"/>
      <c r="O15" s="94"/>
    </row>
    <row r="16" spans="1:15" ht="24" customHeight="1" x14ac:dyDescent="0.2">
      <c r="A16" s="122" t="s">
        <v>37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37"/>
      <c r="M16" s="94"/>
      <c r="N16" s="94"/>
      <c r="O16" s="94"/>
    </row>
    <row r="17" spans="1:15" ht="13.5" x14ac:dyDescent="0.2">
      <c r="A17" s="35">
        <v>1</v>
      </c>
      <c r="B17" s="111" t="s">
        <v>38</v>
      </c>
      <c r="C17" s="112"/>
      <c r="D17" s="42" t="s">
        <v>39</v>
      </c>
      <c r="E17" s="113" t="s">
        <v>40</v>
      </c>
      <c r="F17" s="114"/>
      <c r="G17" s="64"/>
      <c r="H17" s="65"/>
      <c r="I17" s="64"/>
      <c r="J17" s="64"/>
      <c r="K17" s="64"/>
      <c r="L17" s="64"/>
      <c r="M17" s="92"/>
      <c r="N17" s="51"/>
      <c r="O17" s="93"/>
    </row>
    <row r="18" spans="1:15" ht="14.25" customHeight="1" x14ac:dyDescent="0.2">
      <c r="A18" s="34" t="str">
        <f>IF(B18&lt;&gt;0,"k =",IF(C18&lt;&gt;0,"k =",""))</f>
        <v/>
      </c>
      <c r="B18" s="12">
        <v>0</v>
      </c>
      <c r="C18" s="11">
        <v>0</v>
      </c>
      <c r="D18" s="59" t="str">
        <f>IF(AND(0&lt;B18,B18&lt;1,C18=0),"                    Демонтаж с коэффициентом  = "&amp;M18,IF(AND(B18=0,C18&lt;&gt;0),"                       с высотным коэффициентом  = "&amp;M18,IF(AND(0&lt;B18,B18&lt;1,C18&gt;1),"            Демонтаж на высоте с коэф. = "&amp;M18,IF(AND(1&lt;B18,C18=0),"     Монтаж и демонтаж с коэффициентом  = "&amp;M18,IF(AND(B18&gt;1,C18&lt;&gt;0),"    Монтаж и демонтаж на высоте с коэф. = "&amp;M18,"")))))</f>
        <v/>
      </c>
      <c r="E18" s="109">
        <v>1</v>
      </c>
      <c r="F18" s="110"/>
      <c r="G18" s="44">
        <f>SUM(H18+I18+K18)*E18</f>
        <v>229.32999999999998</v>
      </c>
      <c r="H18" s="66">
        <v>18.14</v>
      </c>
      <c r="I18" s="44">
        <v>1.27</v>
      </c>
      <c r="J18" s="44" t="s">
        <v>65</v>
      </c>
      <c r="K18" s="47">
        <v>209.92</v>
      </c>
      <c r="L18" s="44">
        <v>1.56</v>
      </c>
      <c r="M18" s="95">
        <f>IF(B18*C18&lt;&gt;0, B18*C18,IF(B18+C18=0,0,IF(B18=0,C18,IF(C18=0,B18,))))</f>
        <v>0</v>
      </c>
      <c r="N18" s="96">
        <f>B18</f>
        <v>0</v>
      </c>
      <c r="O18" s="97">
        <f>C18</f>
        <v>0</v>
      </c>
    </row>
    <row r="19" spans="1:15" ht="13.5" x14ac:dyDescent="0.2">
      <c r="A19" s="35">
        <v>2</v>
      </c>
      <c r="B19" s="111" t="s">
        <v>41</v>
      </c>
      <c r="C19" s="112"/>
      <c r="D19" s="42" t="s">
        <v>42</v>
      </c>
      <c r="E19" s="113" t="s">
        <v>40</v>
      </c>
      <c r="F19" s="114"/>
      <c r="G19" s="64"/>
      <c r="H19" s="65"/>
      <c r="I19" s="64"/>
      <c r="J19" s="64"/>
      <c r="K19" s="64"/>
      <c r="L19" s="64"/>
      <c r="M19" s="92"/>
      <c r="N19" s="51"/>
      <c r="O19" s="93"/>
    </row>
    <row r="20" spans="1:15" ht="14.25" customHeight="1" x14ac:dyDescent="0.2">
      <c r="A20" s="34" t="str">
        <f>IF(B20&lt;&gt;0,"k =",IF(C20&lt;&gt;0,"k =",""))</f>
        <v/>
      </c>
      <c r="B20" s="12">
        <v>0</v>
      </c>
      <c r="C20" s="11">
        <v>0</v>
      </c>
      <c r="D20" s="59" t="str">
        <f>IF(AND(0&lt;B20,B20&lt;1,C20=0),"                    Демонтаж с коэффициентом  = "&amp;M20,IF(AND(B20=0,C20&lt;&gt;0),"                       с высотным коэффициентом  = "&amp;M20,IF(AND(0&lt;B20,B20&lt;1,C20&gt;1),"            Демонтаж на высоте с коэф. = "&amp;M20,IF(AND(1&lt;B20,C20=0),"     Монтаж и демонтаж с коэффициентом  = "&amp;M20,IF(AND(B20&gt;1,C20&lt;&gt;0),"    Монтаж и демонтаж на высоте с коэф. = "&amp;M20,"")))))</f>
        <v/>
      </c>
      <c r="E20" s="109">
        <v>1</v>
      </c>
      <c r="F20" s="110"/>
      <c r="G20" s="44">
        <f>SUM(H20+I20+K20)*E20</f>
        <v>72.14</v>
      </c>
      <c r="H20" s="66">
        <v>59.04</v>
      </c>
      <c r="I20" s="44">
        <v>0.11</v>
      </c>
      <c r="J20" s="44" t="s">
        <v>65</v>
      </c>
      <c r="K20" s="47">
        <v>12.99</v>
      </c>
      <c r="L20" s="44">
        <v>4.8</v>
      </c>
      <c r="M20" s="95">
        <f>IF(B20*C20&lt;&gt;0, B20*C20,IF(B20+C20=0,0,IF(B20=0,C20,IF(C20=0,B20,))))</f>
        <v>0</v>
      </c>
      <c r="N20" s="96">
        <f>B20</f>
        <v>0</v>
      </c>
      <c r="O20" s="97">
        <f>C20</f>
        <v>0</v>
      </c>
    </row>
    <row r="21" spans="1:15" ht="24" x14ac:dyDescent="0.2">
      <c r="A21" s="35">
        <v>3</v>
      </c>
      <c r="B21" s="111" t="s">
        <v>43</v>
      </c>
      <c r="C21" s="112"/>
      <c r="D21" s="42" t="s">
        <v>44</v>
      </c>
      <c r="E21" s="113" t="s">
        <v>40</v>
      </c>
      <c r="F21" s="114"/>
      <c r="G21" s="64"/>
      <c r="H21" s="65"/>
      <c r="I21" s="64"/>
      <c r="J21" s="64"/>
      <c r="K21" s="64"/>
      <c r="L21" s="64"/>
      <c r="M21" s="92"/>
      <c r="N21" s="51"/>
      <c r="O21" s="93"/>
    </row>
    <row r="22" spans="1:15" ht="14.25" customHeight="1" x14ac:dyDescent="0.2">
      <c r="A22" s="34" t="str">
        <f>IF(B22&lt;&gt;0,"k =",IF(C22&lt;&gt;0,"k =",""))</f>
        <v/>
      </c>
      <c r="B22" s="12">
        <v>0</v>
      </c>
      <c r="C22" s="11">
        <v>0</v>
      </c>
      <c r="D22" s="59" t="str">
        <f>IF(AND(0&lt;B22,B22&lt;1,C22=0),"                    Демонтаж с коэффициентом  = "&amp;M22,IF(AND(B22=0,C22&lt;&gt;0),"                       с высотным коэффициентом  = "&amp;M22,IF(AND(0&lt;B22,B22&lt;1,C22&gt;1),"            Демонтаж на высоте с коэф. = "&amp;M22,IF(AND(1&lt;B22,C22=0),"     Монтаж и демонтаж с коэффициентом  = "&amp;M22,IF(AND(B22&gt;1,C22&lt;&gt;0),"    Монтаж и демонтаж на высоте с коэф. = "&amp;M22,"")))))</f>
        <v/>
      </c>
      <c r="E22" s="109">
        <v>1</v>
      </c>
      <c r="F22" s="110"/>
      <c r="G22" s="44">
        <f>SUM(H22+I22+K22)*E22</f>
        <v>239.8</v>
      </c>
      <c r="H22" s="66">
        <v>136.86000000000001</v>
      </c>
      <c r="I22" s="44">
        <v>29.47</v>
      </c>
      <c r="J22" s="44">
        <v>5.65</v>
      </c>
      <c r="K22" s="47">
        <v>73.47</v>
      </c>
      <c r="L22" s="44">
        <v>10.1</v>
      </c>
      <c r="M22" s="95">
        <f>IF(B22*C22&lt;&gt;0, B22*C22,IF(B22+C22=0,0,IF(B22=0,C22,IF(C22=0,B22,))))</f>
        <v>0</v>
      </c>
      <c r="N22" s="96">
        <f>B22</f>
        <v>0</v>
      </c>
      <c r="O22" s="97">
        <f>C22</f>
        <v>0</v>
      </c>
    </row>
    <row r="23" spans="1:15" ht="24" x14ac:dyDescent="0.2">
      <c r="A23" s="35">
        <v>4</v>
      </c>
      <c r="B23" s="111" t="s">
        <v>45</v>
      </c>
      <c r="C23" s="112"/>
      <c r="D23" s="42" t="s">
        <v>46</v>
      </c>
      <c r="E23" s="113" t="s">
        <v>47</v>
      </c>
      <c r="F23" s="114"/>
      <c r="G23" s="64"/>
      <c r="H23" s="65"/>
      <c r="I23" s="64"/>
      <c r="J23" s="64"/>
      <c r="K23" s="64"/>
      <c r="L23" s="64"/>
      <c r="M23" s="92"/>
      <c r="N23" s="51"/>
      <c r="O23" s="93"/>
    </row>
    <row r="24" spans="1:15" ht="14.25" customHeight="1" x14ac:dyDescent="0.2">
      <c r="A24" s="34" t="str">
        <f>IF(B24&lt;&gt;0,"k =",IF(C24&lt;&gt;0,"k =",""))</f>
        <v/>
      </c>
      <c r="B24" s="12">
        <v>0</v>
      </c>
      <c r="C24" s="11">
        <v>0</v>
      </c>
      <c r="D24" s="59" t="str">
        <f>IF(AND(0&lt;B24,B24&lt;1,C24=0),"                    Демонтаж с коэффициентом  = "&amp;M24,IF(AND(B24=0,C24&lt;&gt;0),"                       с высотным коэффициентом  = "&amp;M24,IF(AND(0&lt;B24,B24&lt;1,C24&gt;1),"            Демонтаж на высоте с коэф. = "&amp;M24,IF(AND(1&lt;B24,C24=0),"     Монтаж и демонтаж с коэффициентом  = "&amp;M24,IF(AND(B24&gt;1,C24&lt;&gt;0),"    Монтаж и демонтаж на высоте с коэф. = "&amp;M24,"")))))</f>
        <v/>
      </c>
      <c r="E24" s="109">
        <v>9</v>
      </c>
      <c r="F24" s="110"/>
      <c r="G24" s="44">
        <f>SUM(H24+I24+K24)*E24</f>
        <v>871.11</v>
      </c>
      <c r="H24" s="66">
        <v>76.2</v>
      </c>
      <c r="I24" s="44">
        <v>0.25</v>
      </c>
      <c r="J24" s="44" t="s">
        <v>65</v>
      </c>
      <c r="K24" s="47">
        <v>20.34</v>
      </c>
      <c r="L24" s="44">
        <v>6.48</v>
      </c>
      <c r="M24" s="95">
        <f>IF(B24*C24&lt;&gt;0, B24*C24,IF(B24+C24=0,0,IF(B24=0,C24,IF(C24=0,B24,))))</f>
        <v>0</v>
      </c>
      <c r="N24" s="96">
        <f>B24</f>
        <v>0</v>
      </c>
      <c r="O24" s="97">
        <f>C24</f>
        <v>0</v>
      </c>
    </row>
    <row r="25" spans="1:15" ht="13.5" x14ac:dyDescent="0.2">
      <c r="A25" s="35">
        <v>5</v>
      </c>
      <c r="B25" s="111" t="s">
        <v>48</v>
      </c>
      <c r="C25" s="112"/>
      <c r="D25" s="42" t="s">
        <v>49</v>
      </c>
      <c r="E25" s="113" t="s">
        <v>40</v>
      </c>
      <c r="F25" s="114"/>
      <c r="G25" s="64"/>
      <c r="H25" s="65"/>
      <c r="I25" s="64"/>
      <c r="J25" s="64"/>
      <c r="K25" s="64"/>
      <c r="L25" s="64"/>
      <c r="M25" s="92"/>
      <c r="N25" s="51"/>
      <c r="O25" s="93"/>
    </row>
    <row r="26" spans="1:15" ht="14.25" customHeight="1" x14ac:dyDescent="0.2">
      <c r="A26" s="34" t="str">
        <f>IF(B26&lt;&gt;0,"k =",IF(C26&lt;&gt;0,"k =",""))</f>
        <v/>
      </c>
      <c r="B26" s="12">
        <v>0</v>
      </c>
      <c r="C26" s="11">
        <v>0</v>
      </c>
      <c r="D26" s="59" t="str">
        <f>IF(AND(0&lt;B26,B26&lt;1,C26=0),"                    Демонтаж с коэффициентом  = "&amp;M26,IF(AND(B26=0,C26&lt;&gt;0),"                       с высотным коэффициентом  = "&amp;M26,IF(AND(0&lt;B26,B26&lt;1,C26&gt;1),"            Демонтаж на высоте с коэф. = "&amp;M26,IF(AND(1&lt;B26,C26=0),"     Монтаж и демонтаж с коэффициентом  = "&amp;M26,IF(AND(B26&gt;1,C26&lt;&gt;0),"    Монтаж и демонтаж на высоте с коэф. = "&amp;M26,"")))))</f>
        <v/>
      </c>
      <c r="E26" s="109">
        <v>12</v>
      </c>
      <c r="F26" s="110"/>
      <c r="G26" s="44">
        <f>SUM(H26+I26+K26)*E26</f>
        <v>84.839999999999989</v>
      </c>
      <c r="H26" s="66">
        <v>4.12</v>
      </c>
      <c r="I26" s="44">
        <v>1.1499999999999999</v>
      </c>
      <c r="J26" s="44" t="s">
        <v>65</v>
      </c>
      <c r="K26" s="47">
        <v>1.8</v>
      </c>
      <c r="L26" s="44">
        <v>0.35</v>
      </c>
      <c r="M26" s="95">
        <f>IF(B26*C26&lt;&gt;0, B26*C26,IF(B26+C26=0,0,IF(B26=0,C26,IF(C26=0,B26,))))</f>
        <v>0</v>
      </c>
      <c r="N26" s="96">
        <f>B26</f>
        <v>0</v>
      </c>
      <c r="O26" s="97">
        <f>C26</f>
        <v>0</v>
      </c>
    </row>
    <row r="27" spans="1:15" ht="13.5" x14ac:dyDescent="0.2">
      <c r="A27" s="35">
        <v>6</v>
      </c>
      <c r="B27" s="111" t="s">
        <v>50</v>
      </c>
      <c r="C27" s="112"/>
      <c r="D27" s="42" t="s">
        <v>51</v>
      </c>
      <c r="E27" s="113" t="s">
        <v>40</v>
      </c>
      <c r="F27" s="114"/>
      <c r="G27" s="64"/>
      <c r="H27" s="65"/>
      <c r="I27" s="64"/>
      <c r="J27" s="64"/>
      <c r="K27" s="64"/>
      <c r="L27" s="64"/>
      <c r="M27" s="92"/>
      <c r="N27" s="51"/>
      <c r="O27" s="93"/>
    </row>
    <row r="28" spans="1:15" ht="14.25" customHeight="1" x14ac:dyDescent="0.2">
      <c r="A28" s="34" t="str">
        <f>IF(B28&lt;&gt;0,"k =",IF(C28&lt;&gt;0,"k =",""))</f>
        <v/>
      </c>
      <c r="B28" s="12">
        <v>0</v>
      </c>
      <c r="C28" s="11">
        <v>0</v>
      </c>
      <c r="D28" s="59" t="str">
        <f>IF(AND(0&lt;B28,B28&lt;1,C28=0),"                    Демонтаж с коэффициентом  = "&amp;M28,IF(AND(B28=0,C28&lt;&gt;0),"                       с высотным коэффициентом  = "&amp;M28,IF(AND(0&lt;B28,B28&lt;1,C28&gt;1),"            Демонтаж на высоте с коэф. = "&amp;M28,IF(AND(1&lt;B28,C28=0),"     Монтаж и демонтаж с коэффициентом  = "&amp;M28,IF(AND(B28&gt;1,C28&lt;&gt;0),"    Монтаж и демонтаж на высоте с коэф. = "&amp;M28,"")))))</f>
        <v/>
      </c>
      <c r="E28" s="109">
        <v>4</v>
      </c>
      <c r="F28" s="110"/>
      <c r="G28" s="44">
        <f>SUM(H28+I28+K28)*E28</f>
        <v>420.76</v>
      </c>
      <c r="H28" s="66">
        <v>94.56</v>
      </c>
      <c r="I28" s="44">
        <v>0.09</v>
      </c>
      <c r="J28" s="44" t="s">
        <v>65</v>
      </c>
      <c r="K28" s="47">
        <v>10.54</v>
      </c>
      <c r="L28" s="44">
        <v>7.92</v>
      </c>
      <c r="M28" s="95">
        <f>IF(B28*C28&lt;&gt;0, B28*C28,IF(B28+C28=0,0,IF(B28=0,C28,IF(C28=0,B28,))))</f>
        <v>0</v>
      </c>
      <c r="N28" s="96">
        <f>B28</f>
        <v>0</v>
      </c>
      <c r="O28" s="97">
        <f>C28</f>
        <v>0</v>
      </c>
    </row>
    <row r="29" spans="1:15" ht="24" x14ac:dyDescent="0.2">
      <c r="A29" s="35">
        <v>7</v>
      </c>
      <c r="B29" s="111" t="s">
        <v>52</v>
      </c>
      <c r="C29" s="112"/>
      <c r="D29" s="42" t="s">
        <v>53</v>
      </c>
      <c r="E29" s="113" t="s">
        <v>54</v>
      </c>
      <c r="F29" s="114"/>
      <c r="G29" s="64"/>
      <c r="H29" s="65"/>
      <c r="I29" s="64"/>
      <c r="J29" s="64"/>
      <c r="K29" s="64"/>
      <c r="L29" s="64"/>
      <c r="M29" s="92"/>
      <c r="N29" s="51"/>
      <c r="O29" s="93"/>
    </row>
    <row r="30" spans="1:15" ht="14.25" customHeight="1" x14ac:dyDescent="0.2">
      <c r="A30" s="34" t="str">
        <f>IF(B30&lt;&gt;0,"k =",IF(C30&lt;&gt;0,"k =",""))</f>
        <v/>
      </c>
      <c r="B30" s="12">
        <v>0</v>
      </c>
      <c r="C30" s="11">
        <v>0</v>
      </c>
      <c r="D30" s="59" t="str">
        <f>IF(AND(0&lt;B30,B30&lt;1,C30=0),"                    Демонтаж с коэффициентом  = "&amp;M30,IF(AND(B30=0,C30&lt;&gt;0),"                       с высотным коэффициентом  = "&amp;M30,IF(AND(0&lt;B30,B30&lt;1,C30&gt;1),"            Демонтаж на высоте с коэф. = "&amp;M30,IF(AND(1&lt;B30,C30=0),"     Монтаж и демонтаж с коэффициентом  = "&amp;M30,IF(AND(B30&gt;1,C30&lt;&gt;0),"    Монтаж и демонтаж на высоте с коэф. = "&amp;M30,"")))))</f>
        <v/>
      </c>
      <c r="E30" s="109">
        <v>15</v>
      </c>
      <c r="F30" s="110"/>
      <c r="G30" s="44">
        <f>SUM(H30+I30+K30)*E30</f>
        <v>24351.149999999998</v>
      </c>
      <c r="H30" s="66">
        <v>399.84</v>
      </c>
      <c r="I30" s="44">
        <v>7</v>
      </c>
      <c r="J30" s="44" t="s">
        <v>65</v>
      </c>
      <c r="K30" s="47">
        <v>1216.57</v>
      </c>
      <c r="L30" s="44">
        <v>34</v>
      </c>
      <c r="M30" s="95">
        <f>IF(B30*C30&lt;&gt;0, B30*C30,IF(B30+C30=0,0,IF(B30=0,C30,IF(C30=0,B30,))))</f>
        <v>0</v>
      </c>
      <c r="N30" s="96">
        <f>B30</f>
        <v>0</v>
      </c>
      <c r="O30" s="97">
        <f>C30</f>
        <v>0</v>
      </c>
    </row>
    <row r="31" spans="1:15" ht="13.5" x14ac:dyDescent="0.2">
      <c r="A31" s="35">
        <v>8</v>
      </c>
      <c r="B31" s="111" t="s">
        <v>55</v>
      </c>
      <c r="C31" s="112"/>
      <c r="D31" s="42" t="s">
        <v>56</v>
      </c>
      <c r="E31" s="113" t="s">
        <v>54</v>
      </c>
      <c r="F31" s="114"/>
      <c r="G31" s="64"/>
      <c r="H31" s="65"/>
      <c r="I31" s="64"/>
      <c r="J31" s="64"/>
      <c r="K31" s="64"/>
      <c r="L31" s="64"/>
      <c r="M31" s="92"/>
      <c r="N31" s="51"/>
      <c r="O31" s="93"/>
    </row>
    <row r="32" spans="1:15" ht="14.25" customHeight="1" x14ac:dyDescent="0.2">
      <c r="A32" s="34" t="str">
        <f>IF(B32&lt;&gt;0,"k =",IF(C32&lt;&gt;0,"k =",""))</f>
        <v/>
      </c>
      <c r="B32" s="12">
        <v>0</v>
      </c>
      <c r="C32" s="11">
        <v>0</v>
      </c>
      <c r="D32" s="59" t="str">
        <f>IF(AND(0&lt;B32,B32&lt;1,C32=0),"                    Демонтаж с коэффициентом  = "&amp;M32,IF(AND(B32=0,C32&lt;&gt;0),"                       с высотным коэффициентом  = "&amp;M32,IF(AND(0&lt;B32,B32&lt;1,C32&gt;1),"            Демонтаж на высоте с коэф. = "&amp;M32,IF(AND(1&lt;B32,C32=0),"     Монтаж и демонтаж с коэффициентом  = "&amp;M32,IF(AND(B32&gt;1,C32&lt;&gt;0),"    Монтаж и демонтаж на высоте с коэф. = "&amp;M32,"")))))</f>
        <v/>
      </c>
      <c r="E32" s="109">
        <v>7.5</v>
      </c>
      <c r="F32" s="110"/>
      <c r="G32" s="44">
        <f>SUM(H32+I32+K32)*E32</f>
        <v>18132.974999999999</v>
      </c>
      <c r="H32" s="66">
        <v>399.05</v>
      </c>
      <c r="I32" s="44">
        <v>229.46</v>
      </c>
      <c r="J32" s="44">
        <v>3.48</v>
      </c>
      <c r="K32" s="47">
        <v>1789.22</v>
      </c>
      <c r="L32" s="44">
        <v>34.700000000000003</v>
      </c>
      <c r="M32" s="95">
        <f>IF(B32*C32&lt;&gt;0, B32*C32,IF(B32+C32=0,0,IF(B32=0,C32,IF(C32=0,B32,))))</f>
        <v>0</v>
      </c>
      <c r="N32" s="96">
        <f>B32</f>
        <v>0</v>
      </c>
      <c r="O32" s="97">
        <f>C32</f>
        <v>0</v>
      </c>
    </row>
    <row r="33" spans="1:15" ht="13.5" x14ac:dyDescent="0.2">
      <c r="A33" s="35">
        <v>9</v>
      </c>
      <c r="B33" s="111" t="s">
        <v>57</v>
      </c>
      <c r="C33" s="112"/>
      <c r="D33" s="42" t="s">
        <v>58</v>
      </c>
      <c r="E33" s="113" t="s">
        <v>54</v>
      </c>
      <c r="F33" s="114"/>
      <c r="G33" s="64"/>
      <c r="H33" s="65"/>
      <c r="I33" s="64"/>
      <c r="J33" s="64"/>
      <c r="K33" s="64"/>
      <c r="L33" s="64"/>
      <c r="M33" s="92"/>
      <c r="N33" s="51"/>
      <c r="O33" s="93"/>
    </row>
    <row r="34" spans="1:15" ht="14.25" customHeight="1" x14ac:dyDescent="0.2">
      <c r="A34" s="34" t="str">
        <f>IF(B34&lt;&gt;0,"k =",IF(C34&lt;&gt;0,"k =",""))</f>
        <v/>
      </c>
      <c r="B34" s="12">
        <v>0</v>
      </c>
      <c r="C34" s="11">
        <v>0</v>
      </c>
      <c r="D34" s="59" t="str">
        <f>IF(AND(0&lt;B34,B34&lt;1,C34=0),"                    Демонтаж с коэффициентом  = "&amp;M34,IF(AND(B34=0,C34&lt;&gt;0),"                       с высотным коэффициентом  = "&amp;M34,IF(AND(0&lt;B34,B34&lt;1,C34&gt;1),"            Демонтаж на высоте с коэф. = "&amp;M34,IF(AND(1&lt;B34,C34=0),"     Монтаж и демонтаж с коэффициентом  = "&amp;M34,IF(AND(B34&gt;1,C34&lt;&gt;0),"    Монтаж и демонтаж на высоте с коэф. = "&amp;M34,"")))))</f>
        <v/>
      </c>
      <c r="E34" s="109">
        <v>7.5</v>
      </c>
      <c r="F34" s="110"/>
      <c r="G34" s="44">
        <f>SUM(H34+I34+K34)*E34</f>
        <v>2718.2249999999995</v>
      </c>
      <c r="H34" s="66">
        <v>64.52</v>
      </c>
      <c r="I34" s="44">
        <v>2.39</v>
      </c>
      <c r="J34" s="44">
        <v>0.16</v>
      </c>
      <c r="K34" s="47">
        <v>295.52</v>
      </c>
      <c r="L34" s="44">
        <v>5.61</v>
      </c>
      <c r="M34" s="95">
        <f>IF(B34*C34&lt;&gt;0, B34*C34,IF(B34+C34=0,0,IF(B34=0,C34,IF(C34=0,B34,))))</f>
        <v>0</v>
      </c>
      <c r="N34" s="96">
        <f>B34</f>
        <v>0</v>
      </c>
      <c r="O34" s="97">
        <f>C34</f>
        <v>0</v>
      </c>
    </row>
    <row r="35" spans="1:15" ht="24" x14ac:dyDescent="0.2">
      <c r="A35" s="35">
        <v>10</v>
      </c>
      <c r="B35" s="111" t="s">
        <v>59</v>
      </c>
      <c r="C35" s="112"/>
      <c r="D35" s="42" t="s">
        <v>60</v>
      </c>
      <c r="E35" s="113" t="s">
        <v>54</v>
      </c>
      <c r="F35" s="114"/>
      <c r="G35" s="64"/>
      <c r="H35" s="65"/>
      <c r="I35" s="64"/>
      <c r="J35" s="64"/>
      <c r="K35" s="64"/>
      <c r="L35" s="64"/>
      <c r="M35" s="92"/>
      <c r="N35" s="51"/>
      <c r="O35" s="93"/>
    </row>
    <row r="36" spans="1:15" ht="14.25" customHeight="1" x14ac:dyDescent="0.2">
      <c r="A36" s="34" t="str">
        <f>IF(B36&lt;&gt;0,"k =",IF(C36&lt;&gt;0,"k =",""))</f>
        <v/>
      </c>
      <c r="B36" s="12">
        <v>0</v>
      </c>
      <c r="C36" s="11">
        <v>0</v>
      </c>
      <c r="D36" s="59" t="str">
        <f>IF(AND(0&lt;B36,B36&lt;1,C36=0),"                    Демонтаж с коэффициентом  = "&amp;M36,IF(AND(B36=0,C36&lt;&gt;0),"                       с высотным коэффициентом  = "&amp;M36,IF(AND(0&lt;B36,B36&lt;1,C36&gt;1),"            Демонтаж на высоте с коэф. = "&amp;M36,IF(AND(1&lt;B36,C36=0),"     Монтаж и демонтаж с коэффициентом  = "&amp;M36,IF(AND(B36&gt;1,C36&lt;&gt;0),"    Монтаж и демонтаж на высоте с коэф. = "&amp;M36,"")))))</f>
        <v/>
      </c>
      <c r="E36" s="109">
        <v>2.2000000000000002</v>
      </c>
      <c r="F36" s="110"/>
      <c r="G36" s="44">
        <f>SUM(H36+I36+K36)*E36</f>
        <v>704.08800000000008</v>
      </c>
      <c r="H36" s="66">
        <v>26.34</v>
      </c>
      <c r="I36" s="44">
        <v>2.39</v>
      </c>
      <c r="J36" s="44">
        <v>0.16</v>
      </c>
      <c r="K36" s="47">
        <v>291.31</v>
      </c>
      <c r="L36" s="44">
        <v>2.29</v>
      </c>
      <c r="M36" s="95">
        <f>IF(B36*C36&lt;&gt;0, B36*C36,IF(B36+C36=0,0,IF(B36=0,C36,IF(C36=0,B36,))))</f>
        <v>0</v>
      </c>
      <c r="N36" s="96">
        <f>B36</f>
        <v>0</v>
      </c>
      <c r="O36" s="97">
        <f>C36</f>
        <v>0</v>
      </c>
    </row>
    <row r="37" spans="1:15" ht="14.45" customHeight="1" x14ac:dyDescent="0.2">
      <c r="A37" s="147" t="s">
        <v>25</v>
      </c>
      <c r="B37" s="148"/>
      <c r="C37" s="148"/>
      <c r="D37" s="148"/>
      <c r="E37" s="148"/>
      <c r="F37" s="149"/>
      <c r="G37" s="45">
        <f>SUM(G18:G36)</f>
        <v>47824.417999999998</v>
      </c>
      <c r="H37" s="45">
        <f t="shared" ref="H37:L37" si="0">SUM(H18:H36)</f>
        <v>1278.6699999999998</v>
      </c>
      <c r="I37" s="45">
        <f t="shared" si="0"/>
        <v>273.58</v>
      </c>
      <c r="J37" s="45">
        <f t="shared" si="0"/>
        <v>9.4500000000000011</v>
      </c>
      <c r="K37" s="45">
        <f t="shared" si="0"/>
        <v>3921.68</v>
      </c>
      <c r="L37" s="45">
        <f t="shared" si="0"/>
        <v>107.81000000000002</v>
      </c>
      <c r="M37" s="92"/>
      <c r="N37" s="51"/>
      <c r="O37" s="93"/>
    </row>
    <row r="38" spans="1:15" ht="14.45" customHeight="1" x14ac:dyDescent="0.2">
      <c r="A38" s="150" t="s">
        <v>24</v>
      </c>
      <c r="B38" s="151"/>
      <c r="C38" s="151"/>
      <c r="D38" s="151"/>
      <c r="E38" s="151"/>
      <c r="F38" s="83">
        <v>1.03</v>
      </c>
      <c r="G38" s="55"/>
      <c r="H38" s="55">
        <f>H37*1.03</f>
        <v>1317.0300999999999</v>
      </c>
      <c r="I38" s="55"/>
      <c r="J38" s="55">
        <f>J37*1.03</f>
        <v>9.7335000000000012</v>
      </c>
      <c r="K38" s="55"/>
      <c r="L38" s="55"/>
      <c r="M38" s="92"/>
      <c r="N38" s="51"/>
      <c r="O38" s="93"/>
    </row>
    <row r="39" spans="1:15" ht="14.45" customHeight="1" x14ac:dyDescent="0.2">
      <c r="A39" s="138" t="s">
        <v>17</v>
      </c>
      <c r="B39" s="152"/>
      <c r="C39" s="152"/>
      <c r="D39" s="152"/>
      <c r="E39" s="152"/>
      <c r="F39" s="43">
        <v>1.1499999999999999</v>
      </c>
      <c r="G39" s="33"/>
      <c r="H39" s="48">
        <f>H37*1.15</f>
        <v>1470.4704999999997</v>
      </c>
      <c r="I39" s="56"/>
      <c r="J39" s="48">
        <f>J37*1.15</f>
        <v>10.8675</v>
      </c>
      <c r="K39" s="46"/>
      <c r="L39" s="46"/>
      <c r="M39" s="92"/>
      <c r="N39" s="51"/>
      <c r="O39" s="93"/>
    </row>
    <row r="40" spans="1:15" ht="14.45" customHeight="1" x14ac:dyDescent="0.2">
      <c r="A40" s="138" t="s">
        <v>16</v>
      </c>
      <c r="B40" s="152"/>
      <c r="C40" s="152"/>
      <c r="D40" s="152"/>
      <c r="E40" s="152"/>
      <c r="F40" s="43">
        <v>1.25</v>
      </c>
      <c r="G40" s="33"/>
      <c r="H40" s="48">
        <f>H37*1.25</f>
        <v>1598.3374999999999</v>
      </c>
      <c r="I40" s="56"/>
      <c r="J40" s="48">
        <f>J37*1.25</f>
        <v>11.812500000000002</v>
      </c>
      <c r="K40" s="56"/>
      <c r="L40" s="46"/>
      <c r="M40" s="92"/>
      <c r="N40" s="51"/>
      <c r="O40" s="93"/>
    </row>
    <row r="41" spans="1:15" ht="14.45" customHeight="1" x14ac:dyDescent="0.2">
      <c r="A41" s="62">
        <f>1+F41</f>
        <v>1.0308999999999999</v>
      </c>
      <c r="B41" s="152" t="str">
        <f>"С учетом зимних условий работ = "&amp;G40&amp;" +"</f>
        <v>С учетом зимних условий работ =  +</v>
      </c>
      <c r="C41" s="152"/>
      <c r="D41" s="152"/>
      <c r="E41" s="152"/>
      <c r="F41" s="98">
        <v>3.09E-2</v>
      </c>
      <c r="G41" s="33"/>
      <c r="H41" s="48"/>
      <c r="I41" s="46"/>
      <c r="J41" s="46"/>
      <c r="K41" s="46"/>
      <c r="L41" s="46"/>
      <c r="M41" s="92"/>
      <c r="N41" s="51"/>
      <c r="O41" s="93"/>
    </row>
    <row r="42" spans="1:15" ht="14.25" customHeight="1" x14ac:dyDescent="0.2">
      <c r="A42" s="159" t="str">
        <f>"Пересчет в текущие цены на "&amp;E43&amp;" (ОЗП*"&amp;H43&amp;"; ЗПМ*"&amp;J43&amp;"; ЭМ*"&amp;I43&amp;"; МАТ*"&amp;K43&amp;")"</f>
        <v>Пересчет в текущие цены на 3кв. 2013г. (ОЗП*6.63; ЗПМ*6.63; ЭМ*6.63; МАТ*6.63)</v>
      </c>
      <c r="B42" s="160"/>
      <c r="C42" s="160"/>
      <c r="D42" s="160"/>
      <c r="E42" s="160"/>
      <c r="F42" s="161"/>
      <c r="G42" s="44">
        <f>SUM(H42+I42+K42)</f>
        <v>36292.155899999998</v>
      </c>
      <c r="H42" s="56">
        <f>H37*6.63</f>
        <v>8477.5820999999996</v>
      </c>
      <c r="I42" s="56">
        <f>I37*6.63</f>
        <v>1813.8353999999999</v>
      </c>
      <c r="J42" s="56">
        <f>J37*6.63</f>
        <v>62.653500000000008</v>
      </c>
      <c r="K42" s="56">
        <f>K37*6.63</f>
        <v>26000.738399999998</v>
      </c>
      <c r="L42" s="56">
        <f>L37*6.63</f>
        <v>714.78030000000012</v>
      </c>
      <c r="M42" s="92"/>
      <c r="N42" s="51"/>
      <c r="O42" s="93"/>
    </row>
    <row r="43" spans="1:15" ht="16.5" hidden="1" customHeight="1" x14ac:dyDescent="0.2">
      <c r="A43" s="155" t="s">
        <v>19</v>
      </c>
      <c r="B43" s="156"/>
      <c r="C43" s="156"/>
      <c r="D43" s="156"/>
      <c r="E43" s="157" t="str">
        <f>TRUNC((RIGHT(LEFT("01.07.2013",5),2)-1)/3,0)+1&amp;"кв. "&amp;RIGHT("01.07.2013",4)&amp;"г."</f>
        <v>3кв. 2013г.</v>
      </c>
      <c r="F43" s="157"/>
      <c r="G43" s="81" t="s">
        <v>9</v>
      </c>
      <c r="H43" s="102">
        <v>6.63</v>
      </c>
      <c r="I43" s="102">
        <v>6.63</v>
      </c>
      <c r="J43" s="102">
        <v>6.63</v>
      </c>
      <c r="K43" s="102">
        <v>6.63</v>
      </c>
      <c r="L43" s="82"/>
      <c r="M43" s="92"/>
      <c r="N43" s="51"/>
      <c r="O43" s="93"/>
    </row>
    <row r="44" spans="1:15" s="51" customFormat="1" ht="14.45" customHeight="1" x14ac:dyDescent="0.2">
      <c r="A44" s="138" t="s">
        <v>28</v>
      </c>
      <c r="B44" s="152"/>
      <c r="C44" s="152"/>
      <c r="D44" s="152"/>
      <c r="E44" s="152"/>
      <c r="F44" s="158"/>
      <c r="G44" s="56">
        <f>ROUND(H42+J42,2)</f>
        <v>8540.24</v>
      </c>
      <c r="H44" s="76"/>
      <c r="I44" s="76"/>
      <c r="J44" s="76"/>
      <c r="K44" s="76"/>
      <c r="L44" s="71"/>
      <c r="M44" s="92"/>
      <c r="O44" s="93"/>
    </row>
    <row r="45" spans="1:15" ht="14.45" customHeight="1" x14ac:dyDescent="0.2">
      <c r="A45" s="138" t="str">
        <f>IF(G45=0,"Накладные расходы (НР)  = ",IF(I45=0%,"Накладные расходы (НР)  = ФОТ х ("&amp;ROUND(H45*100,3)&amp;"% х 0,7) = "&amp;G44&amp;" х","Накладные расходы (НР)  = ФОТ х ("&amp;ROUND(H45*100,3)&amp;"% х 0,94) = "&amp;G44&amp;" х"))</f>
        <v>Накладные расходы (НР)  = ФОТ х (91.489% х 0,94) = 8540.24 х</v>
      </c>
      <c r="B45" s="152"/>
      <c r="C45" s="152"/>
      <c r="D45" s="152"/>
      <c r="E45" s="152"/>
      <c r="F45" s="99">
        <v>0.86</v>
      </c>
      <c r="G45" s="79">
        <f>ROUND(F45*G44,2)</f>
        <v>7344.61</v>
      </c>
      <c r="H45" s="101">
        <f>IF(I45=0%,F45/0.7,F45/0.94)</f>
        <v>0.91489361702127658</v>
      </c>
      <c r="I45" s="108">
        <v>0.18</v>
      </c>
      <c r="J45" s="18"/>
      <c r="K45" s="18"/>
      <c r="L45" s="72" t="s">
        <v>18</v>
      </c>
      <c r="M45" s="92"/>
      <c r="N45" s="51"/>
      <c r="O45" s="93"/>
    </row>
    <row r="46" spans="1:15" ht="14.45" customHeight="1" x14ac:dyDescent="0.2">
      <c r="A46" s="138" t="str">
        <f>IF(G46=0,"Сметная прибыль (СП)  = ",IF(I45=0%,"Сметная прибыль (СП)  = ФОТ х ("&amp;ROUND(H46*100,3)&amp;"% х 0,9) = "&amp;G44&amp;" х","Сметная прибыль (СП) на ФОТ = "&amp;G44&amp;" х"))</f>
        <v>Сметная прибыль (СП) на ФОТ = 8540.24 х</v>
      </c>
      <c r="B46" s="139"/>
      <c r="C46" s="139"/>
      <c r="D46" s="139"/>
      <c r="E46" s="139"/>
      <c r="F46" s="99">
        <v>0.5</v>
      </c>
      <c r="G46" s="79">
        <f>ROUND(G44*F46,2)</f>
        <v>4270.12</v>
      </c>
      <c r="H46" s="100">
        <f>IF(I45=0%,F46/0.9,0)</f>
        <v>0</v>
      </c>
      <c r="I46" s="69"/>
      <c r="J46" s="70"/>
      <c r="K46" s="70"/>
      <c r="L46" s="73"/>
      <c r="M46" s="61"/>
      <c r="N46" s="6"/>
      <c r="O46" s="60"/>
    </row>
    <row r="47" spans="1:15" ht="18.75" customHeight="1" thickBot="1" x14ac:dyDescent="0.25">
      <c r="A47" s="153" t="str">
        <f>"Итого по разделу = ПЗ + НР+ СП = "&amp;G42&amp;" + "&amp;G45&amp;" + "&amp;G46&amp;" = "</f>
        <v xml:space="preserve">Итого по разделу = ПЗ + НР+ СП = 36292.1559 + 7344.61 + 4270.12 = </v>
      </c>
      <c r="B47" s="153"/>
      <c r="C47" s="153"/>
      <c r="D47" s="153"/>
      <c r="E47" s="153"/>
      <c r="F47" s="154"/>
      <c r="G47" s="78">
        <f>G42+G45+G46</f>
        <v>47906.885900000001</v>
      </c>
      <c r="H47" s="50"/>
      <c r="I47" s="140"/>
      <c r="J47" s="141"/>
      <c r="K47" s="141"/>
      <c r="L47" s="53"/>
      <c r="M47" s="92"/>
      <c r="N47" s="51"/>
      <c r="O47" s="93"/>
    </row>
    <row r="48" spans="1:15" ht="8.25" customHeight="1" thickBot="1" x14ac:dyDescent="0.25">
      <c r="A48" s="52"/>
      <c r="B48" s="52"/>
      <c r="C48" s="52"/>
      <c r="D48" s="52"/>
      <c r="E48" s="53"/>
      <c r="F48" s="53"/>
      <c r="G48" s="53"/>
      <c r="H48" s="54"/>
      <c r="I48" s="54"/>
      <c r="J48" s="53"/>
      <c r="K48" s="53"/>
      <c r="L48" s="53"/>
      <c r="M48" s="92"/>
      <c r="N48" s="51"/>
      <c r="O48" s="93"/>
    </row>
    <row r="49" spans="1:15" ht="20.25" customHeight="1" thickTop="1" thickBot="1" x14ac:dyDescent="0.25">
      <c r="A49" s="142"/>
      <c r="B49" s="142"/>
      <c r="C49" s="142"/>
      <c r="D49" s="29" t="s">
        <v>8</v>
      </c>
      <c r="E49" s="143" t="s">
        <v>20</v>
      </c>
      <c r="F49" s="144"/>
      <c r="G49" s="106" t="s">
        <v>7</v>
      </c>
      <c r="H49" s="19" t="s">
        <v>5</v>
      </c>
      <c r="I49" s="16" t="s">
        <v>6</v>
      </c>
      <c r="J49" s="49" t="s">
        <v>0</v>
      </c>
      <c r="K49" s="57" t="s">
        <v>10</v>
      </c>
      <c r="L49" s="58" t="s">
        <v>13</v>
      </c>
      <c r="M49" s="92"/>
      <c r="N49" s="51"/>
      <c r="O49" s="93"/>
    </row>
    <row r="50" spans="1:15" ht="21.75" customHeight="1" thickTop="1" x14ac:dyDescent="0.2">
      <c r="A50" s="13"/>
      <c r="B50" s="10"/>
      <c r="C50" s="10"/>
      <c r="D50" s="20"/>
      <c r="E50" s="145">
        <f>ROUND(G47+0,2)</f>
        <v>47906.89</v>
      </c>
      <c r="F50" s="146"/>
      <c r="G50" s="39">
        <f>G44</f>
        <v>8540.24</v>
      </c>
      <c r="H50" s="40">
        <f>G45</f>
        <v>7344.61</v>
      </c>
      <c r="I50" s="40">
        <f>G46</f>
        <v>4270.12</v>
      </c>
      <c r="J50" s="40">
        <f>I42</f>
        <v>1813.8353999999999</v>
      </c>
      <c r="K50" s="40">
        <f>K42</f>
        <v>26000.738399999998</v>
      </c>
      <c r="L50" s="32">
        <f>L42</f>
        <v>714.78030000000012</v>
      </c>
      <c r="M50" s="92"/>
      <c r="N50" s="51"/>
      <c r="O50" s="93"/>
    </row>
    <row r="51" spans="1:15" ht="8.25" customHeight="1" x14ac:dyDescent="0.2">
      <c r="A51" s="13"/>
      <c r="B51" s="10"/>
      <c r="C51" s="10"/>
      <c r="D51" s="14"/>
      <c r="E51" s="41"/>
      <c r="F51" s="41"/>
      <c r="G51" s="41"/>
      <c r="H51" s="41"/>
      <c r="I51" s="41"/>
      <c r="J51" s="41"/>
      <c r="K51" s="41"/>
      <c r="L51" s="38"/>
      <c r="M51" s="92"/>
      <c r="N51" s="51"/>
      <c r="O51" s="93"/>
    </row>
    <row r="52" spans="1:15" x14ac:dyDescent="0.2">
      <c r="A52" s="18"/>
      <c r="B52" s="18"/>
      <c r="C52" s="18"/>
      <c r="D52" s="124"/>
      <c r="E52" s="124"/>
      <c r="F52" s="124"/>
      <c r="G52" s="124"/>
      <c r="H52" s="17"/>
      <c r="I52" s="17"/>
      <c r="J52" s="17"/>
      <c r="K52" s="17"/>
      <c r="L52" s="17"/>
      <c r="M52" s="92"/>
      <c r="N52" s="51"/>
      <c r="O52" s="93"/>
    </row>
    <row r="53" spans="1:15" ht="12.75" customHeight="1" x14ac:dyDescent="0.2"/>
    <row r="54" spans="1:15" ht="20.25" customHeight="1" x14ac:dyDescent="0.2"/>
    <row r="55" spans="1:15" ht="21.75" customHeight="1" x14ac:dyDescent="0.2"/>
    <row r="56" spans="1:15" ht="8.25" customHeight="1" x14ac:dyDescent="0.2"/>
    <row r="57" spans="1:15" ht="12.75" customHeight="1" x14ac:dyDescent="0.2"/>
    <row r="58" spans="1:15" ht="31.5" customHeight="1" x14ac:dyDescent="0.2"/>
    <row r="59" spans="1:15" ht="24.75" customHeight="1" x14ac:dyDescent="0.2"/>
    <row r="60" spans="1:15" ht="14.25" customHeight="1" x14ac:dyDescent="0.2"/>
    <row r="65" ht="15.75" customHeight="1" x14ac:dyDescent="0.2"/>
    <row r="66" ht="22.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21.95" customHeight="1" x14ac:dyDescent="0.2"/>
    <row r="72" ht="15.75" customHeight="1" x14ac:dyDescent="0.2"/>
    <row r="73" ht="22.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8.75" customHeight="1" x14ac:dyDescent="0.2"/>
    <row r="79" ht="18" customHeight="1" x14ac:dyDescent="0.2"/>
    <row r="80" ht="18" customHeight="1" x14ac:dyDescent="0.2"/>
    <row r="81" ht="21.95" customHeight="1" x14ac:dyDescent="0.2"/>
    <row r="82" ht="12" customHeight="1" x14ac:dyDescent="0.2"/>
    <row r="84" ht="66.75" customHeight="1" x14ac:dyDescent="0.2"/>
    <row r="86" ht="65.25" customHeight="1" x14ac:dyDescent="0.2"/>
  </sheetData>
  <mergeCells count="62">
    <mergeCell ref="I47:K47"/>
    <mergeCell ref="A49:C49"/>
    <mergeCell ref="E49:F49"/>
    <mergeCell ref="E50:F50"/>
    <mergeCell ref="E34:F34"/>
    <mergeCell ref="A37:F37"/>
    <mergeCell ref="A38:E38"/>
    <mergeCell ref="A39:E39"/>
    <mergeCell ref="A40:E40"/>
    <mergeCell ref="B41:E41"/>
    <mergeCell ref="A45:E45"/>
    <mergeCell ref="A47:F47"/>
    <mergeCell ref="A43:D43"/>
    <mergeCell ref="E43:F43"/>
    <mergeCell ref="A44:F44"/>
    <mergeCell ref="A42:F42"/>
    <mergeCell ref="B35:C35"/>
    <mergeCell ref="E35:F35"/>
    <mergeCell ref="E36:F36"/>
    <mergeCell ref="B31:C31"/>
    <mergeCell ref="E31:F31"/>
    <mergeCell ref="E24:F24"/>
    <mergeCell ref="B25:C25"/>
    <mergeCell ref="E25:F25"/>
    <mergeCell ref="E26:F26"/>
    <mergeCell ref="B27:C27"/>
    <mergeCell ref="E27:F27"/>
    <mergeCell ref="A46:E46"/>
    <mergeCell ref="E32:F32"/>
    <mergeCell ref="B33:C33"/>
    <mergeCell ref="E33:F33"/>
    <mergeCell ref="E30:F30"/>
    <mergeCell ref="A1:L1"/>
    <mergeCell ref="A4:D4"/>
    <mergeCell ref="A6:G6"/>
    <mergeCell ref="B13:C13"/>
    <mergeCell ref="E13:F13"/>
    <mergeCell ref="G13:L13"/>
    <mergeCell ref="E14:F14"/>
    <mergeCell ref="A2:L2"/>
    <mergeCell ref="A5:D5"/>
    <mergeCell ref="D52:G52"/>
    <mergeCell ref="B17:C17"/>
    <mergeCell ref="E17:F17"/>
    <mergeCell ref="E18:F18"/>
    <mergeCell ref="B19:C19"/>
    <mergeCell ref="A7:G7"/>
    <mergeCell ref="A8:G8"/>
    <mergeCell ref="A9:G9"/>
    <mergeCell ref="B15:C15"/>
    <mergeCell ref="E15:F15"/>
    <mergeCell ref="A16:K16"/>
    <mergeCell ref="E19:F19"/>
    <mergeCell ref="E20:F20"/>
    <mergeCell ref="B21:C21"/>
    <mergeCell ref="E21:F21"/>
    <mergeCell ref="E22:F22"/>
    <mergeCell ref="B23:C23"/>
    <mergeCell ref="E23:F23"/>
    <mergeCell ref="E28:F28"/>
    <mergeCell ref="B29:C29"/>
    <mergeCell ref="E29:F29"/>
  </mergeCells>
  <conditionalFormatting sqref="J17:K17 J19:K19 J21:K21 J23:K23 J25:K25 J27:K27 J29:K29 J31:K31 J33:K33 J35:K35 B18:C18 B20:C20 B22:C22 B24:C24 B26:C26 B28:C28 B30:C30 B32:C32 B34:C34 B36:C36">
    <cfRule type="cellIs" dxfId="1" priority="6" stopIfTrue="1" operator="equal">
      <formula>0</formula>
    </cfRule>
  </conditionalFormatting>
  <conditionalFormatting sqref="J41">
    <cfRule type="cellIs" dxfId="0" priority="5" stopIfTrue="1" operator="equal">
      <formula>0</formula>
    </cfRule>
  </conditionalFormatting>
  <dataValidations count="1">
    <dataValidation type="list" allowBlank="1" showInputMessage="1" showErrorMessage="1" sqref="F39">
      <formula1>"1,1,1,15,1,2,"</formula1>
    </dataValidation>
  </dataValidations>
  <pageMargins left="0.25" right="0.25" top="0.75" bottom="0.75" header="0.3" footer="0.3"/>
  <pageSetup paperSize="9" scale="7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Company>ООО "Орбита-Союз"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</dc:creator>
  <cp:lastModifiedBy>Oleg Tarakanov</cp:lastModifiedBy>
  <cp:lastPrinted>2014-02-28T06:42:17Z</cp:lastPrinted>
  <dcterms:created xsi:type="dcterms:W3CDTF">2004-04-18T13:15:50Z</dcterms:created>
  <dcterms:modified xsi:type="dcterms:W3CDTF">2014-02-28T07:00:29Z</dcterms:modified>
</cp:coreProperties>
</file>