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85" yWindow="120" windowWidth="13245" windowHeight="7515"/>
  </bookViews>
  <sheets>
    <sheet name="Форма КС-2" sheetId="1" r:id="rId1"/>
    <sheet name="Базовые цены за единицу" sheetId="2" r:id="rId2"/>
    <sheet name="Базовые цены с учетом расхода" sheetId="3" r:id="rId3"/>
    <sheet name="Начисления" sheetId="4" r:id="rId4"/>
    <sheet name="Определители" sheetId="5" r:id="rId5"/>
    <sheet name="Базовые концовки" sheetId="6" r:id="rId6"/>
  </sheets>
  <calcPr calcId="125725"/>
</workbook>
</file>

<file path=xl/calcChain.xml><?xml version="1.0" encoding="utf-8"?>
<calcChain xmlns="http://schemas.openxmlformats.org/spreadsheetml/2006/main">
  <c r="F8" i="6"/>
  <c r="G8"/>
  <c r="H8"/>
  <c r="I8"/>
  <c r="J8"/>
  <c r="K8"/>
  <c r="L8"/>
  <c r="F18"/>
  <c r="G18"/>
  <c r="H18"/>
  <c r="I18"/>
  <c r="J18"/>
  <c r="K18"/>
  <c r="L18"/>
  <c r="G20"/>
  <c r="F21"/>
  <c r="F23"/>
  <c r="F24"/>
  <c r="F27" s="1"/>
  <c r="I75" i="1" s="1"/>
  <c r="F25" i="6"/>
  <c r="F35"/>
  <c r="G35"/>
  <c r="H35"/>
  <c r="I35"/>
  <c r="J35"/>
  <c r="K35"/>
  <c r="L35"/>
  <c r="F36"/>
  <c r="F37"/>
  <c r="F38"/>
  <c r="F39"/>
  <c r="F40"/>
  <c r="G40"/>
  <c r="H40"/>
  <c r="I40"/>
  <c r="J40"/>
  <c r="K40"/>
  <c r="L40"/>
  <c r="F43"/>
  <c r="F44"/>
  <c r="F45"/>
  <c r="F47" s="1"/>
  <c r="I95" i="1" s="1"/>
  <c r="F48" i="6"/>
  <c r="G48"/>
  <c r="H48"/>
  <c r="I48"/>
  <c r="J48"/>
  <c r="K48"/>
  <c r="L48"/>
  <c r="F49"/>
  <c r="F50"/>
  <c r="F51"/>
  <c r="F52"/>
  <c r="I100" i="1" s="1"/>
  <c r="F53" i="6"/>
  <c r="G53"/>
  <c r="H53"/>
  <c r="I53"/>
  <c r="J53"/>
  <c r="K53"/>
  <c r="L53"/>
  <c r="F54"/>
  <c r="F55"/>
  <c r="F56"/>
  <c r="F57"/>
  <c r="F58"/>
  <c r="G58"/>
  <c r="H58"/>
  <c r="I58"/>
  <c r="J58"/>
  <c r="K58"/>
  <c r="L58"/>
  <c r="F61"/>
  <c r="F62"/>
  <c r="F63"/>
  <c r="F64" s="1"/>
  <c r="I112" i="1" s="1"/>
  <c r="F65" i="6"/>
  <c r="G65"/>
  <c r="H65"/>
  <c r="I65"/>
  <c r="J65"/>
  <c r="K65"/>
  <c r="L65"/>
  <c r="F66"/>
  <c r="F67"/>
  <c r="F68"/>
  <c r="F69"/>
  <c r="F70" s="1"/>
  <c r="I118" i="1" s="1"/>
  <c r="F71" i="6"/>
  <c r="G71"/>
  <c r="H71"/>
  <c r="I71"/>
  <c r="J71"/>
  <c r="K71"/>
  <c r="L71"/>
  <c r="F72"/>
  <c r="F73"/>
  <c r="F74" s="1"/>
  <c r="I122" i="1" s="1"/>
  <c r="F75" i="6"/>
  <c r="G75"/>
  <c r="H75"/>
  <c r="I75"/>
  <c r="J75"/>
  <c r="K75"/>
  <c r="L75"/>
  <c r="F76"/>
  <c r="F77"/>
  <c r="F78"/>
  <c r="F79"/>
  <c r="I127" i="1" s="1"/>
  <c r="F80" i="6"/>
  <c r="G80"/>
  <c r="H80"/>
  <c r="I80"/>
  <c r="J80"/>
  <c r="J82" s="1"/>
  <c r="O130" i="1" s="1"/>
  <c r="K80" i="6"/>
  <c r="L80"/>
  <c r="F81"/>
  <c r="G82"/>
  <c r="H82"/>
  <c r="I82"/>
  <c r="K82"/>
  <c r="L82"/>
  <c r="A6" i="2"/>
  <c r="B6"/>
  <c r="A6" i="3"/>
  <c r="C6"/>
  <c r="G7" i="6"/>
  <c r="L55" i="1" s="1"/>
  <c r="D6" i="3"/>
  <c r="H7" i="6" s="1"/>
  <c r="M55" i="1" s="1"/>
  <c r="E6" i="3"/>
  <c r="I7" i="6"/>
  <c r="N55" i="1" s="1"/>
  <c r="F6" i="3"/>
  <c r="L7" i="6" s="1"/>
  <c r="Q55" i="1" s="1"/>
  <c r="G6" i="3"/>
  <c r="H6"/>
  <c r="F31" i="6" s="1"/>
  <c r="L6" i="3"/>
  <c r="M6"/>
  <c r="O6"/>
  <c r="F33" i="6" s="1"/>
  <c r="P6" i="3"/>
  <c r="Q6"/>
  <c r="I49" i="1"/>
  <c r="R6" i="3"/>
  <c r="S6"/>
  <c r="T6"/>
  <c r="U6"/>
  <c r="V6"/>
  <c r="X6"/>
  <c r="L86" i="6" s="1"/>
  <c r="Q134" i="1" s="1"/>
  <c r="Z6" i="3"/>
  <c r="AB6"/>
  <c r="AE6"/>
  <c r="L87" i="6"/>
  <c r="A6" i="4"/>
  <c r="A6" i="5"/>
  <c r="G37" i="1"/>
  <c r="I48"/>
  <c r="I50"/>
  <c r="I51"/>
  <c r="I52"/>
  <c r="R55"/>
  <c r="I56"/>
  <c r="L56"/>
  <c r="M56"/>
  <c r="N56"/>
  <c r="O56"/>
  <c r="P56"/>
  <c r="Q56"/>
  <c r="R56"/>
  <c r="I66"/>
  <c r="L66"/>
  <c r="M66"/>
  <c r="N66"/>
  <c r="O66"/>
  <c r="P66"/>
  <c r="Q66"/>
  <c r="R66"/>
  <c r="I68"/>
  <c r="L68"/>
  <c r="I69"/>
  <c r="I71"/>
  <c r="I72"/>
  <c r="I73"/>
  <c r="R76"/>
  <c r="I83"/>
  <c r="L83"/>
  <c r="M83"/>
  <c r="N83"/>
  <c r="O83"/>
  <c r="P83"/>
  <c r="Q83"/>
  <c r="R83"/>
  <c r="I84"/>
  <c r="I85"/>
  <c r="I86"/>
  <c r="I87"/>
  <c r="I88"/>
  <c r="L88"/>
  <c r="M88"/>
  <c r="N88"/>
  <c r="O88"/>
  <c r="P88"/>
  <c r="Q88"/>
  <c r="R88"/>
  <c r="I90"/>
  <c r="I91"/>
  <c r="I92"/>
  <c r="I93"/>
  <c r="I96"/>
  <c r="L96"/>
  <c r="M96"/>
  <c r="N96"/>
  <c r="O96"/>
  <c r="P96"/>
  <c r="Q96"/>
  <c r="R96"/>
  <c r="I97"/>
  <c r="I98"/>
  <c r="I99"/>
  <c r="I101"/>
  <c r="L101"/>
  <c r="M101"/>
  <c r="N101"/>
  <c r="O101"/>
  <c r="P101"/>
  <c r="Q101"/>
  <c r="R101"/>
  <c r="I102"/>
  <c r="I103"/>
  <c r="I104"/>
  <c r="I105"/>
  <c r="I106"/>
  <c r="L106"/>
  <c r="M106"/>
  <c r="N106"/>
  <c r="O106"/>
  <c r="P106"/>
  <c r="Q106"/>
  <c r="R106"/>
  <c r="I109"/>
  <c r="I110"/>
  <c r="I111"/>
  <c r="I113"/>
  <c r="L113"/>
  <c r="M113"/>
  <c r="N113"/>
  <c r="O113"/>
  <c r="P113"/>
  <c r="Q113"/>
  <c r="R113"/>
  <c r="I114"/>
  <c r="I115"/>
  <c r="I116"/>
  <c r="I117"/>
  <c r="I119"/>
  <c r="L119"/>
  <c r="M119"/>
  <c r="N119"/>
  <c r="O119"/>
  <c r="P119"/>
  <c r="Q119"/>
  <c r="R119"/>
  <c r="I120"/>
  <c r="I121"/>
  <c r="I123"/>
  <c r="L123"/>
  <c r="M123"/>
  <c r="N123"/>
  <c r="O123"/>
  <c r="P123"/>
  <c r="Q123"/>
  <c r="R123"/>
  <c r="I124"/>
  <c r="I125"/>
  <c r="I126"/>
  <c r="I128"/>
  <c r="L128"/>
  <c r="M128"/>
  <c r="N128"/>
  <c r="P128"/>
  <c r="Q128"/>
  <c r="R128"/>
  <c r="I129"/>
  <c r="L130"/>
  <c r="M130"/>
  <c r="N130"/>
  <c r="P130"/>
  <c r="Q130"/>
  <c r="R130"/>
  <c r="O128"/>
  <c r="Q135"/>
  <c r="F87" i="6"/>
  <c r="I135" i="1" s="1"/>
  <c r="F86" i="6"/>
  <c r="I134" i="1"/>
  <c r="L28" i="6"/>
  <c r="Q76" i="1"/>
  <c r="H28" i="6"/>
  <c r="M76" i="1"/>
  <c r="F88" i="6"/>
  <c r="AA6" i="3"/>
  <c r="Y6"/>
  <c r="N6"/>
  <c r="I47" i="1" s="1"/>
  <c r="B6" i="3"/>
  <c r="I37" i="1" s="1"/>
  <c r="F89" i="6"/>
  <c r="I137" i="1" s="1"/>
  <c r="I28" i="6"/>
  <c r="N76" i="1" s="1"/>
  <c r="G28" i="6"/>
  <c r="L76" i="1" s="1"/>
  <c r="AC6" i="3"/>
  <c r="AD6"/>
  <c r="F7" i="6"/>
  <c r="I55" i="1" s="1"/>
  <c r="F28" i="6"/>
  <c r="F34" s="1"/>
  <c r="I82" i="1" s="1"/>
  <c r="I136"/>
  <c r="F32" i="6"/>
  <c r="I80" i="1" s="1"/>
  <c r="F84" i="6"/>
  <c r="I132" i="1" s="1"/>
  <c r="I6" i="3"/>
  <c r="J6"/>
  <c r="K6"/>
  <c r="F10" i="6"/>
  <c r="F14"/>
  <c r="F46"/>
  <c r="F9"/>
  <c r="F13"/>
  <c r="F22"/>
  <c r="F60"/>
  <c r="F12"/>
  <c r="F30"/>
  <c r="F11"/>
  <c r="F15"/>
  <c r="F26"/>
  <c r="K7" l="1"/>
  <c r="P55" i="1" s="1"/>
  <c r="K28" i="6"/>
  <c r="P76" i="1" s="1"/>
  <c r="J92" i="6"/>
  <c r="J91"/>
  <c r="J7"/>
  <c r="O55" i="1" s="1"/>
  <c r="J28" i="6"/>
  <c r="O76" i="1" s="1"/>
  <c r="F83" i="6"/>
  <c r="I131" i="1" s="1"/>
  <c r="I79"/>
  <c r="I53"/>
  <c r="F85" i="6"/>
  <c r="I133" i="1" s="1"/>
  <c r="I81"/>
  <c r="I76"/>
  <c r="F90" i="6"/>
  <c r="I138" i="1" s="1"/>
  <c r="I74"/>
  <c r="F16" i="6"/>
  <c r="I64" i="1" s="1"/>
  <c r="I63"/>
  <c r="I59"/>
  <c r="I78"/>
  <c r="I60"/>
  <c r="I108"/>
  <c r="I70"/>
  <c r="I61"/>
  <c r="I57"/>
  <c r="I94"/>
  <c r="I62"/>
  <c r="I58"/>
  <c r="F31"/>
  <c r="I140" l="1"/>
  <c r="O140"/>
  <c r="I139"/>
  <c r="J93" i="6"/>
  <c r="O139" i="1"/>
  <c r="F17" i="6"/>
  <c r="I141" i="1" l="1"/>
  <c r="O141"/>
  <c r="F82" i="6"/>
  <c r="I130" i="1" s="1"/>
  <c r="I65"/>
  <c r="F30"/>
  <c r="F29"/>
</calcChain>
</file>

<file path=xl/sharedStrings.xml><?xml version="1.0" encoding="utf-8"?>
<sst xmlns="http://schemas.openxmlformats.org/spreadsheetml/2006/main" count="584" uniqueCount="333">
  <si>
    <t>&lt; 4 * 1 * 2 &gt;</t>
  </si>
  <si>
    <t>ПК РИК (вер.1.3.131024) тел./факс (495) 347-33-01</t>
  </si>
  <si>
    <t>Форма КС-2</t>
  </si>
  <si>
    <t>Унифицированная форма № KС-2</t>
  </si>
  <si>
    <t>Утверждена постановлением Госкомстата России от 11.11.1999 № 100</t>
  </si>
  <si>
    <t>Kод</t>
  </si>
  <si>
    <t>Форма по ОKУД</t>
  </si>
  <si>
    <t>0322005</t>
  </si>
  <si>
    <t>Инвестор</t>
  </si>
  <si>
    <t>по ОKПО</t>
  </si>
  <si>
    <t>Заказчик (Генподрядчик)</t>
  </si>
  <si>
    <t>Подрядчик (Субподрядчик)</t>
  </si>
  <si>
    <t>Стройка:</t>
  </si>
  <si>
    <t>Застройка многоэтажными домами квартала, ограниченного ул.Пролетарская, Промышленный проезд,Большевисткая, Васенко в г. Саранске</t>
  </si>
  <si>
    <t>Объект:</t>
  </si>
  <si>
    <t>Снос зданий</t>
  </si>
  <si>
    <t>Вид деятельности по ОKДП</t>
  </si>
  <si>
    <t>Договор подряда (контракта)</t>
  </si>
  <si>
    <t>номер</t>
  </si>
  <si>
    <t>дата</t>
  </si>
  <si>
    <t>Вид операции</t>
  </si>
  <si>
    <t>Hомер документа</t>
  </si>
  <si>
    <t>Дата составления</t>
  </si>
  <si>
    <t>Отчетный период</t>
  </si>
  <si>
    <t>с</t>
  </si>
  <si>
    <t>по</t>
  </si>
  <si>
    <t>2</t>
  </si>
  <si>
    <t>А К Т</t>
  </si>
  <si>
    <t>О ПРИЕМKЕ ВЫПОЛHЕHHЫХ РАБОТ</t>
  </si>
  <si>
    <t>Сметная (договорная) стоимость в соответствии с договором подряда (субподряда)</t>
  </si>
  <si>
    <t>руб.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</si>
  <si>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</si>
  <si>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</si>
  <si>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</si>
  <si>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</si>
  <si>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</si>
  <si>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Составлен в базисных ценах на 2000 г.</t>
  </si>
  <si>
    <t>Номер</t>
  </si>
  <si>
    <t>Наименование работ</t>
  </si>
  <si>
    <t>Номер единичной расценки</t>
  </si>
  <si>
    <t>Единица измерения</t>
  </si>
  <si>
    <t>Выполнено работ</t>
  </si>
  <si>
    <t>по порядку</t>
  </si>
  <si>
    <t>позиции по смете</t>
  </si>
  <si>
    <t>количество</t>
  </si>
  <si>
    <t>цена за единицу, руб.</t>
  </si>
  <si>
    <t>стоимость, руб.</t>
  </si>
  <si>
    <t>1.</t>
  </si>
  <si>
    <t>Разборка зданий методом обрушения кирпичных отапливаемых</t>
  </si>
  <si>
    <t>Е46-06-009-01;
(Постановление № 135 от 29.03.2010
НБ: ТСНБ-2001 Республики Мордовия (эталон) с доп. и изм. 1;)</t>
  </si>
  <si>
    <t>100 м3 строительного объема, включая подвал</t>
  </si>
  <si>
    <t>sum</t>
  </si>
  <si>
    <t>Зарплата рабочих</t>
  </si>
  <si>
    <t>Эксплуатация машин</t>
  </si>
  <si>
    <t>в т.ч. зарплата машинистов</t>
  </si>
  <si>
    <t>Материалы</t>
  </si>
  <si>
    <t>в т.ч. Вспомогательные материалы от стоимости материалов</t>
  </si>
  <si>
    <t>в т.ч. Вспомогательные ненормируемые материалы</t>
  </si>
  <si>
    <t>NenormMatOtZPR</t>
  </si>
  <si>
    <t>в т.ч. Ненормированная з.п. рабочих</t>
  </si>
  <si>
    <t>в т.ч. Ненормированная стоимость эксплуатации машин</t>
  </si>
  <si>
    <t>в т.ч. Ненормированная оплата механизаторов</t>
  </si>
  <si>
    <t>Накладные расходы</t>
  </si>
  <si>
    <t>Nakl</t>
  </si>
  <si>
    <t>НР от ЗПР</t>
  </si>
  <si>
    <t>Nakl_ZPR</t>
  </si>
  <si>
    <t>НР от ЗПМ</t>
  </si>
  <si>
    <t>Nakl_ZPM</t>
  </si>
  <si>
    <t>Сметная прибыль</t>
  </si>
  <si>
    <t>Plan</t>
  </si>
  <si>
    <t>СП от ЗПР</t>
  </si>
  <si>
    <t>Plan_ZPR</t>
  </si>
  <si>
    <t>СП от ЗПМ</t>
  </si>
  <si>
    <t>Plan_ZPM</t>
  </si>
  <si>
    <t>Всего с НР и СП</t>
  </si>
  <si>
    <t>.    ИТОГО  ПО  АКТУ</t>
  </si>
  <si>
    <t>СТОИМОСТЬ ОБОРУДОВАНИЯ -</t>
  </si>
  <si>
    <t>.   ЗАПАСНЫЕ ЧАСТИ -</t>
  </si>
  <si>
    <t>.   ТАРА И УПАКОВКА -</t>
  </si>
  <si>
    <t>.   ТРАНСПОРТНЫЕ РАСХОДЫ -</t>
  </si>
  <si>
    <t>.   КОМПЛЕКТАЦИЯ -</t>
  </si>
  <si>
    <t>.   НАЦЕНКА СНАБА -</t>
  </si>
  <si>
    <t>.   ЗАГОТОВИТЕЛЬНО-СКЛАДСКИЕ РАСХОДЫ -</t>
  </si>
  <si>
    <t>. ШЕФМОНТАЖ ПО ОБОРУДОВАНИЮ -</t>
  </si>
  <si>
    <t>. ШЕФМОНТАЖ -</t>
  </si>
  <si>
    <t>ВСЕГО, СТОИМОСТЬ ОБОРУДОВАНИЯ -</t>
  </si>
  <si>
    <t>СТОИМОСТЬ МОНТАЖНЫХ РАБОТ -</t>
  </si>
  <si>
    <t>.     В ТОМ ЧИСЛЕ:</t>
  </si>
  <si>
    <t>. ОТКЛОНЕНИЕ ПО ЗАРАБОТНОЙ ПЛАТЕ -</t>
  </si>
  <si>
    <t>. КОСВЕННЫЕ РАСХОДЫ -</t>
  </si>
  <si>
    <t>. МАТЕРИАЛЬНЫЕ РЕСУРСЫ НЕ УЧТЕННЫЕ В РАСЦЕНКАХ -</t>
  </si>
  <si>
    <t>.   СТОИМОСТЬ ВОЗВРАЩАЕМЫХ МАТЕРИАЛОВ -</t>
  </si>
  <si>
    <t>.   НАКЛАДНЫЕ РАСХОДЫ -</t>
  </si>
  <si>
    <t>.   СМЕТНАЯ ПРИБЫЛЬ -</t>
  </si>
  <si>
    <t>ВСЕГО, СТОИМОСТЬ МОНТАЖНЫХ РАБОТ -</t>
  </si>
  <si>
    <t>СТОИМОСТЬ ОБЩЕСТРОИТЕЛЬНЫХ РАБОТ -</t>
  </si>
  <si>
    <t>.       МАТЕРИАЛОВ -</t>
  </si>
  <si>
    <t>.   НАКЛАДНЫЕ РАСХОДЫ - (%=110)</t>
  </si>
  <si>
    <t>.   СМЕТНАЯ ПРИБЫЛЬ - (%=70)</t>
  </si>
  <si>
    <t>ВСЕГО, СТОИМОСТЬ ОБЩЕСТРОИТЕЛЬНЫХ РАБОТ -</t>
  </si>
  <si>
    <t>СТОИМОСТЬ МЕТАЛЛОМОНТАЖНЫХ РАБОТ -</t>
  </si>
  <si>
    <t>ВСЕГО, СТОИМОСТЬ МЕТАЛЛОМОНТАЖНЫХ РАБОТ -</t>
  </si>
  <si>
    <t>СТОИМОСТЬ САНТЕХНИЧЕСКИХ РАБОТ -</t>
  </si>
  <si>
    <t>. СДАЧА И ИСПЫТАНИЕ -</t>
  </si>
  <si>
    <t>ВСЕГО, СТОИМОСТЬ САНТЕХНИЧЕСКИХ РАБОТ -</t>
  </si>
  <si>
    <t>СТОИМОСТЬ БУРО-ВЗРЫВНЫХ РАБОТ -</t>
  </si>
  <si>
    <t>ВСЕГО, СТОИМОСТЬ БУРО-ВЗРЫВНЫХ РАБОТ -</t>
  </si>
  <si>
    <t>СТОИМОСТЬ ГОРНОПРОХОДЧЕСКИХ РАБОТ -</t>
  </si>
  <si>
    <t>ВСЕГО, СТОИМОСТЬ ГОРНОПРОХОДЧЕСКИХ РАБОТ -</t>
  </si>
  <si>
    <t>СТОИМОСТЬ РЕСТАВРАЦИОННЫХ РАБОТ -</t>
  </si>
  <si>
    <t>ВСЕГО, СТОИМОСТЬ РЕСТАВРАЦИОННЫХ РАБОТ -</t>
  </si>
  <si>
    <t>СТОИМОСТЬ ПЕРЕВОЗКИ ГРУЗОВ -</t>
  </si>
  <si>
    <t>.   В Т.Ч. НАКЛАДНЫЕ РАСХОДЫ -</t>
  </si>
  <si>
    <t>.   В Т.Ч. СМЕТНАЯ ПРИБЫЛЬ -</t>
  </si>
  <si>
    <t>ВСЕГО, СТОИМОСТЬ ПЕРЕВОЗКИ ГРУЗОВ -</t>
  </si>
  <si>
    <t>СТОИМОСТЬ ПУСКОНАЛАДОЧНЫХ РАБОТ -</t>
  </si>
  <si>
    <t>ВСЕГО, СТОИМОСТЬ ПУСКОНАЛАДОЧНЫХ РАБОТ -</t>
  </si>
  <si>
    <t>СТОИМОСТЬ ПРОЧИХ РАБОТ (с НР и СП) -</t>
  </si>
  <si>
    <t>ВСЕГО, СТОИМОСТЬ ПРОЧИХ РАБОТ (с НР и СП) -</t>
  </si>
  <si>
    <t>ВСЕГО, СТОИМОСТЬ ПРОЧИХ РАБОТ (без НР и СП) -</t>
  </si>
  <si>
    <t>. ВСЕГО  ПО  АКТУ</t>
  </si>
  <si>
    <t>ВСЕГО СТОИМОСТЬ ВОЗВРАЩАЕМЫХ МАТЕРИАЛОВ -</t>
  </si>
  <si>
    <t>ВСЕГО НАКЛАДНЫЕ РАСХОДЫ</t>
  </si>
  <si>
    <t>ВСЕГО СМЕТНАЯ ПРИБЫЛЬ</t>
  </si>
  <si>
    <t>в т.ч. Вспомогательные материалы от ОЗП</t>
  </si>
  <si>
    <t>Оплата основных рабочих</t>
  </si>
  <si>
    <t>Оплата механизаторов</t>
  </si>
  <si>
    <t>Сметная заработная плата</t>
  </si>
  <si>
    <t>Трудозатраты осн. рабочих</t>
  </si>
  <si>
    <t>Трудозатраты механизаторов</t>
  </si>
  <si>
    <t>Нормативная трудоемкость</t>
  </si>
  <si>
    <t>Cдал:</t>
  </si>
  <si>
    <t>(должность, подпись, Ф.И.О)</t>
  </si>
  <si>
    <t>М.П.</t>
  </si>
  <si>
    <t>Принял:</t>
  </si>
  <si>
    <t>C1</t>
  </si>
  <si>
    <t>C2</t>
  </si>
  <si>
    <t>C3</t>
  </si>
  <si>
    <t>C4</t>
  </si>
  <si>
    <t>C5</t>
  </si>
  <si>
    <t>C6</t>
  </si>
  <si>
    <t>VOZVR</t>
  </si>
  <si>
    <t>C8</t>
  </si>
  <si>
    <t>C9</t>
  </si>
  <si>
    <t>C10</t>
  </si>
  <si>
    <t>C11</t>
  </si>
  <si>
    <t>C12</t>
  </si>
  <si>
    <t>NAKL</t>
  </si>
  <si>
    <t>PLAN</t>
  </si>
  <si>
    <t>NAKL_ZPR</t>
  </si>
  <si>
    <t>NAKL_ZPM</t>
  </si>
  <si>
    <t>PLAN_ZPR</t>
  </si>
  <si>
    <t>PLAN_ZPM</t>
  </si>
  <si>
    <t>RN11</t>
  </si>
  <si>
    <t>RN12</t>
  </si>
  <si>
    <t>RN13</t>
  </si>
  <si>
    <t>OBORUD_VSPOMOG</t>
  </si>
  <si>
    <t>NAKL_PN</t>
  </si>
  <si>
    <t>NAKL_VX</t>
  </si>
  <si>
    <t>PLAN_PN</t>
  </si>
  <si>
    <t>PLAN_VX</t>
  </si>
  <si>
    <t>VTCH_PN</t>
  </si>
  <si>
    <t>VTCH_VX</t>
  </si>
  <si>
    <t>MR_BY_ZPR_VSPOMOG</t>
  </si>
  <si>
    <t>NAKL_INC</t>
  </si>
  <si>
    <t>PLAN_INC</t>
  </si>
  <si>
    <t>N = &lt; 4 * 1 * 2 &gt;</t>
  </si>
  <si>
    <t xml:space="preserve">          </t>
  </si>
  <si>
    <t>Н1</t>
  </si>
  <si>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</si>
  <si>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</si>
  <si>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</si>
  <si>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</si>
  <si>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</si>
  <si>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</si>
  <si>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</si>
  <si>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</si>
  <si>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</si>
  <si>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</si>
  <si>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</si>
  <si>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</si>
  <si>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</si>
  <si>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</si>
  <si>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</si>
  <si>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</si>
  <si>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</si>
  <si>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</si>
  <si>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</si>
  <si>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</si>
  <si>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</si>
  <si>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</si>
  <si>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</si>
  <si>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</si>
  <si>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</si>
  <si>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</si>
  <si>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</si>
  <si>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</si>
  <si>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</si>
  <si>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</si>
  <si>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</si>
  <si>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</si>
  <si>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</si>
  <si>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</si>
  <si>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</si>
  <si>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</si>
  <si>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</si>
  <si>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</si>
  <si>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</si>
  <si>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Н41</t>
  </si>
  <si>
    <t>Н42</t>
  </si>
  <si>
    <t>Н43</t>
  </si>
  <si>
    <t>Н44</t>
  </si>
  <si>
    <t>Н45</t>
  </si>
  <si>
    <t>Н46</t>
  </si>
  <si>
    <t>Н47</t>
  </si>
  <si>
    <t>Н48</t>
  </si>
  <si>
    <t>Н49</t>
  </si>
  <si>
    <t>О0</t>
  </si>
  <si>
    <t>О1</t>
  </si>
  <si>
    <t>О2</t>
  </si>
  <si>
    <t>О3</t>
  </si>
  <si>
    <t>О4</t>
  </si>
  <si>
    <t>О5</t>
  </si>
  <si>
    <t>О6</t>
  </si>
  <si>
    <t>О7</t>
  </si>
  <si>
    <t>О8</t>
  </si>
  <si>
    <t>1</t>
  </si>
  <si>
    <t xml:space="preserve"> </t>
  </si>
  <si>
    <t>0</t>
  </si>
  <si>
    <t>Наименование</t>
  </si>
  <si>
    <t>Вид</t>
  </si>
  <si>
    <t>Значение</t>
  </si>
  <si>
    <t>ЕИ</t>
  </si>
  <si>
    <t>Z1</t>
  </si>
  <si>
    <t>Z2</t>
  </si>
  <si>
    <t>Z3</t>
  </si>
  <si>
    <t>Z4</t>
  </si>
  <si>
    <t>Z5</t>
  </si>
  <si>
    <t>Z6</t>
  </si>
  <si>
    <t>Z7</t>
  </si>
  <si>
    <t>Z8</t>
  </si>
  <si>
    <t>.    ИТОГО  ПО  СМЕТЕ</t>
  </si>
  <si>
    <t>А</t>
  </si>
  <si>
    <t>Б</t>
  </si>
  <si>
    <t>3</t>
  </si>
  <si>
    <t>4</t>
  </si>
  <si>
    <t>5</t>
  </si>
  <si>
    <t>6</t>
  </si>
  <si>
    <t>7</t>
  </si>
  <si>
    <t>8</t>
  </si>
  <si>
    <t>9</t>
  </si>
  <si>
    <t>!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</si>
  <si>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</si>
  <si>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</si>
  <si>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</si>
  <si>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</si>
  <si>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</si>
  <si>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</si>
  <si>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</si>
  <si>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</si>
  <si>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</si>
  <si>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</si>
  <si>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</si>
  <si>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</si>
  <si>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</si>
  <si>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</si>
  <si>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</si>
  <si>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</si>
  <si>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</si>
  <si>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</si>
  <si>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</si>
  <si>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</si>
  <si>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</si>
  <si>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</si>
  <si>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</si>
  <si>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</si>
  <si>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</si>
  <si>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</si>
  <si>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</si>
  <si>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</si>
  <si>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</si>
  <si>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</si>
  <si>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</si>
  <si>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</si>
  <si>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</si>
  <si>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</si>
  <si>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</si>
  <si>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</si>
  <si>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</si>
  <si>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</si>
  <si>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</si>
  <si>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</si>
  <si>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</si>
  <si>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</si>
  <si>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</si>
  <si>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</si>
  <si>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</si>
  <si>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</si>
  <si>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</si>
  <si>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</si>
  <si>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</si>
  <si>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</si>
  <si>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</si>
  <si>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</si>
  <si>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</si>
  <si>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</si>
  <si>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</si>
  <si>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</si>
  <si>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</si>
  <si>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</si>
  <si>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</si>
  <si>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</si>
  <si>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</si>
  <si>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</si>
  <si>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</si>
  <si>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</si>
  <si>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</si>
  <si>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</si>
  <si>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. ВСЕГО  ПО  СМЕТЕ</t>
  </si>
  <si>
    <t>76</t>
  </si>
  <si>
    <t>77</t>
  </si>
  <si>
    <t>78</t>
  </si>
  <si>
    <t>79</t>
  </si>
  <si>
    <t>h</t>
  </si>
  <si>
    <t>80</t>
  </si>
  <si>
    <t>81</t>
  </si>
  <si>
    <t>82</t>
  </si>
  <si>
    <t>83</t>
  </si>
  <si>
    <t>s</t>
  </si>
  <si>
    <t>84</t>
  </si>
  <si>
    <t>85</t>
  </si>
  <si>
    <t>86</t>
  </si>
  <si>
    <t>87</t>
  </si>
</sst>
</file>

<file path=xl/styles.xml><?xml version="1.0" encoding="utf-8"?>
<styleSheet xmlns="http://schemas.openxmlformats.org/spreadsheetml/2006/main">
  <numFmts count="7">
    <numFmt numFmtId="164" formatCode="General;\-General;"/>
    <numFmt numFmtId="165" formatCode="##0"/>
    <numFmt numFmtId="166" formatCode="#,##0.00;\-#,##0.00;"/>
    <numFmt numFmtId="167" formatCode="#,##0.000;\-#,##0.000;"/>
    <numFmt numFmtId="168" formatCode="#,##0.###;\-#,##0.###;#\ ##"/>
    <numFmt numFmtId="169" formatCode="#,##0.00000000;\-#,##0.00000000;"/>
    <numFmt numFmtId="170" formatCode="#,##0.00######################"/>
  </numFmts>
  <fonts count="6">
    <font>
      <sz val="8"/>
      <name val="Verdana"/>
      <charset val="204"/>
    </font>
    <font>
      <sz val="8"/>
      <color indexed="8"/>
      <name val="Verdana"/>
      <charset val="204"/>
    </font>
    <font>
      <b/>
      <sz val="8"/>
      <name val="Verdana"/>
      <charset val="204"/>
    </font>
    <font>
      <i/>
      <sz val="8"/>
      <name val="Verdana"/>
      <charset val="204"/>
    </font>
    <font>
      <sz val="8"/>
      <color indexed="9"/>
      <name val="Verdana"/>
      <charset val="204"/>
    </font>
    <font>
      <sz val="1"/>
      <name val="Verdan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66">
    <xf numFmtId="0" fontId="0" fillId="0" borderId="0" xfId="0" applyAlignment="1" applyProtection="1"/>
    <xf numFmtId="164" fontId="0" fillId="0" borderId="0" xfId="0" applyNumberFormat="1" applyFont="1" applyAlignment="1">
      <alignment horizontal="right" vertical="top" wrapText="1"/>
      <protection locked="0"/>
    </xf>
    <xf numFmtId="49" fontId="1" fillId="0" borderId="0" xfId="0" applyNumberFormat="1" applyFont="1" applyAlignment="1">
      <alignment horizontal="left" vertical="top"/>
      <protection locked="0"/>
    </xf>
    <xf numFmtId="49" fontId="1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right" vertical="top" wrapText="1"/>
      <protection locked="0"/>
    </xf>
    <xf numFmtId="49" fontId="0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left" vertical="top"/>
      <protection locked="0"/>
    </xf>
    <xf numFmtId="49" fontId="0" fillId="0" borderId="1" xfId="0" applyNumberFormat="1" applyFont="1" applyBorder="1" applyAlignment="1">
      <alignment horizontal="center" vertical="top"/>
      <protection locked="0"/>
    </xf>
    <xf numFmtId="49" fontId="0" fillId="0" borderId="1" xfId="0" applyNumberFormat="1" applyFont="1" applyBorder="1" applyAlignment="1">
      <alignment horizontal="center" vertical="center"/>
      <protection locked="0"/>
    </xf>
    <xf numFmtId="164" fontId="0" fillId="0" borderId="2" xfId="0" applyNumberFormat="1" applyFont="1" applyBorder="1" applyAlignment="1">
      <alignment horizontal="right" vertical="top" wrapText="1"/>
      <protection locked="0"/>
    </xf>
    <xf numFmtId="164" fontId="2" fillId="0" borderId="0" xfId="0" applyNumberFormat="1" applyFont="1" applyAlignment="1">
      <alignment horizontal="right" vertical="top"/>
      <protection locked="0"/>
    </xf>
    <xf numFmtId="49" fontId="2" fillId="0" borderId="0" xfId="0" applyNumberFormat="1" applyFont="1" applyAlignment="1">
      <alignment horizontal="left" vertical="top"/>
      <protection locked="0"/>
    </xf>
    <xf numFmtId="49" fontId="0" fillId="0" borderId="1" xfId="0" applyNumberFormat="1" applyFont="1" applyBorder="1" applyAlignment="1">
      <alignment horizontal="center" vertical="center" wrapText="1"/>
      <protection locked="0"/>
    </xf>
    <xf numFmtId="165" fontId="0" fillId="0" borderId="3" xfId="0" applyNumberFormat="1" applyFont="1" applyBorder="1" applyAlignment="1">
      <alignment horizontal="center" vertical="top" wrapText="1"/>
      <protection locked="0"/>
    </xf>
    <xf numFmtId="49" fontId="0" fillId="0" borderId="0" xfId="0" applyNumberFormat="1" applyFont="1" applyAlignment="1">
      <alignment horizontal="left" vertical="top" wrapText="1"/>
      <protection locked="0"/>
    </xf>
    <xf numFmtId="49" fontId="3" fillId="0" borderId="0" xfId="0" applyNumberFormat="1" applyFont="1" applyAlignment="1">
      <alignment horizontal="left" vertical="top" wrapText="1"/>
      <protection locked="0"/>
    </xf>
    <xf numFmtId="164" fontId="4" fillId="0" borderId="0" xfId="0" applyNumberFormat="1" applyFont="1" applyAlignment="1">
      <alignment horizontal="right" vertical="top" wrapText="1"/>
      <protection locked="0"/>
    </xf>
    <xf numFmtId="0" fontId="2" fillId="0" borderId="0" xfId="0" applyNumberFormat="1" applyFont="1" applyAlignment="1">
      <alignment horizontal="left" vertical="top" wrapText="1"/>
      <protection locked="0"/>
    </xf>
    <xf numFmtId="168" fontId="2" fillId="0" borderId="0" xfId="0" applyNumberFormat="1" applyFont="1" applyAlignment="1">
      <alignment horizontal="right" vertical="top"/>
      <protection locked="0"/>
    </xf>
    <xf numFmtId="164" fontId="5" fillId="0" borderId="0" xfId="0" applyNumberFormat="1" applyFont="1" applyAlignment="1">
      <alignment horizontal="right" vertical="top" wrapText="1"/>
      <protection locked="0"/>
    </xf>
    <xf numFmtId="166" fontId="0" fillId="0" borderId="0" xfId="0" applyNumberFormat="1" applyFont="1" applyAlignment="1">
      <alignment horizontal="right" vertical="top"/>
      <protection locked="0"/>
    </xf>
    <xf numFmtId="164" fontId="0" fillId="0" borderId="0" xfId="0" applyNumberFormat="1" applyFont="1" applyAlignment="1">
      <alignment horizontal="right" vertical="top"/>
      <protection locked="0"/>
    </xf>
    <xf numFmtId="164" fontId="2" fillId="0" borderId="0" xfId="0" applyNumberFormat="1" applyFont="1" applyAlignment="1">
      <alignment horizontal="center" vertical="center"/>
      <protection locked="0"/>
    </xf>
    <xf numFmtId="164" fontId="0" fillId="2" borderId="0" xfId="0" applyNumberFormat="1" applyFont="1" applyFill="1" applyBorder="1" applyAlignment="1">
      <alignment horizontal="right" vertical="top"/>
      <protection locked="0"/>
    </xf>
    <xf numFmtId="167" fontId="0" fillId="0" borderId="0" xfId="0" applyNumberFormat="1" applyFont="1" applyAlignment="1">
      <alignment horizontal="right" vertical="top"/>
      <protection locked="0"/>
    </xf>
    <xf numFmtId="169" fontId="0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center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164" fontId="0" fillId="2" borderId="0" xfId="0" applyNumberFormat="1" applyFont="1" applyFill="1" applyBorder="1" applyAlignment="1">
      <alignment horizontal="right" vertical="center"/>
      <protection locked="0"/>
    </xf>
    <xf numFmtId="170" fontId="0" fillId="0" borderId="0" xfId="0" applyNumberFormat="1" applyFont="1" applyAlignment="1">
      <alignment horizontal="right" vertical="top"/>
      <protection locked="0"/>
    </xf>
    <xf numFmtId="49" fontId="2" fillId="0" borderId="0" xfId="0" applyNumberFormat="1" applyFont="1" applyAlignment="1">
      <alignment horizontal="center" vertical="center"/>
      <protection locked="0"/>
    </xf>
    <xf numFmtId="164" fontId="0" fillId="0" borderId="0" xfId="0" applyNumberFormat="1" applyFont="1" applyAlignment="1">
      <alignment horizontal="right" vertical="top" wrapText="1"/>
      <protection locked="0"/>
    </xf>
    <xf numFmtId="49" fontId="0" fillId="0" borderId="0" xfId="0" applyNumberFormat="1" applyFont="1" applyAlignment="1">
      <alignment horizontal="left" vertical="top"/>
      <protection locked="0"/>
    </xf>
    <xf numFmtId="49" fontId="0" fillId="0" borderId="11" xfId="0" applyNumberFormat="1" applyFont="1" applyBorder="1" applyAlignment="1">
      <alignment horizontal="left" vertical="top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164" fontId="2" fillId="0" borderId="0" xfId="0" applyNumberFormat="1" applyFont="1" applyAlignment="1">
      <alignment horizontal="right" vertical="top"/>
      <protection locked="0"/>
    </xf>
    <xf numFmtId="167" fontId="2" fillId="0" borderId="0" xfId="0" applyNumberFormat="1" applyFont="1" applyAlignment="1">
      <alignment horizontal="right" vertical="top"/>
      <protection locked="0"/>
    </xf>
    <xf numFmtId="167" fontId="0" fillId="0" borderId="0" xfId="0" applyNumberFormat="1" applyFont="1" applyAlignment="1">
      <alignment horizontal="right" vertical="top" wrapText="1"/>
      <protection locked="0"/>
    </xf>
    <xf numFmtId="164" fontId="0" fillId="0" borderId="2" xfId="0" applyNumberFormat="1" applyFont="1" applyBorder="1" applyAlignment="1">
      <alignment horizontal="right" vertical="top" wrapText="1"/>
      <protection locked="0"/>
    </xf>
    <xf numFmtId="165" fontId="0" fillId="0" borderId="9" xfId="0" applyNumberFormat="1" applyFont="1" applyBorder="1" applyAlignment="1">
      <alignment horizontal="center" vertical="top" wrapText="1"/>
      <protection locked="0"/>
    </xf>
    <xf numFmtId="165" fontId="0" fillId="0" borderId="10" xfId="0" applyNumberFormat="1" applyFont="1" applyBorder="1" applyAlignment="1">
      <alignment horizontal="center" vertical="top" wrapText="1"/>
      <protection locked="0"/>
    </xf>
    <xf numFmtId="166" fontId="0" fillId="0" borderId="0" xfId="0" applyNumberFormat="1" applyFont="1" applyAlignment="1">
      <alignment horizontal="right" vertical="top" wrapText="1"/>
      <protection locked="0"/>
    </xf>
    <xf numFmtId="49" fontId="0" fillId="0" borderId="4" xfId="0" applyNumberFormat="1" applyFont="1" applyBorder="1" applyAlignment="1">
      <alignment horizontal="center" vertical="center" wrapText="1"/>
      <protection locked="0"/>
    </xf>
    <xf numFmtId="49" fontId="0" fillId="0" borderId="6" xfId="0" applyNumberFormat="1" applyFont="1" applyBorder="1" applyAlignment="1">
      <alignment horizontal="center" vertical="center" wrapText="1"/>
      <protection locked="0"/>
    </xf>
    <xf numFmtId="49" fontId="0" fillId="0" borderId="7" xfId="0" applyNumberFormat="1" applyFont="1" applyBorder="1" applyAlignment="1">
      <alignment horizontal="center" vertical="center" wrapText="1"/>
      <protection locked="0"/>
    </xf>
    <xf numFmtId="49" fontId="0" fillId="0" borderId="8" xfId="0" applyNumberFormat="1" applyFont="1" applyBorder="1" applyAlignment="1">
      <alignment horizontal="center" vertical="center" wrapText="1"/>
      <protection locked="0"/>
    </xf>
    <xf numFmtId="49" fontId="0" fillId="0" borderId="5" xfId="0" applyNumberFormat="1" applyFont="1" applyBorder="1" applyAlignment="1">
      <alignment horizontal="center" vertical="center" wrapText="1"/>
      <protection locked="0"/>
    </xf>
    <xf numFmtId="49" fontId="0" fillId="0" borderId="4" xfId="0" applyNumberFormat="1" applyFont="1" applyBorder="1" applyAlignment="1">
      <alignment horizontal="center" vertical="top" wrapText="1"/>
      <protection locked="0"/>
    </xf>
    <xf numFmtId="49" fontId="0" fillId="0" borderId="6" xfId="0" applyNumberFormat="1" applyFont="1" applyBorder="1" applyAlignment="1">
      <alignment horizontal="center" vertical="top" wrapText="1"/>
      <protection locked="0"/>
    </xf>
    <xf numFmtId="49" fontId="2" fillId="0" borderId="0" xfId="0" applyNumberFormat="1" applyFont="1" applyAlignment="1">
      <alignment horizontal="center" vertical="top"/>
      <protection locked="0"/>
    </xf>
    <xf numFmtId="49" fontId="0" fillId="0" borderId="5" xfId="0" applyNumberFormat="1" applyFont="1" applyBorder="1" applyAlignment="1">
      <alignment horizontal="center" vertical="top" wrapText="1"/>
      <protection locked="0"/>
    </xf>
    <xf numFmtId="49" fontId="0" fillId="0" borderId="0" xfId="0" applyNumberFormat="1" applyFont="1" applyAlignment="1">
      <alignment horizontal="right" vertical="top"/>
      <protection locked="0"/>
    </xf>
    <xf numFmtId="49" fontId="0" fillId="0" borderId="4" xfId="0" applyNumberFormat="1" applyFont="1" applyBorder="1" applyAlignment="1">
      <alignment horizontal="center" vertical="top"/>
      <protection locked="0"/>
    </xf>
    <xf numFmtId="49" fontId="0" fillId="0" borderId="6" xfId="0" applyNumberFormat="1" applyFont="1" applyBorder="1" applyAlignment="1">
      <alignment horizontal="center" vertical="top"/>
      <protection locked="0"/>
    </xf>
    <xf numFmtId="49" fontId="0" fillId="0" borderId="2" xfId="0" applyNumberFormat="1" applyFont="1" applyBorder="1" applyAlignment="1">
      <alignment horizontal="left" vertical="top"/>
      <protection locked="0"/>
    </xf>
    <xf numFmtId="49" fontId="0" fillId="0" borderId="2" xfId="0" applyNumberFormat="1" applyFont="1" applyBorder="1" applyAlignment="1">
      <alignment horizontal="right" vertical="top"/>
      <protection locked="0"/>
    </xf>
    <xf numFmtId="49" fontId="0" fillId="0" borderId="0" xfId="0" applyNumberFormat="1" applyFont="1" applyAlignment="1">
      <alignment horizontal="right" vertical="top" wrapText="1"/>
      <protection locked="0"/>
    </xf>
    <xf numFmtId="164" fontId="0" fillId="0" borderId="0" xfId="0" applyNumberFormat="1" applyFont="1" applyAlignment="1">
      <alignment horizontal="right" vertical="top"/>
      <protection locked="0"/>
    </xf>
    <xf numFmtId="166" fontId="0" fillId="0" borderId="0" xfId="0" applyNumberFormat="1" applyFont="1" applyAlignment="1">
      <alignment horizontal="right" vertical="top"/>
      <protection locked="0"/>
    </xf>
    <xf numFmtId="49" fontId="2" fillId="2" borderId="0" xfId="0" applyNumberFormat="1" applyFont="1" applyFill="1" applyBorder="1" applyAlignment="1">
      <alignment horizontal="left" vertical="top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49" fontId="0" fillId="0" borderId="0" xfId="0" applyNumberFormat="1" applyFont="1" applyAlignment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left" vertical="center"/>
      <protection locked="0"/>
    </xf>
    <xf numFmtId="170" fontId="0" fillId="0" borderId="0" xfId="0" applyNumberFormat="1" applyFont="1" applyAlignment="1">
      <alignment horizontal="right" vertical="top"/>
      <protection locked="0"/>
    </xf>
    <xf numFmtId="167" fontId="0" fillId="3" borderId="0" xfId="0" applyNumberFormat="1" applyFont="1" applyFill="1" applyAlignment="1">
      <alignment horizontal="right" vertical="top" wrapText="1"/>
      <protection locked="0"/>
    </xf>
    <xf numFmtId="167" fontId="2" fillId="3" borderId="0" xfId="0" applyNumberFormat="1" applyFont="1" applyFill="1" applyAlignment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152"/>
  <sheetViews>
    <sheetView tabSelected="1" topLeftCell="C28" workbookViewId="0">
      <selection activeCell="I130" sqref="I130:J130"/>
    </sheetView>
  </sheetViews>
  <sheetFormatPr defaultRowHeight="10.5"/>
  <cols>
    <col min="1" max="2" width="8.28515625" style="1" customWidth="1"/>
    <col min="3" max="3" width="64.140625" style="1" customWidth="1"/>
    <col min="4" max="4" width="14.7109375" style="1" customWidth="1"/>
    <col min="5" max="5" width="10.85546875" style="1" customWidth="1"/>
    <col min="6" max="6" width="9" style="1" customWidth="1"/>
    <col min="7" max="7" width="10.85546875" style="1" customWidth="1"/>
    <col min="8" max="9" width="5.5703125" style="1" customWidth="1"/>
    <col min="10" max="10" width="10.85546875" style="1" customWidth="1"/>
    <col min="11" max="18" width="9.140625" style="1" hidden="1" customWidth="1"/>
    <col min="19" max="16384" width="9.140625" style="1"/>
  </cols>
  <sheetData>
    <row r="1" spans="1:10">
      <c r="A1" s="2" t="s">
        <v>0</v>
      </c>
      <c r="D1" s="2" t="s">
        <v>1</v>
      </c>
      <c r="J1" s="3" t="s">
        <v>2</v>
      </c>
    </row>
    <row r="3" spans="1:10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</row>
    <row r="5" spans="1:10">
      <c r="A5" s="31"/>
      <c r="B5" s="31"/>
      <c r="C5" s="31"/>
      <c r="D5" s="31"/>
      <c r="E5" s="31"/>
      <c r="F5" s="31"/>
      <c r="G5" s="47" t="s">
        <v>5</v>
      </c>
      <c r="H5" s="50"/>
      <c r="I5" s="50"/>
      <c r="J5" s="48"/>
    </row>
    <row r="6" spans="1:10">
      <c r="A6" s="51" t="s">
        <v>6</v>
      </c>
      <c r="B6" s="51"/>
      <c r="C6" s="51"/>
      <c r="D6" s="51"/>
      <c r="E6" s="51"/>
      <c r="F6" s="51"/>
      <c r="G6" s="47" t="s">
        <v>7</v>
      </c>
      <c r="H6" s="50"/>
      <c r="I6" s="50"/>
      <c r="J6" s="48"/>
    </row>
    <row r="7" spans="1:10">
      <c r="A7" s="32" t="s">
        <v>8</v>
      </c>
      <c r="B7" s="32"/>
      <c r="C7" s="32"/>
      <c r="D7" s="32"/>
      <c r="E7" s="32"/>
      <c r="F7" s="32"/>
      <c r="G7" s="32"/>
      <c r="H7" s="32"/>
      <c r="I7" s="32"/>
      <c r="J7" s="32"/>
    </row>
    <row r="8" spans="1:10">
      <c r="A8" s="32"/>
      <c r="B8" s="32"/>
      <c r="C8" s="32"/>
      <c r="D8" s="32"/>
      <c r="E8" s="32"/>
      <c r="F8" s="5" t="s">
        <v>9</v>
      </c>
      <c r="G8" s="47"/>
      <c r="H8" s="50"/>
      <c r="I8" s="50"/>
      <c r="J8" s="48"/>
    </row>
    <row r="9" spans="1:10">
      <c r="A9" s="54" t="s">
        <v>10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>
      <c r="A10" s="32"/>
      <c r="B10" s="32"/>
      <c r="C10" s="32"/>
      <c r="D10" s="32"/>
      <c r="E10" s="32"/>
      <c r="F10" s="5" t="s">
        <v>9</v>
      </c>
      <c r="G10" s="47"/>
      <c r="H10" s="50"/>
      <c r="I10" s="50"/>
      <c r="J10" s="48"/>
    </row>
    <row r="11" spans="1:10">
      <c r="A11" s="54" t="s">
        <v>11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>
      <c r="A12" s="32"/>
      <c r="B12" s="32"/>
      <c r="C12" s="32"/>
      <c r="D12" s="32"/>
      <c r="E12" s="32"/>
      <c r="F12" s="5" t="s">
        <v>9</v>
      </c>
      <c r="G12" s="47"/>
      <c r="H12" s="50"/>
      <c r="I12" s="50"/>
      <c r="J12" s="48"/>
    </row>
    <row r="13" spans="1:10">
      <c r="A13" s="54" t="s">
        <v>12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>
      <c r="A14" s="32" t="s">
        <v>13</v>
      </c>
      <c r="B14" s="32"/>
      <c r="C14" s="32"/>
      <c r="D14" s="32"/>
      <c r="E14" s="32"/>
      <c r="F14" s="5"/>
      <c r="G14" s="47"/>
      <c r="H14" s="50"/>
      <c r="I14" s="50"/>
      <c r="J14" s="48"/>
    </row>
    <row r="15" spans="1:10">
      <c r="A15" s="54" t="s">
        <v>14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32" t="s">
        <v>15</v>
      </c>
      <c r="B16" s="32"/>
      <c r="C16" s="32"/>
      <c r="D16" s="32"/>
      <c r="E16" s="32"/>
      <c r="G16" s="47"/>
      <c r="H16" s="50"/>
      <c r="I16" s="50"/>
      <c r="J16" s="48"/>
    </row>
    <row r="17" spans="1:10">
      <c r="A17" s="55" t="s">
        <v>16</v>
      </c>
      <c r="B17" s="55"/>
      <c r="C17" s="55"/>
      <c r="D17" s="55"/>
      <c r="E17" s="55"/>
      <c r="F17" s="55"/>
      <c r="G17" s="47"/>
      <c r="H17" s="50"/>
      <c r="I17" s="50"/>
      <c r="J17" s="48"/>
    </row>
    <row r="18" spans="1:10">
      <c r="A18" s="51" t="s">
        <v>17</v>
      </c>
      <c r="B18" s="51"/>
      <c r="C18" s="51"/>
      <c r="D18" s="51"/>
      <c r="E18" s="51"/>
      <c r="F18" s="7" t="s">
        <v>18</v>
      </c>
      <c r="G18" s="47"/>
      <c r="H18" s="50"/>
      <c r="I18" s="50"/>
      <c r="J18" s="48"/>
    </row>
    <row r="19" spans="1:10">
      <c r="A19" s="32"/>
      <c r="B19" s="32"/>
      <c r="C19" s="32"/>
      <c r="D19" s="32"/>
      <c r="E19" s="32"/>
      <c r="F19" s="7" t="s">
        <v>19</v>
      </c>
      <c r="G19" s="7"/>
      <c r="H19" s="52"/>
      <c r="I19" s="53"/>
      <c r="J19" s="7"/>
    </row>
    <row r="20" spans="1:10">
      <c r="A20" s="51" t="s">
        <v>20</v>
      </c>
      <c r="B20" s="51"/>
      <c r="C20" s="51"/>
      <c r="D20" s="51"/>
      <c r="E20" s="51"/>
      <c r="F20" s="51"/>
      <c r="G20" s="47"/>
      <c r="H20" s="50"/>
      <c r="I20" s="50"/>
      <c r="J20" s="48"/>
    </row>
    <row r="21" spans="1:10">
      <c r="A21" s="31"/>
      <c r="B21" s="31"/>
      <c r="C21" s="31"/>
      <c r="D21" s="44" t="s">
        <v>21</v>
      </c>
      <c r="E21" s="44" t="s">
        <v>22</v>
      </c>
      <c r="G21" s="47" t="s">
        <v>23</v>
      </c>
      <c r="H21" s="50"/>
      <c r="I21" s="50"/>
      <c r="J21" s="48"/>
    </row>
    <row r="22" spans="1:10">
      <c r="A22" s="31"/>
      <c r="B22" s="31"/>
      <c r="C22" s="31"/>
      <c r="D22" s="45"/>
      <c r="E22" s="45"/>
      <c r="G22" s="47" t="s">
        <v>24</v>
      </c>
      <c r="H22" s="48"/>
      <c r="I22" s="47" t="s">
        <v>25</v>
      </c>
      <c r="J22" s="48"/>
    </row>
    <row r="23" spans="1:10">
      <c r="A23" s="31"/>
      <c r="B23" s="31"/>
      <c r="C23" s="31"/>
      <c r="D23" s="8" t="s">
        <v>26</v>
      </c>
      <c r="E23" s="8"/>
      <c r="G23" s="47"/>
      <c r="H23" s="48"/>
      <c r="I23" s="47"/>
      <c r="J23" s="48"/>
    </row>
    <row r="24" spans="1:10">
      <c r="A24" s="49" t="s">
        <v>27</v>
      </c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 t="s">
        <v>28</v>
      </c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32" t="s">
        <v>29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>
      <c r="A27" s="32"/>
      <c r="B27" s="32"/>
      <c r="C27" s="32"/>
      <c r="D27" s="32"/>
      <c r="E27" s="32"/>
      <c r="F27" s="32"/>
      <c r="G27" s="32"/>
      <c r="H27" s="32"/>
      <c r="I27" s="32"/>
      <c r="J27" s="6" t="s">
        <v>30</v>
      </c>
    </row>
    <row r="28" spans="1:10">
      <c r="A28" s="9"/>
      <c r="B28" s="9"/>
      <c r="C28" s="9"/>
      <c r="D28" s="9"/>
      <c r="E28" s="9"/>
      <c r="F28" s="9"/>
      <c r="G28" s="9"/>
      <c r="H28" s="9"/>
      <c r="I28" s="9"/>
    </row>
    <row r="29" spans="1:10">
      <c r="E29" s="5" t="s">
        <v>31</v>
      </c>
      <c r="F29" s="35" t="str">
        <f ca="1">TEXT((I130)/1000,"# ##0"&amp;GetSeparator()&amp;"000")</f>
        <v>1 273,541</v>
      </c>
      <c r="G29" s="35"/>
      <c r="H29" s="35"/>
      <c r="I29" s="35"/>
      <c r="J29" s="11" t="s">
        <v>32</v>
      </c>
    </row>
    <row r="30" spans="1:10">
      <c r="E30" s="5" t="s">
        <v>33</v>
      </c>
      <c r="F30" s="35" t="str">
        <f ca="1">TEXT((I141)/1000,"# ##0"&amp;GetSeparator()&amp;"000")</f>
        <v> 20,777</v>
      </c>
      <c r="G30" s="35"/>
      <c r="H30" s="35"/>
      <c r="I30" s="35"/>
      <c r="J30" s="11" t="s">
        <v>34</v>
      </c>
    </row>
    <row r="31" spans="1:10">
      <c r="E31" s="5" t="s">
        <v>35</v>
      </c>
      <c r="F31" s="35" t="str">
        <f ca="1">TEXT((I138)/1000,"# ##0"&amp;GetSeparator()&amp;"000")</f>
        <v> 193,123</v>
      </c>
      <c r="G31" s="35"/>
      <c r="H31" s="35"/>
      <c r="I31" s="35"/>
      <c r="J31" s="11" t="s">
        <v>32</v>
      </c>
    </row>
    <row r="32" spans="1:10">
      <c r="A32" s="32" t="s">
        <v>36</v>
      </c>
      <c r="B32" s="32"/>
      <c r="C32" s="32"/>
      <c r="D32" s="32"/>
      <c r="E32" s="32"/>
      <c r="F32" s="32"/>
      <c r="G32" s="32"/>
      <c r="H32" s="32"/>
      <c r="I32" s="32"/>
      <c r="J32" s="32"/>
    </row>
    <row r="33" spans="1:12" ht="4.7" customHeight="1"/>
    <row r="34" spans="1:12" ht="11.1" customHeight="1">
      <c r="A34" s="42" t="s">
        <v>37</v>
      </c>
      <c r="B34" s="43"/>
      <c r="C34" s="44" t="s">
        <v>38</v>
      </c>
      <c r="D34" s="44" t="s">
        <v>39</v>
      </c>
      <c r="E34" s="44" t="s">
        <v>40</v>
      </c>
      <c r="F34" s="42" t="s">
        <v>41</v>
      </c>
      <c r="G34" s="46"/>
      <c r="H34" s="46"/>
      <c r="I34" s="46"/>
      <c r="J34" s="43"/>
    </row>
    <row r="35" spans="1:12" ht="33" customHeight="1">
      <c r="A35" s="12" t="s">
        <v>42</v>
      </c>
      <c r="B35" s="12" t="s">
        <v>43</v>
      </c>
      <c r="C35" s="45"/>
      <c r="D35" s="45"/>
      <c r="E35" s="45"/>
      <c r="F35" s="12" t="s">
        <v>44</v>
      </c>
      <c r="G35" s="42" t="s">
        <v>45</v>
      </c>
      <c r="H35" s="43"/>
      <c r="I35" s="42" t="s">
        <v>46</v>
      </c>
      <c r="J35" s="43"/>
    </row>
    <row r="36" spans="1:1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39">
        <v>7</v>
      </c>
      <c r="H36" s="40"/>
      <c r="I36" s="39">
        <v>8</v>
      </c>
      <c r="J36" s="40"/>
    </row>
    <row r="37" spans="1:12" ht="94.5">
      <c r="A37" s="4" t="s">
        <v>47</v>
      </c>
      <c r="B37" s="4" t="s">
        <v>47</v>
      </c>
      <c r="C37" s="14" t="s">
        <v>48</v>
      </c>
      <c r="D37" s="14" t="s">
        <v>49</v>
      </c>
      <c r="E37" s="4" t="s">
        <v>50</v>
      </c>
      <c r="F37" s="1">
        <v>342.97</v>
      </c>
      <c r="G37" s="41">
        <f>'Базовые цены за единицу'!B6</f>
        <v>2699.71</v>
      </c>
      <c r="H37" s="41"/>
      <c r="I37" s="64">
        <f>'Базовые цены с учетом расхода'!B6</f>
        <v>925919.53799999994</v>
      </c>
      <c r="J37" s="64"/>
      <c r="K37" s="1" t="s">
        <v>51</v>
      </c>
    </row>
    <row r="38" spans="1:12" hidden="1">
      <c r="C38" s="15" t="s">
        <v>52</v>
      </c>
      <c r="G38" s="31"/>
      <c r="H38" s="31"/>
      <c r="I38" s="31">
        <v>89991.898000000001</v>
      </c>
      <c r="J38" s="31"/>
    </row>
    <row r="39" spans="1:12" hidden="1">
      <c r="C39" s="15" t="s">
        <v>53</v>
      </c>
      <c r="G39" s="31"/>
      <c r="H39" s="31"/>
      <c r="I39" s="31">
        <v>835927.64</v>
      </c>
      <c r="J39" s="31"/>
    </row>
    <row r="40" spans="1:12" hidden="1">
      <c r="C40" s="15" t="s">
        <v>54</v>
      </c>
      <c r="G40" s="31"/>
      <c r="H40" s="31"/>
      <c r="I40" s="31">
        <v>103131.079</v>
      </c>
      <c r="J40" s="31"/>
    </row>
    <row r="41" spans="1:12" hidden="1">
      <c r="C41" s="15" t="s">
        <v>55</v>
      </c>
      <c r="G41" s="31"/>
      <c r="H41" s="31"/>
      <c r="I41" s="31"/>
      <c r="J41" s="31"/>
    </row>
    <row r="42" spans="1:12" hidden="1">
      <c r="C42" s="15" t="s">
        <v>56</v>
      </c>
      <c r="G42" s="31"/>
      <c r="H42" s="31"/>
      <c r="I42" s="31"/>
      <c r="J42" s="31"/>
    </row>
    <row r="43" spans="1:12" ht="21" hidden="1">
      <c r="C43" s="15" t="s">
        <v>57</v>
      </c>
      <c r="F43" s="16"/>
      <c r="G43" s="31"/>
      <c r="H43" s="31"/>
      <c r="I43" s="31"/>
      <c r="J43" s="31"/>
      <c r="K43" s="1" t="s">
        <v>58</v>
      </c>
    </row>
    <row r="44" spans="1:12" hidden="1">
      <c r="C44" s="15" t="s">
        <v>59</v>
      </c>
      <c r="G44" s="31"/>
      <c r="H44" s="31"/>
      <c r="I44" s="31"/>
      <c r="J44" s="31"/>
    </row>
    <row r="45" spans="1:12" hidden="1">
      <c r="C45" s="15" t="s">
        <v>60</v>
      </c>
      <c r="G45" s="31"/>
      <c r="H45" s="31"/>
      <c r="I45" s="31"/>
      <c r="J45" s="31"/>
    </row>
    <row r="46" spans="1:12" hidden="1">
      <c r="C46" s="15" t="s">
        <v>61</v>
      </c>
      <c r="G46" s="31"/>
      <c r="H46" s="31"/>
      <c r="I46" s="31"/>
      <c r="J46" s="31"/>
    </row>
    <row r="47" spans="1:12">
      <c r="C47" s="15" t="s">
        <v>62</v>
      </c>
      <c r="F47" s="1">
        <v>110</v>
      </c>
      <c r="G47" s="31"/>
      <c r="H47" s="31"/>
      <c r="I47" s="37">
        <f>IF('Базовые цены с учетом расхода'!N6&gt;0,'Базовые цены с учетом расхода'!N6,IF('Базовые цены с учетом расхода'!N6&lt;0,'Базовые цены с учетом расхода'!N6,""))</f>
        <v>212435.27499999999</v>
      </c>
      <c r="J47" s="31"/>
      <c r="L47" s="14" t="s">
        <v>63</v>
      </c>
    </row>
    <row r="48" spans="1:12" hidden="1">
      <c r="C48" s="15" t="s">
        <v>64</v>
      </c>
      <c r="F48" s="1">
        <v>110</v>
      </c>
      <c r="G48" s="31"/>
      <c r="H48" s="31"/>
      <c r="I48" s="37">
        <f>IF('Базовые цены с учетом расхода'!P6&gt;0,'Базовые цены с учетом расхода'!P6,IF('Базовые цены с учетом расхода'!P6&lt;0,'Базовые цены с учетом расхода'!P6,""))</f>
        <v>98991.088000000003</v>
      </c>
      <c r="J48" s="31"/>
      <c r="L48" s="14" t="s">
        <v>65</v>
      </c>
    </row>
    <row r="49" spans="1:18" hidden="1">
      <c r="C49" s="15" t="s">
        <v>66</v>
      </c>
      <c r="F49" s="1">
        <v>110</v>
      </c>
      <c r="G49" s="31"/>
      <c r="H49" s="31"/>
      <c r="I49" s="37">
        <f>IF('Базовые цены с учетом расхода'!Q6&gt;0,'Базовые цены с учетом расхода'!Q6,IF('Базовые цены с учетом расхода'!Q6&lt;0,'Базовые цены с учетом расхода'!Q6,""))</f>
        <v>113444.18700000001</v>
      </c>
      <c r="J49" s="31"/>
      <c r="L49" s="14" t="s">
        <v>67</v>
      </c>
    </row>
    <row r="50" spans="1:18">
      <c r="C50" s="15" t="s">
        <v>68</v>
      </c>
      <c r="F50" s="1">
        <v>70</v>
      </c>
      <c r="G50" s="31"/>
      <c r="H50" s="31"/>
      <c r="I50" s="37">
        <f>IF('Базовые цены с учетом расхода'!O6&gt;0,'Базовые цены с учетом расхода'!O6,IF('Базовые цены с учетом расхода'!O6&lt;0,'Базовые цены с учетом расхода'!O6,""))</f>
        <v>135186.084</v>
      </c>
      <c r="J50" s="31"/>
      <c r="L50" s="14" t="s">
        <v>69</v>
      </c>
    </row>
    <row r="51" spans="1:18" hidden="1">
      <c r="C51" s="15" t="s">
        <v>70</v>
      </c>
      <c r="F51" s="1">
        <v>70</v>
      </c>
      <c r="G51" s="31"/>
      <c r="H51" s="31"/>
      <c r="I51" s="37">
        <f>IF('Базовые цены с учетом расхода'!R6&gt;0,'Базовые цены с учетом расхода'!R6,IF('Базовые цены с учетом расхода'!R6&lt;0,'Базовые цены с учетом расхода'!R6,""))</f>
        <v>62994.328999999998</v>
      </c>
      <c r="J51" s="31"/>
      <c r="L51" s="14" t="s">
        <v>71</v>
      </c>
    </row>
    <row r="52" spans="1:18" hidden="1">
      <c r="C52" s="15" t="s">
        <v>72</v>
      </c>
      <c r="F52" s="1">
        <v>70</v>
      </c>
      <c r="G52" s="31"/>
      <c r="H52" s="31"/>
      <c r="I52" s="37">
        <f>IF('Базовые цены с учетом расхода'!S6&gt;0,'Базовые цены с учетом расхода'!S6,IF('Базовые цены с учетом расхода'!S6&lt;0,'Базовые цены с учетом расхода'!S6,""))</f>
        <v>72191.755000000005</v>
      </c>
      <c r="J52" s="31"/>
      <c r="L52" s="14" t="s">
        <v>73</v>
      </c>
    </row>
    <row r="53" spans="1:18">
      <c r="C53" s="15" t="s">
        <v>74</v>
      </c>
      <c r="G53" s="31"/>
      <c r="H53" s="31"/>
      <c r="I53" s="37">
        <f>ROUND(IF(I37="",0,I37)+IF(I47="",0,I47)+IF(I50="",0,I50),3)</f>
        <v>1273540.8970000001</v>
      </c>
      <c r="J53" s="31"/>
    </row>
    <row r="54" spans="1:18">
      <c r="A54" s="9"/>
      <c r="B54" s="9"/>
      <c r="C54" s="9"/>
      <c r="D54" s="9"/>
      <c r="E54" s="9"/>
      <c r="F54" s="9"/>
      <c r="G54" s="38"/>
      <c r="H54" s="38"/>
      <c r="I54" s="38"/>
      <c r="J54" s="38"/>
    </row>
    <row r="55" spans="1:18">
      <c r="C55" s="17" t="s">
        <v>75</v>
      </c>
      <c r="F55" s="10"/>
      <c r="G55" s="31"/>
      <c r="H55" s="31"/>
      <c r="I55" s="36">
        <f>'Базовые концовки'!F7</f>
        <v>925919.53799999994</v>
      </c>
      <c r="J55" s="36"/>
      <c r="L55" s="18">
        <f>'Базовые концовки'!G7</f>
        <v>89991.898000000001</v>
      </c>
      <c r="M55" s="18">
        <f>'Базовые концовки'!H7</f>
        <v>835927.64</v>
      </c>
      <c r="N55" s="18">
        <f>'Базовые концовки'!I7</f>
        <v>103131.079</v>
      </c>
      <c r="O55" s="10">
        <f>'Базовые концовки'!J7</f>
        <v>11263.135</v>
      </c>
      <c r="P55" s="10">
        <f>'Базовые концовки'!K7</f>
        <v>9513.9878000000008</v>
      </c>
      <c r="Q55" s="18">
        <f>'Базовые концовки'!L7</f>
        <v>0</v>
      </c>
      <c r="R55" s="18">
        <f>'Базовые концовки'!M7</f>
        <v>0</v>
      </c>
    </row>
    <row r="56" spans="1:18" hidden="1">
      <c r="C56" s="17" t="s">
        <v>76</v>
      </c>
      <c r="E56" s="10"/>
      <c r="G56" s="31"/>
      <c r="H56" s="31"/>
      <c r="I56" s="36">
        <f>'Базовые концовки'!F8</f>
        <v>0</v>
      </c>
      <c r="J56" s="36"/>
      <c r="L56" s="18">
        <f>'Базовые концовки'!G8</f>
        <v>0</v>
      </c>
      <c r="M56" s="18">
        <f>'Базовые концовки'!H8</f>
        <v>0</v>
      </c>
      <c r="N56" s="18">
        <f>'Базовые концовки'!I8</f>
        <v>0</v>
      </c>
      <c r="O56" s="10">
        <f>'Базовые концовки'!J8</f>
        <v>0</v>
      </c>
      <c r="P56" s="10">
        <f>'Базовые концовки'!K8</f>
        <v>0</v>
      </c>
      <c r="Q56" s="18">
        <f>'Базовые концовки'!L8</f>
        <v>0</v>
      </c>
      <c r="R56" s="18">
        <f>'Базовые концовки'!M8</f>
        <v>0</v>
      </c>
    </row>
    <row r="57" spans="1:18" hidden="1">
      <c r="C57" s="17" t="s">
        <v>77</v>
      </c>
      <c r="E57" s="10"/>
      <c r="G57" s="31"/>
      <c r="H57" s="31"/>
      <c r="I57" s="36">
        <f ca="1">'Базовые концовки'!F9</f>
        <v>0</v>
      </c>
      <c r="J57" s="36"/>
      <c r="L57" s="18"/>
      <c r="M57" s="18"/>
      <c r="N57" s="18"/>
      <c r="O57" s="10"/>
      <c r="P57" s="10"/>
      <c r="Q57" s="18"/>
      <c r="R57" s="18"/>
    </row>
    <row r="58" spans="1:18" hidden="1">
      <c r="C58" s="17" t="s">
        <v>78</v>
      </c>
      <c r="E58" s="10"/>
      <c r="G58" s="31"/>
      <c r="H58" s="31"/>
      <c r="I58" s="36">
        <f ca="1">'Базовые концовки'!F10</f>
        <v>0</v>
      </c>
      <c r="J58" s="36"/>
      <c r="L58" s="18"/>
      <c r="M58" s="18"/>
      <c r="N58" s="18"/>
      <c r="O58" s="10"/>
      <c r="P58" s="10"/>
      <c r="Q58" s="18"/>
      <c r="R58" s="18"/>
    </row>
    <row r="59" spans="1:18" hidden="1">
      <c r="C59" s="17" t="s">
        <v>79</v>
      </c>
      <c r="E59" s="10"/>
      <c r="G59" s="31"/>
      <c r="H59" s="31"/>
      <c r="I59" s="36">
        <f ca="1">'Базовые концовки'!F11</f>
        <v>0</v>
      </c>
      <c r="J59" s="36"/>
      <c r="L59" s="18"/>
      <c r="M59" s="18"/>
      <c r="N59" s="18"/>
      <c r="O59" s="10"/>
      <c r="P59" s="10"/>
      <c r="Q59" s="18"/>
      <c r="R59" s="18"/>
    </row>
    <row r="60" spans="1:18" hidden="1">
      <c r="C60" s="17" t="s">
        <v>80</v>
      </c>
      <c r="E60" s="10"/>
      <c r="G60" s="31"/>
      <c r="H60" s="31"/>
      <c r="I60" s="36">
        <f ca="1">'Базовые концовки'!F12</f>
        <v>0</v>
      </c>
      <c r="J60" s="36"/>
      <c r="L60" s="18"/>
      <c r="M60" s="18"/>
      <c r="N60" s="18"/>
      <c r="O60" s="10"/>
      <c r="P60" s="10"/>
      <c r="Q60" s="18"/>
      <c r="R60" s="18"/>
    </row>
    <row r="61" spans="1:18" hidden="1">
      <c r="C61" s="17" t="s">
        <v>81</v>
      </c>
      <c r="E61" s="10"/>
      <c r="G61" s="31"/>
      <c r="H61" s="31"/>
      <c r="I61" s="36">
        <f ca="1">'Базовые концовки'!F13</f>
        <v>0</v>
      </c>
      <c r="J61" s="36"/>
      <c r="L61" s="18"/>
      <c r="M61" s="18"/>
      <c r="N61" s="18"/>
      <c r="O61" s="10"/>
      <c r="P61" s="10"/>
      <c r="Q61" s="18"/>
      <c r="R61" s="18"/>
    </row>
    <row r="62" spans="1:18" hidden="1">
      <c r="C62" s="17" t="s">
        <v>82</v>
      </c>
      <c r="E62" s="10"/>
      <c r="G62" s="31"/>
      <c r="H62" s="31"/>
      <c r="I62" s="36">
        <f ca="1">'Базовые концовки'!F14</f>
        <v>0</v>
      </c>
      <c r="J62" s="36"/>
      <c r="L62" s="18"/>
      <c r="M62" s="18"/>
      <c r="N62" s="18"/>
      <c r="O62" s="10"/>
      <c r="P62" s="10"/>
      <c r="Q62" s="18"/>
      <c r="R62" s="18"/>
    </row>
    <row r="63" spans="1:18" hidden="1">
      <c r="C63" s="17" t="s">
        <v>83</v>
      </c>
      <c r="E63" s="10"/>
      <c r="G63" s="31"/>
      <c r="H63" s="31"/>
      <c r="I63" s="36">
        <f ca="1">'Базовые концовки'!F15</f>
        <v>0</v>
      </c>
      <c r="J63" s="36"/>
      <c r="L63" s="18"/>
      <c r="M63" s="18"/>
      <c r="N63" s="18"/>
      <c r="O63" s="10"/>
      <c r="P63" s="10"/>
      <c r="Q63" s="18"/>
      <c r="R63" s="18"/>
    </row>
    <row r="64" spans="1:18" hidden="1">
      <c r="C64" s="17" t="s">
        <v>84</v>
      </c>
      <c r="E64" s="10"/>
      <c r="G64" s="31"/>
      <c r="H64" s="31"/>
      <c r="I64" s="36">
        <f ca="1">'Базовые концовки'!F16</f>
        <v>0</v>
      </c>
      <c r="J64" s="36"/>
      <c r="L64" s="18"/>
      <c r="M64" s="18"/>
      <c r="N64" s="18"/>
      <c r="O64" s="10"/>
      <c r="P64" s="10"/>
      <c r="Q64" s="18"/>
      <c r="R64" s="18"/>
    </row>
    <row r="65" spans="3:18" hidden="1">
      <c r="C65" s="17" t="s">
        <v>85</v>
      </c>
      <c r="E65" s="10"/>
      <c r="G65" s="31"/>
      <c r="H65" s="31"/>
      <c r="I65" s="36">
        <f ca="1">'Базовые концовки'!F17</f>
        <v>0</v>
      </c>
      <c r="J65" s="36"/>
      <c r="L65" s="18"/>
      <c r="M65" s="18"/>
      <c r="N65" s="18"/>
      <c r="O65" s="10"/>
      <c r="P65" s="10"/>
      <c r="Q65" s="18"/>
      <c r="R65" s="18"/>
    </row>
    <row r="66" spans="3:18" hidden="1">
      <c r="C66" s="17" t="s">
        <v>86</v>
      </c>
      <c r="E66" s="10"/>
      <c r="G66" s="31"/>
      <c r="H66" s="31"/>
      <c r="I66" s="36">
        <f>'Базовые концовки'!F18</f>
        <v>0</v>
      </c>
      <c r="J66" s="36"/>
      <c r="L66" s="18">
        <f>'Базовые концовки'!G18</f>
        <v>0</v>
      </c>
      <c r="M66" s="18">
        <f>'Базовые концовки'!H18</f>
        <v>0</v>
      </c>
      <c r="N66" s="18">
        <f>'Базовые концовки'!I18</f>
        <v>0</v>
      </c>
      <c r="O66" s="10">
        <f>'Базовые концовки'!J18</f>
        <v>0</v>
      </c>
      <c r="P66" s="10">
        <f>'Базовые концовки'!K18</f>
        <v>0</v>
      </c>
      <c r="Q66" s="18">
        <f>'Базовые концовки'!L18</f>
        <v>0</v>
      </c>
      <c r="R66" s="18">
        <f>'Базовые концовки'!M18</f>
        <v>0</v>
      </c>
    </row>
    <row r="67" spans="3:18" hidden="1">
      <c r="C67" s="17" t="s">
        <v>87</v>
      </c>
      <c r="E67" s="10"/>
      <c r="G67" s="31"/>
      <c r="H67" s="31"/>
      <c r="I67" s="36"/>
      <c r="J67" s="36"/>
      <c r="L67" s="18"/>
      <c r="M67" s="18"/>
      <c r="N67" s="18"/>
      <c r="O67" s="10"/>
      <c r="P67" s="10"/>
      <c r="Q67" s="18"/>
      <c r="R67" s="18"/>
    </row>
    <row r="68" spans="3:18" hidden="1">
      <c r="C68" s="17" t="s">
        <v>88</v>
      </c>
      <c r="E68" s="10"/>
      <c r="G68" s="31"/>
      <c r="H68" s="31"/>
      <c r="I68" s="36">
        <f>'Базовые концовки'!G20</f>
        <v>0</v>
      </c>
      <c r="J68" s="36"/>
      <c r="L68" s="18">
        <f>'Базовые концовки'!G20</f>
        <v>0</v>
      </c>
      <c r="M68" s="18"/>
      <c r="N68" s="18"/>
      <c r="O68" s="10"/>
      <c r="P68" s="10"/>
      <c r="Q68" s="18"/>
      <c r="R68" s="18"/>
    </row>
    <row r="69" spans="3:18" hidden="1">
      <c r="C69" s="17" t="s">
        <v>89</v>
      </c>
      <c r="E69" s="10"/>
      <c r="G69" s="31"/>
      <c r="H69" s="31"/>
      <c r="I69" s="36">
        <f>'Базовые концовки'!F21</f>
        <v>0</v>
      </c>
      <c r="J69" s="36"/>
      <c r="L69" s="18"/>
      <c r="M69" s="18"/>
      <c r="N69" s="18"/>
      <c r="O69" s="10"/>
      <c r="P69" s="10"/>
      <c r="Q69" s="18"/>
      <c r="R69" s="18"/>
    </row>
    <row r="70" spans="3:18" hidden="1">
      <c r="C70" s="17" t="s">
        <v>90</v>
      </c>
      <c r="E70" s="10"/>
      <c r="G70" s="31"/>
      <c r="H70" s="31"/>
      <c r="I70" s="36">
        <f ca="1">'Базовые концовки'!F22</f>
        <v>0</v>
      </c>
      <c r="J70" s="36"/>
      <c r="L70" s="18"/>
      <c r="M70" s="18"/>
      <c r="N70" s="18"/>
      <c r="O70" s="10"/>
      <c r="P70" s="10"/>
      <c r="Q70" s="18"/>
      <c r="R70" s="18"/>
    </row>
    <row r="71" spans="3:18" hidden="1">
      <c r="C71" s="17" t="s">
        <v>91</v>
      </c>
      <c r="E71" s="10"/>
      <c r="G71" s="31"/>
      <c r="H71" s="31"/>
      <c r="I71" s="36">
        <f>'Базовые концовки'!F23</f>
        <v>0</v>
      </c>
      <c r="J71" s="36"/>
      <c r="L71" s="18"/>
      <c r="M71" s="18"/>
      <c r="N71" s="18"/>
      <c r="O71" s="10"/>
      <c r="P71" s="10"/>
      <c r="Q71" s="18"/>
      <c r="R71" s="18"/>
    </row>
    <row r="72" spans="3:18" hidden="1">
      <c r="C72" s="17" t="s">
        <v>92</v>
      </c>
      <c r="E72" s="10"/>
      <c r="G72" s="31"/>
      <c r="H72" s="31"/>
      <c r="I72" s="36">
        <f>'Базовые концовки'!F24</f>
        <v>0</v>
      </c>
      <c r="J72" s="36"/>
      <c r="L72" s="18"/>
      <c r="M72" s="18"/>
      <c r="N72" s="18"/>
      <c r="O72" s="10"/>
      <c r="P72" s="10"/>
      <c r="Q72" s="18"/>
      <c r="R72" s="18"/>
    </row>
    <row r="73" spans="3:18" hidden="1">
      <c r="C73" s="17" t="s">
        <v>93</v>
      </c>
      <c r="E73" s="10"/>
      <c r="G73" s="31"/>
      <c r="H73" s="31"/>
      <c r="I73" s="36">
        <f>'Базовые концовки'!F25</f>
        <v>0</v>
      </c>
      <c r="J73" s="36"/>
      <c r="L73" s="18"/>
      <c r="M73" s="18"/>
      <c r="N73" s="18"/>
      <c r="O73" s="10"/>
      <c r="P73" s="10"/>
      <c r="Q73" s="18"/>
      <c r="R73" s="18"/>
    </row>
    <row r="74" spans="3:18" hidden="1">
      <c r="C74" s="17" t="s">
        <v>84</v>
      </c>
      <c r="E74" s="10"/>
      <c r="G74" s="31"/>
      <c r="H74" s="31"/>
      <c r="I74" s="36">
        <f ca="1">'Базовые концовки'!F26</f>
        <v>0</v>
      </c>
      <c r="J74" s="36"/>
      <c r="L74" s="18"/>
      <c r="M74" s="18"/>
      <c r="N74" s="18"/>
      <c r="O74" s="10"/>
      <c r="P74" s="10"/>
      <c r="Q74" s="18"/>
      <c r="R74" s="18"/>
    </row>
    <row r="75" spans="3:18" hidden="1">
      <c r="C75" s="17" t="s">
        <v>94</v>
      </c>
      <c r="E75" s="10"/>
      <c r="G75" s="31"/>
      <c r="H75" s="31"/>
      <c r="I75" s="36">
        <f>'Базовые концовки'!F27</f>
        <v>0</v>
      </c>
      <c r="J75" s="36"/>
      <c r="L75" s="18"/>
      <c r="M75" s="18"/>
      <c r="N75" s="18"/>
      <c r="O75" s="10"/>
      <c r="P75" s="10"/>
      <c r="Q75" s="18"/>
      <c r="R75" s="18"/>
    </row>
    <row r="76" spans="3:18">
      <c r="C76" s="17" t="s">
        <v>95</v>
      </c>
      <c r="F76" s="10"/>
      <c r="G76" s="31"/>
      <c r="H76" s="31"/>
      <c r="I76" s="36">
        <f>'Базовые концовки'!F28</f>
        <v>925919.53799999994</v>
      </c>
      <c r="J76" s="36"/>
      <c r="L76" s="18">
        <f>'Базовые концовки'!G28</f>
        <v>89991.898000000001</v>
      </c>
      <c r="M76" s="18">
        <f>'Базовые концовки'!H28</f>
        <v>835927.64</v>
      </c>
      <c r="N76" s="18">
        <f>'Базовые концовки'!I28</f>
        <v>103131.079</v>
      </c>
      <c r="O76" s="10">
        <f>'Базовые концовки'!J28</f>
        <v>11263.135</v>
      </c>
      <c r="P76" s="10">
        <f>'Базовые концовки'!K28</f>
        <v>9513.9878000000008</v>
      </c>
      <c r="Q76" s="18">
        <f>'Базовые концовки'!L28</f>
        <v>0</v>
      </c>
      <c r="R76" s="18">
        <f>'Базовые концовки'!M28</f>
        <v>0</v>
      </c>
    </row>
    <row r="77" spans="3:18" hidden="1">
      <c r="C77" s="17" t="s">
        <v>87</v>
      </c>
      <c r="E77" s="10"/>
      <c r="G77" s="31"/>
      <c r="H77" s="31"/>
      <c r="I77" s="36"/>
      <c r="J77" s="36"/>
      <c r="L77" s="18"/>
      <c r="M77" s="18"/>
      <c r="N77" s="18"/>
      <c r="O77" s="10"/>
      <c r="P77" s="10"/>
      <c r="Q77" s="18"/>
      <c r="R77" s="18"/>
    </row>
    <row r="78" spans="3:18" hidden="1">
      <c r="C78" s="17" t="s">
        <v>96</v>
      </c>
      <c r="E78" s="10"/>
      <c r="G78" s="31"/>
      <c r="H78" s="31"/>
      <c r="I78" s="36">
        <f ca="1">'Базовые концовки'!F30</f>
        <v>0</v>
      </c>
      <c r="J78" s="36"/>
      <c r="L78" s="18"/>
      <c r="M78" s="18"/>
      <c r="N78" s="18"/>
      <c r="O78" s="10"/>
      <c r="P78" s="10"/>
      <c r="Q78" s="18"/>
      <c r="R78" s="18"/>
    </row>
    <row r="79" spans="3:18" hidden="1">
      <c r="C79" s="17" t="s">
        <v>91</v>
      </c>
      <c r="E79" s="10"/>
      <c r="G79" s="31"/>
      <c r="H79" s="31"/>
      <c r="I79" s="36">
        <f>'Базовые концовки'!F31</f>
        <v>0</v>
      </c>
      <c r="J79" s="36"/>
      <c r="L79" s="18"/>
      <c r="M79" s="18"/>
      <c r="N79" s="18"/>
      <c r="O79" s="10"/>
      <c r="P79" s="10"/>
      <c r="Q79" s="18"/>
      <c r="R79" s="18"/>
    </row>
    <row r="80" spans="3:18">
      <c r="C80" s="17" t="s">
        <v>97</v>
      </c>
      <c r="F80" s="10"/>
      <c r="G80" s="31"/>
      <c r="H80" s="31"/>
      <c r="I80" s="36">
        <f>'Базовые концовки'!F32</f>
        <v>212435.27499999999</v>
      </c>
      <c r="J80" s="36"/>
      <c r="L80" s="18"/>
      <c r="M80" s="18"/>
      <c r="N80" s="18"/>
      <c r="O80" s="10"/>
      <c r="P80" s="10"/>
      <c r="Q80" s="18"/>
      <c r="R80" s="18"/>
    </row>
    <row r="81" spans="3:18">
      <c r="C81" s="17" t="s">
        <v>98</v>
      </c>
      <c r="F81" s="10"/>
      <c r="G81" s="31"/>
      <c r="H81" s="31"/>
      <c r="I81" s="36">
        <f>'Базовые концовки'!F33</f>
        <v>135186.084</v>
      </c>
      <c r="J81" s="36"/>
      <c r="L81" s="18"/>
      <c r="M81" s="18"/>
      <c r="N81" s="18"/>
      <c r="O81" s="10"/>
      <c r="P81" s="10"/>
      <c r="Q81" s="18"/>
      <c r="R81" s="18"/>
    </row>
    <row r="82" spans="3:18">
      <c r="C82" s="17" t="s">
        <v>99</v>
      </c>
      <c r="F82" s="10"/>
      <c r="G82" s="31"/>
      <c r="H82" s="31"/>
      <c r="I82" s="65">
        <f>'Базовые концовки'!F34</f>
        <v>1273540.8970000001</v>
      </c>
      <c r="J82" s="65"/>
      <c r="L82" s="18"/>
      <c r="M82" s="18"/>
      <c r="N82" s="18"/>
      <c r="O82" s="10"/>
      <c r="P82" s="10"/>
      <c r="Q82" s="18"/>
      <c r="R82" s="18"/>
    </row>
    <row r="83" spans="3:18" hidden="1">
      <c r="C83" s="17" t="s">
        <v>100</v>
      </c>
      <c r="E83" s="10"/>
      <c r="G83" s="31"/>
      <c r="H83" s="31"/>
      <c r="I83" s="36">
        <f>'Базовые концовки'!F35</f>
        <v>0</v>
      </c>
      <c r="J83" s="36"/>
      <c r="L83" s="18">
        <f>'Базовые концовки'!G35</f>
        <v>0</v>
      </c>
      <c r="M83" s="18">
        <f>'Базовые концовки'!H35</f>
        <v>0</v>
      </c>
      <c r="N83" s="18">
        <f>'Базовые концовки'!I35</f>
        <v>0</v>
      </c>
      <c r="O83" s="10">
        <f>'Базовые концовки'!J35</f>
        <v>0</v>
      </c>
      <c r="P83" s="10">
        <f>'Базовые концовки'!K35</f>
        <v>0</v>
      </c>
      <c r="Q83" s="18">
        <f>'Базовые концовки'!L35</f>
        <v>0</v>
      </c>
      <c r="R83" s="18">
        <f>'Базовые концовки'!M35</f>
        <v>0</v>
      </c>
    </row>
    <row r="84" spans="3:18" hidden="1">
      <c r="C84" s="17" t="s">
        <v>91</v>
      </c>
      <c r="E84" s="10"/>
      <c r="G84" s="31"/>
      <c r="H84" s="31"/>
      <c r="I84" s="36">
        <f>'Базовые концовки'!F36</f>
        <v>0</v>
      </c>
      <c r="J84" s="36"/>
      <c r="L84" s="18"/>
      <c r="M84" s="18"/>
      <c r="N84" s="18"/>
      <c r="O84" s="10"/>
      <c r="P84" s="10"/>
      <c r="Q84" s="18"/>
      <c r="R84" s="18"/>
    </row>
    <row r="85" spans="3:18" hidden="1">
      <c r="C85" s="17" t="s">
        <v>92</v>
      </c>
      <c r="E85" s="10"/>
      <c r="G85" s="31"/>
      <c r="H85" s="31"/>
      <c r="I85" s="36">
        <f>'Базовые концовки'!F37</f>
        <v>0</v>
      </c>
      <c r="J85" s="36"/>
      <c r="L85" s="18"/>
      <c r="M85" s="18"/>
      <c r="N85" s="18"/>
      <c r="O85" s="10"/>
      <c r="P85" s="10"/>
      <c r="Q85" s="18"/>
      <c r="R85" s="18"/>
    </row>
    <row r="86" spans="3:18" hidden="1">
      <c r="C86" s="17" t="s">
        <v>93</v>
      </c>
      <c r="E86" s="10"/>
      <c r="G86" s="31"/>
      <c r="H86" s="31"/>
      <c r="I86" s="36">
        <f>'Базовые концовки'!F38</f>
        <v>0</v>
      </c>
      <c r="J86" s="36"/>
      <c r="L86" s="18"/>
      <c r="M86" s="18"/>
      <c r="N86" s="18"/>
      <c r="O86" s="10"/>
      <c r="P86" s="10"/>
      <c r="Q86" s="18"/>
      <c r="R86" s="18"/>
    </row>
    <row r="87" spans="3:18" hidden="1">
      <c r="C87" s="17" t="s">
        <v>101</v>
      </c>
      <c r="E87" s="10"/>
      <c r="G87" s="31"/>
      <c r="H87" s="31"/>
      <c r="I87" s="36">
        <f>'Базовые концовки'!F39</f>
        <v>0</v>
      </c>
      <c r="J87" s="36"/>
      <c r="L87" s="18"/>
      <c r="M87" s="18"/>
      <c r="N87" s="18"/>
      <c r="O87" s="10"/>
      <c r="P87" s="10"/>
      <c r="Q87" s="18"/>
      <c r="R87" s="18"/>
    </row>
    <row r="88" spans="3:18" hidden="1">
      <c r="C88" s="17" t="s">
        <v>102</v>
      </c>
      <c r="E88" s="10"/>
      <c r="G88" s="31"/>
      <c r="H88" s="31"/>
      <c r="I88" s="36">
        <f>'Базовые концовки'!F40</f>
        <v>0</v>
      </c>
      <c r="J88" s="36"/>
      <c r="L88" s="18">
        <f>'Базовые концовки'!G40</f>
        <v>0</v>
      </c>
      <c r="M88" s="18">
        <f>'Базовые концовки'!H40</f>
        <v>0</v>
      </c>
      <c r="N88" s="18">
        <f>'Базовые концовки'!I40</f>
        <v>0</v>
      </c>
      <c r="O88" s="10">
        <f>'Базовые концовки'!J40</f>
        <v>0</v>
      </c>
      <c r="P88" s="10">
        <f>'Базовые концовки'!K40</f>
        <v>0</v>
      </c>
      <c r="Q88" s="18">
        <f>'Базовые концовки'!L40</f>
        <v>0</v>
      </c>
      <c r="R88" s="18">
        <f>'Базовые концовки'!M40</f>
        <v>0</v>
      </c>
    </row>
    <row r="89" spans="3:18" hidden="1">
      <c r="C89" s="17" t="s">
        <v>87</v>
      </c>
      <c r="E89" s="10"/>
      <c r="G89" s="31"/>
      <c r="H89" s="31"/>
      <c r="I89" s="36"/>
      <c r="J89" s="36"/>
      <c r="L89" s="18"/>
      <c r="M89" s="18"/>
      <c r="N89" s="18"/>
      <c r="O89" s="10"/>
      <c r="P89" s="10"/>
      <c r="Q89" s="18"/>
      <c r="R89" s="18"/>
    </row>
    <row r="90" spans="3:18" hidden="1">
      <c r="C90" s="17" t="s">
        <v>103</v>
      </c>
      <c r="E90" s="10"/>
      <c r="G90" s="31"/>
      <c r="H90" s="31"/>
      <c r="I90" s="36">
        <f>'Базовые концовки'!F42</f>
        <v>0</v>
      </c>
      <c r="J90" s="36"/>
      <c r="L90" s="18"/>
      <c r="M90" s="18"/>
      <c r="N90" s="18"/>
      <c r="O90" s="10"/>
      <c r="P90" s="10"/>
      <c r="Q90" s="18"/>
      <c r="R90" s="18"/>
    </row>
    <row r="91" spans="3:18" hidden="1">
      <c r="C91" s="17" t="s">
        <v>91</v>
      </c>
      <c r="E91" s="10"/>
      <c r="G91" s="31"/>
      <c r="H91" s="31"/>
      <c r="I91" s="36">
        <f>'Базовые концовки'!F43</f>
        <v>0</v>
      </c>
      <c r="J91" s="36"/>
      <c r="L91" s="18"/>
      <c r="M91" s="18"/>
      <c r="N91" s="18"/>
      <c r="O91" s="10"/>
      <c r="P91" s="10"/>
      <c r="Q91" s="18"/>
      <c r="R91" s="18"/>
    </row>
    <row r="92" spans="3:18" hidden="1">
      <c r="C92" s="17" t="s">
        <v>92</v>
      </c>
      <c r="E92" s="10"/>
      <c r="G92" s="31"/>
      <c r="H92" s="31"/>
      <c r="I92" s="36">
        <f>'Базовые концовки'!F44</f>
        <v>0</v>
      </c>
      <c r="J92" s="36"/>
      <c r="L92" s="18"/>
      <c r="M92" s="18"/>
      <c r="N92" s="18"/>
      <c r="O92" s="10"/>
      <c r="P92" s="10"/>
      <c r="Q92" s="18"/>
      <c r="R92" s="18"/>
    </row>
    <row r="93" spans="3:18" hidden="1">
      <c r="C93" s="17" t="s">
        <v>93</v>
      </c>
      <c r="E93" s="10"/>
      <c r="G93" s="31"/>
      <c r="H93" s="31"/>
      <c r="I93" s="36">
        <f>'Базовые концовки'!F45</f>
        <v>0</v>
      </c>
      <c r="J93" s="36"/>
      <c r="L93" s="18"/>
      <c r="M93" s="18"/>
      <c r="N93" s="18"/>
      <c r="O93" s="10"/>
      <c r="P93" s="10"/>
      <c r="Q93" s="18"/>
      <c r="R93" s="18"/>
    </row>
    <row r="94" spans="3:18" hidden="1">
      <c r="C94" s="17" t="s">
        <v>84</v>
      </c>
      <c r="E94" s="10"/>
      <c r="G94" s="31"/>
      <c r="H94" s="31"/>
      <c r="I94" s="36">
        <f ca="1">'Базовые концовки'!F46</f>
        <v>0</v>
      </c>
      <c r="J94" s="36"/>
      <c r="L94" s="18"/>
      <c r="M94" s="18"/>
      <c r="N94" s="18"/>
      <c r="O94" s="10"/>
      <c r="P94" s="10"/>
      <c r="Q94" s="18"/>
      <c r="R94" s="18"/>
    </row>
    <row r="95" spans="3:18" hidden="1">
      <c r="C95" s="17" t="s">
        <v>104</v>
      </c>
      <c r="E95" s="10"/>
      <c r="G95" s="31"/>
      <c r="H95" s="31"/>
      <c r="I95" s="36">
        <f>'Базовые концовки'!F47</f>
        <v>0</v>
      </c>
      <c r="J95" s="36"/>
      <c r="L95" s="18"/>
      <c r="M95" s="18"/>
      <c r="N95" s="18"/>
      <c r="O95" s="10"/>
      <c r="P95" s="10"/>
      <c r="Q95" s="18"/>
      <c r="R95" s="18"/>
    </row>
    <row r="96" spans="3:18" hidden="1">
      <c r="C96" s="17" t="s">
        <v>105</v>
      </c>
      <c r="E96" s="10"/>
      <c r="G96" s="31"/>
      <c r="H96" s="31"/>
      <c r="I96" s="36">
        <f>'Базовые концовки'!F48</f>
        <v>0</v>
      </c>
      <c r="J96" s="36"/>
      <c r="L96" s="18">
        <f>'Базовые концовки'!G48</f>
        <v>0</v>
      </c>
      <c r="M96" s="18">
        <f>'Базовые концовки'!H48</f>
        <v>0</v>
      </c>
      <c r="N96" s="18">
        <f>'Базовые концовки'!I48</f>
        <v>0</v>
      </c>
      <c r="O96" s="10">
        <f>'Базовые концовки'!J48</f>
        <v>0</v>
      </c>
      <c r="P96" s="10">
        <f>'Базовые концовки'!K48</f>
        <v>0</v>
      </c>
      <c r="Q96" s="18">
        <f>'Базовые концовки'!L48</f>
        <v>0</v>
      </c>
      <c r="R96" s="18">
        <f>'Базовые концовки'!M48</f>
        <v>0</v>
      </c>
    </row>
    <row r="97" spans="3:18" hidden="1">
      <c r="C97" s="17" t="s">
        <v>91</v>
      </c>
      <c r="E97" s="10"/>
      <c r="G97" s="31"/>
      <c r="H97" s="31"/>
      <c r="I97" s="36">
        <f>'Базовые концовки'!F49</f>
        <v>0</v>
      </c>
      <c r="J97" s="36"/>
      <c r="L97" s="18"/>
      <c r="M97" s="18"/>
      <c r="N97" s="18"/>
      <c r="O97" s="10"/>
      <c r="P97" s="10"/>
      <c r="Q97" s="18"/>
      <c r="R97" s="18"/>
    </row>
    <row r="98" spans="3:18" hidden="1">
      <c r="C98" s="17" t="s">
        <v>92</v>
      </c>
      <c r="E98" s="10"/>
      <c r="G98" s="31"/>
      <c r="H98" s="31"/>
      <c r="I98" s="36">
        <f>'Базовые концовки'!F50</f>
        <v>0</v>
      </c>
      <c r="J98" s="36"/>
      <c r="L98" s="18"/>
      <c r="M98" s="18"/>
      <c r="N98" s="18"/>
      <c r="O98" s="10"/>
      <c r="P98" s="10"/>
      <c r="Q98" s="18"/>
      <c r="R98" s="18"/>
    </row>
    <row r="99" spans="3:18" hidden="1">
      <c r="C99" s="17" t="s">
        <v>93</v>
      </c>
      <c r="E99" s="10"/>
      <c r="G99" s="31"/>
      <c r="H99" s="31"/>
      <c r="I99" s="36">
        <f>'Базовые концовки'!F51</f>
        <v>0</v>
      </c>
      <c r="J99" s="36"/>
      <c r="L99" s="18"/>
      <c r="M99" s="18"/>
      <c r="N99" s="18"/>
      <c r="O99" s="10"/>
      <c r="P99" s="10"/>
      <c r="Q99" s="18"/>
      <c r="R99" s="18"/>
    </row>
    <row r="100" spans="3:18" hidden="1">
      <c r="C100" s="17" t="s">
        <v>106</v>
      </c>
      <c r="E100" s="10"/>
      <c r="G100" s="31"/>
      <c r="H100" s="31"/>
      <c r="I100" s="36">
        <f>'Базовые концовки'!F52</f>
        <v>0</v>
      </c>
      <c r="J100" s="36"/>
      <c r="L100" s="18"/>
      <c r="M100" s="18"/>
      <c r="N100" s="18"/>
      <c r="O100" s="10"/>
      <c r="P100" s="10"/>
      <c r="Q100" s="18"/>
      <c r="R100" s="18"/>
    </row>
    <row r="101" spans="3:18" hidden="1">
      <c r="C101" s="17" t="s">
        <v>107</v>
      </c>
      <c r="E101" s="10"/>
      <c r="G101" s="31"/>
      <c r="H101" s="31"/>
      <c r="I101" s="36">
        <f>'Базовые концовки'!F53</f>
        <v>0</v>
      </c>
      <c r="J101" s="36"/>
      <c r="L101" s="18">
        <f>'Базовые концовки'!G53</f>
        <v>0</v>
      </c>
      <c r="M101" s="18">
        <f>'Базовые концовки'!H53</f>
        <v>0</v>
      </c>
      <c r="N101" s="18">
        <f>'Базовые концовки'!I53</f>
        <v>0</v>
      </c>
      <c r="O101" s="10">
        <f>'Базовые концовки'!J53</f>
        <v>0</v>
      </c>
      <c r="P101" s="10">
        <f>'Базовые концовки'!K53</f>
        <v>0</v>
      </c>
      <c r="Q101" s="18">
        <f>'Базовые концовки'!L53</f>
        <v>0</v>
      </c>
      <c r="R101" s="18">
        <f>'Базовые концовки'!M53</f>
        <v>0</v>
      </c>
    </row>
    <row r="102" spans="3:18" hidden="1">
      <c r="C102" s="17" t="s">
        <v>91</v>
      </c>
      <c r="E102" s="10"/>
      <c r="G102" s="31"/>
      <c r="H102" s="31"/>
      <c r="I102" s="36">
        <f>'Базовые концовки'!F54</f>
        <v>0</v>
      </c>
      <c r="J102" s="36"/>
      <c r="L102" s="18"/>
      <c r="M102" s="18"/>
      <c r="N102" s="18"/>
      <c r="O102" s="10"/>
      <c r="P102" s="10"/>
      <c r="Q102" s="18"/>
      <c r="R102" s="18"/>
    </row>
    <row r="103" spans="3:18" hidden="1">
      <c r="C103" s="17" t="s">
        <v>92</v>
      </c>
      <c r="E103" s="10"/>
      <c r="G103" s="31"/>
      <c r="H103" s="31"/>
      <c r="I103" s="36">
        <f>'Базовые концовки'!F55</f>
        <v>0</v>
      </c>
      <c r="J103" s="36"/>
      <c r="L103" s="18"/>
      <c r="M103" s="18"/>
      <c r="N103" s="18"/>
      <c r="O103" s="10"/>
      <c r="P103" s="10"/>
      <c r="Q103" s="18"/>
      <c r="R103" s="18"/>
    </row>
    <row r="104" spans="3:18" hidden="1">
      <c r="C104" s="17" t="s">
        <v>93</v>
      </c>
      <c r="E104" s="10"/>
      <c r="G104" s="31"/>
      <c r="H104" s="31"/>
      <c r="I104" s="36">
        <f>'Базовые концовки'!F56</f>
        <v>0</v>
      </c>
      <c r="J104" s="36"/>
      <c r="L104" s="18"/>
      <c r="M104" s="18"/>
      <c r="N104" s="18"/>
      <c r="O104" s="10"/>
      <c r="P104" s="10"/>
      <c r="Q104" s="18"/>
      <c r="R104" s="18"/>
    </row>
    <row r="105" spans="3:18" hidden="1">
      <c r="C105" s="17" t="s">
        <v>108</v>
      </c>
      <c r="E105" s="10"/>
      <c r="G105" s="31"/>
      <c r="H105" s="31"/>
      <c r="I105" s="36">
        <f>'Базовые концовки'!F57</f>
        <v>0</v>
      </c>
      <c r="J105" s="36"/>
      <c r="L105" s="18"/>
      <c r="M105" s="18"/>
      <c r="N105" s="18"/>
      <c r="O105" s="10"/>
      <c r="P105" s="10"/>
      <c r="Q105" s="18"/>
      <c r="R105" s="18"/>
    </row>
    <row r="106" spans="3:18" hidden="1">
      <c r="C106" s="17" t="s">
        <v>109</v>
      </c>
      <c r="E106" s="10"/>
      <c r="G106" s="31"/>
      <c r="H106" s="31"/>
      <c r="I106" s="36">
        <f>'Базовые концовки'!F58</f>
        <v>0</v>
      </c>
      <c r="J106" s="36"/>
      <c r="L106" s="18">
        <f>'Базовые концовки'!G58</f>
        <v>0</v>
      </c>
      <c r="M106" s="18">
        <f>'Базовые концовки'!H58</f>
        <v>0</v>
      </c>
      <c r="N106" s="18">
        <f>'Базовые концовки'!I58</f>
        <v>0</v>
      </c>
      <c r="O106" s="10">
        <f>'Базовые концовки'!J58</f>
        <v>0</v>
      </c>
      <c r="P106" s="10">
        <f>'Базовые концовки'!K58</f>
        <v>0</v>
      </c>
      <c r="Q106" s="18">
        <f>'Базовые концовки'!L58</f>
        <v>0</v>
      </c>
      <c r="R106" s="18">
        <f>'Базовые концовки'!M58</f>
        <v>0</v>
      </c>
    </row>
    <row r="107" spans="3:18" hidden="1">
      <c r="C107" s="17" t="s">
        <v>87</v>
      </c>
      <c r="E107" s="10"/>
      <c r="G107" s="31"/>
      <c r="H107" s="31"/>
      <c r="I107" s="36"/>
      <c r="J107" s="36"/>
      <c r="L107" s="18"/>
      <c r="M107" s="18"/>
      <c r="N107" s="18"/>
      <c r="O107" s="10"/>
      <c r="P107" s="10"/>
      <c r="Q107" s="18"/>
      <c r="R107" s="18"/>
    </row>
    <row r="108" spans="3:18" hidden="1">
      <c r="C108" s="17" t="s">
        <v>96</v>
      </c>
      <c r="E108" s="10"/>
      <c r="G108" s="31"/>
      <c r="H108" s="31"/>
      <c r="I108" s="36">
        <f ca="1">'Базовые концовки'!F60</f>
        <v>0</v>
      </c>
      <c r="J108" s="36"/>
      <c r="L108" s="18"/>
      <c r="M108" s="18"/>
      <c r="N108" s="18"/>
      <c r="O108" s="10"/>
      <c r="P108" s="10"/>
      <c r="Q108" s="18"/>
      <c r="R108" s="18"/>
    </row>
    <row r="109" spans="3:18" hidden="1">
      <c r="C109" s="17" t="s">
        <v>91</v>
      </c>
      <c r="E109" s="10"/>
      <c r="G109" s="31"/>
      <c r="H109" s="31"/>
      <c r="I109" s="36">
        <f>'Базовые концовки'!F61</f>
        <v>0</v>
      </c>
      <c r="J109" s="36"/>
      <c r="L109" s="18"/>
      <c r="M109" s="18"/>
      <c r="N109" s="18"/>
      <c r="O109" s="10"/>
      <c r="P109" s="10"/>
      <c r="Q109" s="18"/>
      <c r="R109" s="18"/>
    </row>
    <row r="110" spans="3:18" hidden="1">
      <c r="C110" s="17" t="s">
        <v>92</v>
      </c>
      <c r="E110" s="10"/>
      <c r="G110" s="31"/>
      <c r="H110" s="31"/>
      <c r="I110" s="36">
        <f>'Базовые концовки'!F62</f>
        <v>0</v>
      </c>
      <c r="J110" s="36"/>
      <c r="L110" s="18"/>
      <c r="M110" s="18"/>
      <c r="N110" s="18"/>
      <c r="O110" s="10"/>
      <c r="P110" s="10"/>
      <c r="Q110" s="18"/>
      <c r="R110" s="18"/>
    </row>
    <row r="111" spans="3:18" hidden="1">
      <c r="C111" s="17" t="s">
        <v>93</v>
      </c>
      <c r="E111" s="10"/>
      <c r="G111" s="31"/>
      <c r="H111" s="31"/>
      <c r="I111" s="36">
        <f>'Базовые концовки'!F63</f>
        <v>0</v>
      </c>
      <c r="J111" s="36"/>
      <c r="L111" s="18"/>
      <c r="M111" s="18"/>
      <c r="N111" s="18"/>
      <c r="O111" s="10"/>
      <c r="P111" s="10"/>
      <c r="Q111" s="18"/>
      <c r="R111" s="18"/>
    </row>
    <row r="112" spans="3:18" hidden="1">
      <c r="C112" s="17" t="s">
        <v>110</v>
      </c>
      <c r="E112" s="10"/>
      <c r="G112" s="31"/>
      <c r="H112" s="31"/>
      <c r="I112" s="36">
        <f>'Базовые концовки'!F64</f>
        <v>0</v>
      </c>
      <c r="J112" s="36"/>
      <c r="L112" s="18"/>
      <c r="M112" s="18"/>
      <c r="N112" s="18"/>
      <c r="O112" s="10"/>
      <c r="P112" s="10"/>
      <c r="Q112" s="18"/>
      <c r="R112" s="18"/>
    </row>
    <row r="113" spans="3:18" hidden="1">
      <c r="C113" s="17" t="s">
        <v>111</v>
      </c>
      <c r="E113" s="10"/>
      <c r="G113" s="31"/>
      <c r="H113" s="31"/>
      <c r="I113" s="36">
        <f>'Базовые концовки'!F65</f>
        <v>0</v>
      </c>
      <c r="J113" s="36"/>
      <c r="L113" s="18">
        <f>'Базовые концовки'!G65</f>
        <v>0</v>
      </c>
      <c r="M113" s="18">
        <f>'Базовые концовки'!H65</f>
        <v>0</v>
      </c>
      <c r="N113" s="18">
        <f>'Базовые концовки'!I65</f>
        <v>0</v>
      </c>
      <c r="O113" s="10">
        <f>'Базовые концовки'!J65</f>
        <v>0</v>
      </c>
      <c r="P113" s="10">
        <f>'Базовые концовки'!K65</f>
        <v>0</v>
      </c>
      <c r="Q113" s="18">
        <f>'Базовые концовки'!L65</f>
        <v>0</v>
      </c>
      <c r="R113" s="18">
        <f>'Базовые концовки'!M65</f>
        <v>0</v>
      </c>
    </row>
    <row r="114" spans="3:18" hidden="1">
      <c r="C114" s="17" t="s">
        <v>112</v>
      </c>
      <c r="E114" s="10"/>
      <c r="G114" s="31"/>
      <c r="H114" s="31"/>
      <c r="I114" s="36">
        <f>'Базовые концовки'!F66</f>
        <v>0</v>
      </c>
      <c r="J114" s="36"/>
      <c r="L114" s="18"/>
      <c r="M114" s="18"/>
      <c r="N114" s="18"/>
      <c r="O114" s="10"/>
      <c r="P114" s="10"/>
      <c r="Q114" s="18"/>
      <c r="R114" s="18"/>
    </row>
    <row r="115" spans="3:18" hidden="1">
      <c r="C115" s="17" t="s">
        <v>113</v>
      </c>
      <c r="E115" s="10"/>
      <c r="G115" s="31"/>
      <c r="H115" s="31"/>
      <c r="I115" s="36">
        <f>'Базовые концовки'!F67</f>
        <v>0</v>
      </c>
      <c r="J115" s="36"/>
      <c r="L115" s="18"/>
      <c r="M115" s="18"/>
      <c r="N115" s="18"/>
      <c r="O115" s="10"/>
      <c r="P115" s="10"/>
      <c r="Q115" s="18"/>
      <c r="R115" s="18"/>
    </row>
    <row r="116" spans="3:18" hidden="1">
      <c r="C116" s="17" t="s">
        <v>92</v>
      </c>
      <c r="E116" s="10"/>
      <c r="G116" s="31"/>
      <c r="H116" s="31"/>
      <c r="I116" s="36">
        <f>'Базовые концовки'!F68</f>
        <v>0</v>
      </c>
      <c r="J116" s="36"/>
      <c r="L116" s="18"/>
      <c r="M116" s="18"/>
      <c r="N116" s="18"/>
      <c r="O116" s="10"/>
      <c r="P116" s="10"/>
      <c r="Q116" s="18"/>
      <c r="R116" s="18"/>
    </row>
    <row r="117" spans="3:18" hidden="1">
      <c r="C117" s="17" t="s">
        <v>93</v>
      </c>
      <c r="E117" s="10"/>
      <c r="G117" s="31"/>
      <c r="H117" s="31"/>
      <c r="I117" s="36">
        <f>'Базовые концовки'!F69</f>
        <v>0</v>
      </c>
      <c r="J117" s="36"/>
      <c r="L117" s="18"/>
      <c r="M117" s="18"/>
      <c r="N117" s="18"/>
      <c r="O117" s="10"/>
      <c r="P117" s="10"/>
      <c r="Q117" s="18"/>
      <c r="R117" s="18"/>
    </row>
    <row r="118" spans="3:18" hidden="1">
      <c r="C118" s="17" t="s">
        <v>114</v>
      </c>
      <c r="E118" s="10"/>
      <c r="G118" s="31"/>
      <c r="H118" s="31"/>
      <c r="I118" s="36">
        <f>'Базовые концовки'!F70</f>
        <v>0</v>
      </c>
      <c r="J118" s="36"/>
      <c r="L118" s="18"/>
      <c r="M118" s="18"/>
      <c r="N118" s="18"/>
      <c r="O118" s="10"/>
      <c r="P118" s="10"/>
      <c r="Q118" s="18"/>
      <c r="R118" s="18"/>
    </row>
    <row r="119" spans="3:18" hidden="1">
      <c r="C119" s="17" t="s">
        <v>115</v>
      </c>
      <c r="E119" s="10"/>
      <c r="G119" s="31"/>
      <c r="H119" s="31"/>
      <c r="I119" s="36">
        <f>'Базовые концовки'!F71</f>
        <v>0</v>
      </c>
      <c r="J119" s="36"/>
      <c r="L119" s="18">
        <f>'Базовые концовки'!G71</f>
        <v>0</v>
      </c>
      <c r="M119" s="18">
        <f>'Базовые концовки'!H71</f>
        <v>0</v>
      </c>
      <c r="N119" s="18">
        <f>'Базовые концовки'!I71</f>
        <v>0</v>
      </c>
      <c r="O119" s="10">
        <f>'Базовые концовки'!J71</f>
        <v>0</v>
      </c>
      <c r="P119" s="10">
        <f>'Базовые концовки'!K71</f>
        <v>0</v>
      </c>
      <c r="Q119" s="18">
        <f>'Базовые концовки'!L71</f>
        <v>0</v>
      </c>
      <c r="R119" s="18">
        <f>'Базовые концовки'!M71</f>
        <v>0</v>
      </c>
    </row>
    <row r="120" spans="3:18" hidden="1">
      <c r="C120" s="17" t="s">
        <v>92</v>
      </c>
      <c r="E120" s="10"/>
      <c r="G120" s="31"/>
      <c r="H120" s="31"/>
      <c r="I120" s="36">
        <f>'Базовые концовки'!F72</f>
        <v>0</v>
      </c>
      <c r="J120" s="36"/>
      <c r="L120" s="18"/>
      <c r="M120" s="18"/>
      <c r="N120" s="18"/>
      <c r="O120" s="10"/>
      <c r="P120" s="10"/>
      <c r="Q120" s="18"/>
      <c r="R120" s="18"/>
    </row>
    <row r="121" spans="3:18" hidden="1">
      <c r="C121" s="17" t="s">
        <v>93</v>
      </c>
      <c r="E121" s="10"/>
      <c r="G121" s="31"/>
      <c r="H121" s="31"/>
      <c r="I121" s="36">
        <f>'Базовые концовки'!F73</f>
        <v>0</v>
      </c>
      <c r="J121" s="36"/>
      <c r="L121" s="18"/>
      <c r="M121" s="18"/>
      <c r="N121" s="18"/>
      <c r="O121" s="10"/>
      <c r="P121" s="10"/>
      <c r="Q121" s="18"/>
      <c r="R121" s="18"/>
    </row>
    <row r="122" spans="3:18" hidden="1">
      <c r="C122" s="17" t="s">
        <v>116</v>
      </c>
      <c r="E122" s="10"/>
      <c r="G122" s="31"/>
      <c r="H122" s="31"/>
      <c r="I122" s="36">
        <f>'Базовые концовки'!F74</f>
        <v>0</v>
      </c>
      <c r="J122" s="36"/>
      <c r="L122" s="18"/>
      <c r="M122" s="18"/>
      <c r="N122" s="18"/>
      <c r="O122" s="10"/>
      <c r="P122" s="10"/>
      <c r="Q122" s="18"/>
      <c r="R122" s="18"/>
    </row>
    <row r="123" spans="3:18" hidden="1">
      <c r="C123" s="17" t="s">
        <v>117</v>
      </c>
      <c r="E123" s="10"/>
      <c r="G123" s="31"/>
      <c r="H123" s="31"/>
      <c r="I123" s="36">
        <f>'Базовые концовки'!F75</f>
        <v>0</v>
      </c>
      <c r="J123" s="36"/>
      <c r="L123" s="18">
        <f>'Базовые концовки'!G75</f>
        <v>0</v>
      </c>
      <c r="M123" s="18">
        <f>'Базовые концовки'!H75</f>
        <v>0</v>
      </c>
      <c r="N123" s="18">
        <f>'Базовые концовки'!I75</f>
        <v>0</v>
      </c>
      <c r="O123" s="10">
        <f>'Базовые концовки'!J75</f>
        <v>0</v>
      </c>
      <c r="P123" s="10">
        <f>'Базовые концовки'!K75</f>
        <v>0</v>
      </c>
      <c r="Q123" s="18">
        <f>'Базовые концовки'!L75</f>
        <v>0</v>
      </c>
      <c r="R123" s="18">
        <f>'Базовые концовки'!M75</f>
        <v>0</v>
      </c>
    </row>
    <row r="124" spans="3:18" hidden="1">
      <c r="C124" s="17" t="s">
        <v>91</v>
      </c>
      <c r="E124" s="10"/>
      <c r="G124" s="31"/>
      <c r="H124" s="31"/>
      <c r="I124" s="36">
        <f>'Базовые концовки'!F76</f>
        <v>0</v>
      </c>
      <c r="J124" s="36"/>
      <c r="L124" s="18"/>
      <c r="M124" s="18"/>
      <c r="N124" s="18"/>
      <c r="O124" s="10"/>
      <c r="P124" s="10"/>
      <c r="Q124" s="18"/>
      <c r="R124" s="18"/>
    </row>
    <row r="125" spans="3:18" hidden="1">
      <c r="C125" s="17" t="s">
        <v>92</v>
      </c>
      <c r="E125" s="10"/>
      <c r="G125" s="31"/>
      <c r="H125" s="31"/>
      <c r="I125" s="36">
        <f>'Базовые концовки'!F77</f>
        <v>0</v>
      </c>
      <c r="J125" s="36"/>
      <c r="L125" s="18"/>
      <c r="M125" s="18"/>
      <c r="N125" s="18"/>
      <c r="O125" s="10"/>
      <c r="P125" s="10"/>
      <c r="Q125" s="18"/>
      <c r="R125" s="18"/>
    </row>
    <row r="126" spans="3:18" hidden="1">
      <c r="C126" s="17" t="s">
        <v>93</v>
      </c>
      <c r="E126" s="10"/>
      <c r="G126" s="31"/>
      <c r="H126" s="31"/>
      <c r="I126" s="36">
        <f>'Базовые концовки'!F78</f>
        <v>0</v>
      </c>
      <c r="J126" s="36"/>
      <c r="L126" s="18"/>
      <c r="M126" s="18"/>
      <c r="N126" s="18"/>
      <c r="O126" s="10"/>
      <c r="P126" s="10"/>
      <c r="Q126" s="18"/>
      <c r="R126" s="18"/>
    </row>
    <row r="127" spans="3:18" hidden="1">
      <c r="C127" s="17" t="s">
        <v>118</v>
      </c>
      <c r="E127" s="10"/>
      <c r="G127" s="31"/>
      <c r="H127" s="31"/>
      <c r="I127" s="36">
        <f>'Базовые концовки'!F79</f>
        <v>0</v>
      </c>
      <c r="J127" s="36"/>
      <c r="L127" s="18"/>
      <c r="M127" s="18"/>
      <c r="N127" s="18"/>
      <c r="O127" s="10"/>
      <c r="P127" s="10"/>
      <c r="Q127" s="18"/>
      <c r="R127" s="18"/>
    </row>
    <row r="128" spans="3:18" hidden="1">
      <c r="C128" s="17" t="s">
        <v>119</v>
      </c>
      <c r="E128" s="10"/>
      <c r="G128" s="31"/>
      <c r="H128" s="31"/>
      <c r="I128" s="36">
        <f>'Базовые концовки'!F80</f>
        <v>0</v>
      </c>
      <c r="J128" s="36"/>
      <c r="L128" s="18">
        <f>'Базовые концовки'!G80</f>
        <v>0</v>
      </c>
      <c r="M128" s="18">
        <f>'Базовые концовки'!H80</f>
        <v>0</v>
      </c>
      <c r="N128" s="18">
        <f>'Базовые концовки'!I80</f>
        <v>0</v>
      </c>
      <c r="O128" s="10">
        <f>'Базовые концовки'!J80</f>
        <v>0</v>
      </c>
      <c r="P128" s="10">
        <f>'Базовые концовки'!K80</f>
        <v>0</v>
      </c>
      <c r="Q128" s="18">
        <f>'Базовые концовки'!L80</f>
        <v>0</v>
      </c>
      <c r="R128" s="18">
        <f>'Базовые концовки'!M80</f>
        <v>0</v>
      </c>
    </row>
    <row r="129" spans="2:18" hidden="1">
      <c r="C129" s="17" t="s">
        <v>91</v>
      </c>
      <c r="E129" s="10"/>
      <c r="G129" s="31"/>
      <c r="H129" s="31"/>
      <c r="I129" s="36">
        <f>'Базовые концовки'!F81</f>
        <v>0</v>
      </c>
      <c r="J129" s="36"/>
      <c r="L129" s="18"/>
      <c r="M129" s="18"/>
      <c r="N129" s="18"/>
      <c r="O129" s="10"/>
      <c r="P129" s="10"/>
      <c r="Q129" s="18"/>
      <c r="R129" s="18"/>
    </row>
    <row r="130" spans="2:18">
      <c r="C130" s="17" t="s">
        <v>120</v>
      </c>
      <c r="F130" s="10"/>
      <c r="G130" s="31"/>
      <c r="H130" s="31"/>
      <c r="I130" s="36">
        <f ca="1">'Базовые концовки'!F82</f>
        <v>1273540.8970000001</v>
      </c>
      <c r="J130" s="36"/>
      <c r="L130" s="18">
        <f>'Базовые концовки'!G82</f>
        <v>0</v>
      </c>
      <c r="M130" s="18">
        <f>'Базовые концовки'!H82</f>
        <v>0</v>
      </c>
      <c r="N130" s="18">
        <f>'Базовые концовки'!I82</f>
        <v>0</v>
      </c>
      <c r="O130" s="10">
        <f>'Базовые концовки'!J82</f>
        <v>0</v>
      </c>
      <c r="P130" s="10">
        <f>'Базовые концовки'!K82</f>
        <v>0</v>
      </c>
      <c r="Q130" s="18">
        <f>'Базовые концовки'!L82</f>
        <v>0</v>
      </c>
      <c r="R130" s="18">
        <f>'Базовые концовки'!M82</f>
        <v>0</v>
      </c>
    </row>
    <row r="131" spans="2:18" hidden="1">
      <c r="C131" s="17" t="s">
        <v>121</v>
      </c>
      <c r="E131" s="10"/>
      <c r="G131" s="31"/>
      <c r="H131" s="31"/>
      <c r="I131" s="36">
        <f>'Базовые концовки'!F83</f>
        <v>0</v>
      </c>
      <c r="J131" s="36"/>
      <c r="L131" s="18"/>
      <c r="M131" s="18"/>
      <c r="N131" s="18"/>
      <c r="O131" s="10"/>
      <c r="P131" s="10"/>
      <c r="Q131" s="18"/>
      <c r="R131" s="18"/>
    </row>
    <row r="132" spans="2:18">
      <c r="C132" s="17" t="s">
        <v>122</v>
      </c>
      <c r="F132" s="10"/>
      <c r="G132" s="31"/>
      <c r="H132" s="31"/>
      <c r="I132" s="36">
        <f>'Базовые концовки'!F84</f>
        <v>212435.27499999999</v>
      </c>
      <c r="J132" s="36"/>
      <c r="L132" s="18"/>
      <c r="M132" s="18"/>
      <c r="N132" s="18"/>
      <c r="O132" s="10"/>
      <c r="P132" s="10"/>
      <c r="Q132" s="18"/>
      <c r="R132" s="18"/>
    </row>
    <row r="133" spans="2:18">
      <c r="C133" s="17" t="s">
        <v>123</v>
      </c>
      <c r="F133" s="10"/>
      <c r="G133" s="31"/>
      <c r="H133" s="31"/>
      <c r="I133" s="36">
        <f>'Базовые концовки'!F85</f>
        <v>135186.084</v>
      </c>
      <c r="J133" s="36"/>
      <c r="L133" s="18"/>
      <c r="M133" s="18"/>
      <c r="N133" s="18"/>
      <c r="O133" s="10"/>
      <c r="P133" s="10"/>
      <c r="Q133" s="18"/>
      <c r="R133" s="18"/>
    </row>
    <row r="134" spans="2:18" hidden="1">
      <c r="C134" s="17" t="s">
        <v>56</v>
      </c>
      <c r="E134" s="10"/>
      <c r="G134" s="31"/>
      <c r="H134" s="31"/>
      <c r="I134" s="36">
        <f>'Базовые концовки'!F86</f>
        <v>0</v>
      </c>
      <c r="J134" s="36"/>
      <c r="L134" s="18"/>
      <c r="M134" s="18"/>
      <c r="N134" s="18"/>
      <c r="O134" s="10"/>
      <c r="P134" s="10"/>
      <c r="Q134" s="18">
        <f>'Базовые концовки'!L86</f>
        <v>0</v>
      </c>
      <c r="R134" s="18"/>
    </row>
    <row r="135" spans="2:18" hidden="1">
      <c r="C135" s="17" t="s">
        <v>124</v>
      </c>
      <c r="E135" s="10"/>
      <c r="G135" s="31"/>
      <c r="H135" s="31"/>
      <c r="I135" s="36">
        <f>'Базовые концовки'!F87</f>
        <v>0</v>
      </c>
      <c r="J135" s="36"/>
      <c r="L135" s="18"/>
      <c r="M135" s="18"/>
      <c r="N135" s="18"/>
      <c r="O135" s="10"/>
      <c r="P135" s="10"/>
      <c r="Q135" s="18">
        <f>'Базовые концовки'!L87</f>
        <v>0</v>
      </c>
      <c r="R135" s="18"/>
    </row>
    <row r="136" spans="2:18" hidden="1">
      <c r="C136" s="17" t="s">
        <v>125</v>
      </c>
      <c r="F136" s="10"/>
      <c r="G136" s="31"/>
      <c r="H136" s="31"/>
      <c r="I136" s="36">
        <f>'Базовые концовки'!F88</f>
        <v>89991.898000000001</v>
      </c>
      <c r="J136" s="36"/>
      <c r="L136" s="18"/>
      <c r="M136" s="18"/>
      <c r="N136" s="18"/>
      <c r="O136" s="10"/>
      <c r="P136" s="10"/>
      <c r="Q136" s="18"/>
      <c r="R136" s="18"/>
    </row>
    <row r="137" spans="2:18" hidden="1">
      <c r="C137" s="17" t="s">
        <v>126</v>
      </c>
      <c r="F137" s="10"/>
      <c r="G137" s="31"/>
      <c r="H137" s="31"/>
      <c r="I137" s="36">
        <f>'Базовые концовки'!F89</f>
        <v>103131.079</v>
      </c>
      <c r="J137" s="36"/>
      <c r="L137" s="18"/>
      <c r="M137" s="18"/>
      <c r="N137" s="18"/>
      <c r="O137" s="10"/>
      <c r="P137" s="10"/>
      <c r="Q137" s="18"/>
      <c r="R137" s="18"/>
    </row>
    <row r="138" spans="2:18" hidden="1">
      <c r="C138" s="17" t="s">
        <v>127</v>
      </c>
      <c r="F138" s="10"/>
      <c r="G138" s="31"/>
      <c r="H138" s="31"/>
      <c r="I138" s="36">
        <f>'Базовые концовки'!F90</f>
        <v>193122.97700000001</v>
      </c>
      <c r="J138" s="36"/>
      <c r="L138" s="18"/>
      <c r="M138" s="18"/>
      <c r="N138" s="18"/>
      <c r="O138" s="10"/>
      <c r="P138" s="10"/>
      <c r="Q138" s="18"/>
      <c r="R138" s="18"/>
    </row>
    <row r="139" spans="2:18" hidden="1">
      <c r="C139" s="17" t="s">
        <v>128</v>
      </c>
      <c r="F139" s="10"/>
      <c r="G139" s="31"/>
      <c r="H139" s="31"/>
      <c r="I139" s="35">
        <f>'Базовые концовки'!J91</f>
        <v>11263.135</v>
      </c>
      <c r="J139" s="35"/>
      <c r="L139" s="18"/>
      <c r="M139" s="18"/>
      <c r="N139" s="18"/>
      <c r="O139" s="10">
        <f>'Базовые концовки'!J91</f>
        <v>11263.135</v>
      </c>
      <c r="P139" s="10"/>
      <c r="Q139" s="18"/>
      <c r="R139" s="18"/>
    </row>
    <row r="140" spans="2:18" hidden="1">
      <c r="C140" s="17" t="s">
        <v>129</v>
      </c>
      <c r="F140" s="10"/>
      <c r="G140" s="31"/>
      <c r="H140" s="31"/>
      <c r="I140" s="35">
        <f>'Базовые концовки'!J92</f>
        <v>9513.9878000000008</v>
      </c>
      <c r="J140" s="35"/>
      <c r="L140" s="18"/>
      <c r="M140" s="18"/>
      <c r="N140" s="18"/>
      <c r="O140" s="10">
        <f>'Базовые концовки'!J92</f>
        <v>9513.9878000000008</v>
      </c>
      <c r="P140" s="10"/>
      <c r="Q140" s="18"/>
      <c r="R140" s="18"/>
    </row>
    <row r="141" spans="2:18" hidden="1">
      <c r="C141" s="17" t="s">
        <v>130</v>
      </c>
      <c r="F141" s="10"/>
      <c r="G141" s="31"/>
      <c r="H141" s="31"/>
      <c r="I141" s="35">
        <f>'Базовые концовки'!J93</f>
        <v>20777.122800000001</v>
      </c>
      <c r="J141" s="35"/>
      <c r="L141" s="18"/>
      <c r="M141" s="18"/>
      <c r="N141" s="18"/>
      <c r="O141" s="10">
        <f>'Базовые концовки'!J93</f>
        <v>20777.122800000001</v>
      </c>
      <c r="P141" s="10"/>
      <c r="Q141" s="18"/>
      <c r="R141" s="18"/>
    </row>
    <row r="142" spans="2:18">
      <c r="G142" s="31"/>
      <c r="H142" s="31"/>
      <c r="I142" s="31"/>
      <c r="J142" s="31"/>
    </row>
    <row r="143" spans="2:18">
      <c r="B143" s="5" t="s">
        <v>131</v>
      </c>
      <c r="C143" s="33"/>
      <c r="D143" s="33"/>
      <c r="E143" s="33"/>
      <c r="F143" s="33"/>
      <c r="G143" s="33"/>
      <c r="H143" s="33"/>
      <c r="I143" s="33"/>
      <c r="J143" s="33"/>
    </row>
    <row r="144" spans="2:18">
      <c r="C144" s="34" t="s">
        <v>132</v>
      </c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>
      <c r="G145" s="31"/>
      <c r="H145" s="31"/>
      <c r="I145" s="31"/>
      <c r="J145" s="31"/>
    </row>
    <row r="146" spans="1:12">
      <c r="B146" s="5" t="s">
        <v>133</v>
      </c>
      <c r="C146" s="32"/>
      <c r="D146" s="32"/>
      <c r="E146" s="32"/>
      <c r="F146" s="32"/>
      <c r="G146" s="32"/>
      <c r="H146" s="32"/>
      <c r="I146" s="32"/>
      <c r="J146" s="32"/>
    </row>
    <row r="147" spans="1:12">
      <c r="G147" s="31"/>
      <c r="H147" s="31"/>
      <c r="I147" s="31"/>
      <c r="J147" s="31"/>
    </row>
    <row r="148" spans="1:12">
      <c r="B148" s="5" t="s">
        <v>134</v>
      </c>
      <c r="C148" s="33"/>
      <c r="D148" s="33"/>
      <c r="E148" s="33"/>
      <c r="F148" s="33"/>
      <c r="G148" s="33"/>
      <c r="H148" s="33"/>
      <c r="I148" s="33"/>
      <c r="J148" s="33"/>
    </row>
    <row r="149" spans="1:12">
      <c r="C149" s="34" t="s">
        <v>132</v>
      </c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>
      <c r="G150" s="31"/>
      <c r="H150" s="31"/>
      <c r="I150" s="31"/>
      <c r="J150" s="31"/>
    </row>
    <row r="151" spans="1:12">
      <c r="B151" s="5" t="s">
        <v>133</v>
      </c>
      <c r="C151" s="32"/>
      <c r="D151" s="32"/>
      <c r="E151" s="32"/>
      <c r="F151" s="32"/>
      <c r="G151" s="32"/>
      <c r="H151" s="32"/>
      <c r="I151" s="32"/>
      <c r="J151" s="32"/>
    </row>
    <row r="152" spans="1:12">
      <c r="A152" s="19"/>
      <c r="G152" s="31"/>
      <c r="H152" s="31"/>
      <c r="I152" s="31"/>
      <c r="J152" s="31"/>
    </row>
  </sheetData>
  <mergeCells count="387">
    <mergeCell ref="A3"/>
    <mergeCell ref="A3:J3"/>
    <mergeCell ref="A4"/>
    <mergeCell ref="A4:J4"/>
    <mergeCell ref="A5:F5"/>
    <mergeCell ref="G5:J5"/>
    <mergeCell ref="A6:F6"/>
    <mergeCell ref="G6:J6"/>
    <mergeCell ref="A7:J7"/>
    <mergeCell ref="A8:E8"/>
    <mergeCell ref="G8:J8"/>
    <mergeCell ref="A9:J9"/>
    <mergeCell ref="A10:E10"/>
    <mergeCell ref="G10:J10"/>
    <mergeCell ref="A11:J11"/>
    <mergeCell ref="A12:E12"/>
    <mergeCell ref="G12:J12"/>
    <mergeCell ref="A13:J13"/>
    <mergeCell ref="A14:E14"/>
    <mergeCell ref="G14:J14"/>
    <mergeCell ref="A15:J15"/>
    <mergeCell ref="A16:E16"/>
    <mergeCell ref="G16:J16"/>
    <mergeCell ref="A17:F17"/>
    <mergeCell ref="G17:J17"/>
    <mergeCell ref="A18:E18"/>
    <mergeCell ref="G18:J18"/>
    <mergeCell ref="A19:E19"/>
    <mergeCell ref="H19:I19"/>
    <mergeCell ref="A20:F20"/>
    <mergeCell ref="G20:J20"/>
    <mergeCell ref="A21:C21"/>
    <mergeCell ref="D21:D22"/>
    <mergeCell ref="E21:E22"/>
    <mergeCell ref="G21:J21"/>
    <mergeCell ref="A22:C22"/>
    <mergeCell ref="G22:H22"/>
    <mergeCell ref="I22:J22"/>
    <mergeCell ref="A23:C23"/>
    <mergeCell ref="G23:H23"/>
    <mergeCell ref="I23:J23"/>
    <mergeCell ref="A24:J24"/>
    <mergeCell ref="A25:J25"/>
    <mergeCell ref="A26:J26"/>
    <mergeCell ref="A27:I27"/>
    <mergeCell ref="A32:J32"/>
    <mergeCell ref="A34:B34"/>
    <mergeCell ref="C34:C35"/>
    <mergeCell ref="D34:D35"/>
    <mergeCell ref="E34:E35"/>
    <mergeCell ref="G35:H35"/>
    <mergeCell ref="I35:J35"/>
    <mergeCell ref="F34:J34"/>
    <mergeCell ref="F29:I29"/>
    <mergeCell ref="G36:H36"/>
    <mergeCell ref="I36:J36"/>
    <mergeCell ref="G37:H37"/>
    <mergeCell ref="I37:J37"/>
    <mergeCell ref="G37:H37"/>
    <mergeCell ref="I37:J37"/>
    <mergeCell ref="G37:H37"/>
    <mergeCell ref="I37:J37"/>
    <mergeCell ref="G38:H38"/>
    <mergeCell ref="I38:J38"/>
    <mergeCell ref="G39:H39"/>
    <mergeCell ref="I39:J39"/>
    <mergeCell ref="G40:H40"/>
    <mergeCell ref="I40:J40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G49:H49"/>
    <mergeCell ref="I49:J49"/>
    <mergeCell ref="G50:H50"/>
    <mergeCell ref="I50:J50"/>
    <mergeCell ref="G51:H51"/>
    <mergeCell ref="I51:J51"/>
    <mergeCell ref="G52:H52"/>
    <mergeCell ref="I52:J52"/>
    <mergeCell ref="G53:H53"/>
    <mergeCell ref="I53:J53"/>
    <mergeCell ref="G54:H54"/>
    <mergeCell ref="I54:J54"/>
    <mergeCell ref="I55:J55"/>
    <mergeCell ref="G55:H55"/>
    <mergeCell ref="I55:J55"/>
    <mergeCell ref="I56:J56"/>
    <mergeCell ref="G56:H56"/>
    <mergeCell ref="I56:J56"/>
    <mergeCell ref="I57:J57"/>
    <mergeCell ref="G57:H57"/>
    <mergeCell ref="I57:J57"/>
    <mergeCell ref="I58:J58"/>
    <mergeCell ref="G58:H58"/>
    <mergeCell ref="I58:J58"/>
    <mergeCell ref="I59:J59"/>
    <mergeCell ref="G59:H59"/>
    <mergeCell ref="I59:J59"/>
    <mergeCell ref="I60:J60"/>
    <mergeCell ref="G60:H60"/>
    <mergeCell ref="I60:J60"/>
    <mergeCell ref="I61:J61"/>
    <mergeCell ref="G61:H61"/>
    <mergeCell ref="I61:J61"/>
    <mergeCell ref="I62:J62"/>
    <mergeCell ref="G62:H62"/>
    <mergeCell ref="I62:J62"/>
    <mergeCell ref="I63:J63"/>
    <mergeCell ref="G63:H63"/>
    <mergeCell ref="I63:J63"/>
    <mergeCell ref="I64:J64"/>
    <mergeCell ref="G64:H64"/>
    <mergeCell ref="I64:J64"/>
    <mergeCell ref="I65:J65"/>
    <mergeCell ref="G65:H65"/>
    <mergeCell ref="I65:J65"/>
    <mergeCell ref="I66:J66"/>
    <mergeCell ref="G66:H66"/>
    <mergeCell ref="I66:J66"/>
    <mergeCell ref="I67:J67"/>
    <mergeCell ref="G67:H67"/>
    <mergeCell ref="I67:J67"/>
    <mergeCell ref="I68:J68"/>
    <mergeCell ref="G68:H68"/>
    <mergeCell ref="I68:J68"/>
    <mergeCell ref="I69:J69"/>
    <mergeCell ref="G69:H69"/>
    <mergeCell ref="I69:J69"/>
    <mergeCell ref="I70:J70"/>
    <mergeCell ref="G70:H70"/>
    <mergeCell ref="I70:J70"/>
    <mergeCell ref="I71:J71"/>
    <mergeCell ref="G71:H71"/>
    <mergeCell ref="I71:J71"/>
    <mergeCell ref="I72:J72"/>
    <mergeCell ref="G72:H72"/>
    <mergeCell ref="I72:J72"/>
    <mergeCell ref="I73:J73"/>
    <mergeCell ref="G73:H73"/>
    <mergeCell ref="I73:J73"/>
    <mergeCell ref="I74:J74"/>
    <mergeCell ref="G74:H74"/>
    <mergeCell ref="I74:J74"/>
    <mergeCell ref="I75:J75"/>
    <mergeCell ref="G75:H75"/>
    <mergeCell ref="I75:J75"/>
    <mergeCell ref="I76:J76"/>
    <mergeCell ref="G76:H76"/>
    <mergeCell ref="I76:J76"/>
    <mergeCell ref="I77:J77"/>
    <mergeCell ref="G77:H77"/>
    <mergeCell ref="I77:J77"/>
    <mergeCell ref="I78:J78"/>
    <mergeCell ref="G78:H78"/>
    <mergeCell ref="I78:J78"/>
    <mergeCell ref="I79:J79"/>
    <mergeCell ref="G79:H79"/>
    <mergeCell ref="I79:J79"/>
    <mergeCell ref="I80:J80"/>
    <mergeCell ref="G80:H80"/>
    <mergeCell ref="I80:J80"/>
    <mergeCell ref="I81:J81"/>
    <mergeCell ref="G81:H81"/>
    <mergeCell ref="I81:J81"/>
    <mergeCell ref="I82:J82"/>
    <mergeCell ref="G82:H82"/>
    <mergeCell ref="I82:J82"/>
    <mergeCell ref="I83:J83"/>
    <mergeCell ref="G83:H83"/>
    <mergeCell ref="I83:J83"/>
    <mergeCell ref="I84:J84"/>
    <mergeCell ref="G84:H84"/>
    <mergeCell ref="I84:J84"/>
    <mergeCell ref="I85:J85"/>
    <mergeCell ref="G85:H85"/>
    <mergeCell ref="I85:J85"/>
    <mergeCell ref="I86:J86"/>
    <mergeCell ref="G86:H86"/>
    <mergeCell ref="I86:J86"/>
    <mergeCell ref="I87:J87"/>
    <mergeCell ref="G87:H87"/>
    <mergeCell ref="I87:J87"/>
    <mergeCell ref="I88:J88"/>
    <mergeCell ref="G88:H88"/>
    <mergeCell ref="I88:J88"/>
    <mergeCell ref="I89:J89"/>
    <mergeCell ref="G89:H89"/>
    <mergeCell ref="I89:J89"/>
    <mergeCell ref="I90:J90"/>
    <mergeCell ref="G90:H90"/>
    <mergeCell ref="I90:J90"/>
    <mergeCell ref="I91:J91"/>
    <mergeCell ref="G91:H91"/>
    <mergeCell ref="I91:J91"/>
    <mergeCell ref="I92:J92"/>
    <mergeCell ref="G92:H92"/>
    <mergeCell ref="I92:J92"/>
    <mergeCell ref="I93:J93"/>
    <mergeCell ref="G93:H93"/>
    <mergeCell ref="I93:J93"/>
    <mergeCell ref="I94:J94"/>
    <mergeCell ref="G94:H94"/>
    <mergeCell ref="I94:J94"/>
    <mergeCell ref="I95:J95"/>
    <mergeCell ref="G95:H95"/>
    <mergeCell ref="I95:J95"/>
    <mergeCell ref="I96:J96"/>
    <mergeCell ref="G96:H96"/>
    <mergeCell ref="I96:J96"/>
    <mergeCell ref="I97:J97"/>
    <mergeCell ref="G97:H97"/>
    <mergeCell ref="I97:J97"/>
    <mergeCell ref="I98:J98"/>
    <mergeCell ref="G98:H98"/>
    <mergeCell ref="I98:J98"/>
    <mergeCell ref="I99:J99"/>
    <mergeCell ref="G99:H99"/>
    <mergeCell ref="I99:J99"/>
    <mergeCell ref="I100:J100"/>
    <mergeCell ref="G100:H100"/>
    <mergeCell ref="I100:J100"/>
    <mergeCell ref="I101:J101"/>
    <mergeCell ref="G101:H101"/>
    <mergeCell ref="I101:J101"/>
    <mergeCell ref="I102:J102"/>
    <mergeCell ref="G102:H102"/>
    <mergeCell ref="I102:J102"/>
    <mergeCell ref="I103:J103"/>
    <mergeCell ref="G103:H103"/>
    <mergeCell ref="I103:J103"/>
    <mergeCell ref="I104:J104"/>
    <mergeCell ref="G104:H104"/>
    <mergeCell ref="I104:J104"/>
    <mergeCell ref="I105:J105"/>
    <mergeCell ref="G105:H105"/>
    <mergeCell ref="I105:J105"/>
    <mergeCell ref="I106:J106"/>
    <mergeCell ref="G106:H106"/>
    <mergeCell ref="I106:J106"/>
    <mergeCell ref="I107:J107"/>
    <mergeCell ref="G107:H107"/>
    <mergeCell ref="I107:J107"/>
    <mergeCell ref="I108:J108"/>
    <mergeCell ref="G108:H108"/>
    <mergeCell ref="I108:J108"/>
    <mergeCell ref="I109:J109"/>
    <mergeCell ref="G109:H109"/>
    <mergeCell ref="I109:J109"/>
    <mergeCell ref="I110:J110"/>
    <mergeCell ref="G110:H110"/>
    <mergeCell ref="I110:J110"/>
    <mergeCell ref="I111:J111"/>
    <mergeCell ref="G111:H111"/>
    <mergeCell ref="I111:J111"/>
    <mergeCell ref="I112:J112"/>
    <mergeCell ref="G112:H112"/>
    <mergeCell ref="I112:J112"/>
    <mergeCell ref="I113:J113"/>
    <mergeCell ref="G113:H113"/>
    <mergeCell ref="I113:J113"/>
    <mergeCell ref="I114:J114"/>
    <mergeCell ref="G114:H114"/>
    <mergeCell ref="I114:J114"/>
    <mergeCell ref="I115:J115"/>
    <mergeCell ref="G115:H115"/>
    <mergeCell ref="I115:J115"/>
    <mergeCell ref="I116:J116"/>
    <mergeCell ref="G116:H116"/>
    <mergeCell ref="I116:J116"/>
    <mergeCell ref="I117:J117"/>
    <mergeCell ref="G117:H117"/>
    <mergeCell ref="I117:J117"/>
    <mergeCell ref="I118:J118"/>
    <mergeCell ref="G118:H118"/>
    <mergeCell ref="I118:J118"/>
    <mergeCell ref="I119:J119"/>
    <mergeCell ref="G119:H119"/>
    <mergeCell ref="I119:J119"/>
    <mergeCell ref="I120:J120"/>
    <mergeCell ref="G120:H120"/>
    <mergeCell ref="I120:J120"/>
    <mergeCell ref="I121:J121"/>
    <mergeCell ref="G121:H121"/>
    <mergeCell ref="I121:J121"/>
    <mergeCell ref="I122:J122"/>
    <mergeCell ref="G122:H122"/>
    <mergeCell ref="I122:J122"/>
    <mergeCell ref="I123:J123"/>
    <mergeCell ref="G123:H123"/>
    <mergeCell ref="I123:J123"/>
    <mergeCell ref="I124:J124"/>
    <mergeCell ref="G124:H124"/>
    <mergeCell ref="I124:J124"/>
    <mergeCell ref="I125:J125"/>
    <mergeCell ref="G125:H125"/>
    <mergeCell ref="I125:J125"/>
    <mergeCell ref="I126:J126"/>
    <mergeCell ref="G126:H126"/>
    <mergeCell ref="I126:J126"/>
    <mergeCell ref="I127:J127"/>
    <mergeCell ref="G127:H127"/>
    <mergeCell ref="I127:J127"/>
    <mergeCell ref="I128:J128"/>
    <mergeCell ref="G128:H128"/>
    <mergeCell ref="I128:J128"/>
    <mergeCell ref="I129:J129"/>
    <mergeCell ref="G129:H129"/>
    <mergeCell ref="I129:J129"/>
    <mergeCell ref="I130:J130"/>
    <mergeCell ref="G130:H130"/>
    <mergeCell ref="I130:J130"/>
    <mergeCell ref="I131:J131"/>
    <mergeCell ref="G131:H131"/>
    <mergeCell ref="I131:J131"/>
    <mergeCell ref="I132:J132"/>
    <mergeCell ref="G132:H132"/>
    <mergeCell ref="I132:J132"/>
    <mergeCell ref="I133:J133"/>
    <mergeCell ref="G133:H133"/>
    <mergeCell ref="I133:J133"/>
    <mergeCell ref="I134:J134"/>
    <mergeCell ref="G134:H134"/>
    <mergeCell ref="I134:J134"/>
    <mergeCell ref="I135:J135"/>
    <mergeCell ref="G135:H135"/>
    <mergeCell ref="I135:J135"/>
    <mergeCell ref="I136:J136"/>
    <mergeCell ref="G136:H136"/>
    <mergeCell ref="I136:J136"/>
    <mergeCell ref="I137:J137"/>
    <mergeCell ref="G137:H137"/>
    <mergeCell ref="I137:J137"/>
    <mergeCell ref="I141:J141"/>
    <mergeCell ref="G141:H141"/>
    <mergeCell ref="I141:J141"/>
    <mergeCell ref="I138:J138"/>
    <mergeCell ref="G138:H138"/>
    <mergeCell ref="I138:J138"/>
    <mergeCell ref="I139:J139"/>
    <mergeCell ref="G139:H139"/>
    <mergeCell ref="I139:J139"/>
    <mergeCell ref="F30:I30"/>
    <mergeCell ref="F31:I31"/>
    <mergeCell ref="G142:H142"/>
    <mergeCell ref="I142:J142"/>
    <mergeCell ref="G143:H143"/>
    <mergeCell ref="I143:J143"/>
    <mergeCell ref="C143:J143"/>
    <mergeCell ref="I140:J140"/>
    <mergeCell ref="G140:H140"/>
    <mergeCell ref="I140:J140"/>
    <mergeCell ref="G144:H144"/>
    <mergeCell ref="I144:J144"/>
    <mergeCell ref="C144:L144"/>
    <mergeCell ref="G145:H145"/>
    <mergeCell ref="I145:J145"/>
    <mergeCell ref="G146:H146"/>
    <mergeCell ref="I146:J146"/>
    <mergeCell ref="C146:J146"/>
    <mergeCell ref="G147:H147"/>
    <mergeCell ref="I147:J147"/>
    <mergeCell ref="G148:H148"/>
    <mergeCell ref="I148:J148"/>
    <mergeCell ref="C148:J148"/>
    <mergeCell ref="G149:H149"/>
    <mergeCell ref="I149:J149"/>
    <mergeCell ref="C149:L149"/>
    <mergeCell ref="G150:H150"/>
    <mergeCell ref="I150:J150"/>
    <mergeCell ref="G151:H151"/>
    <mergeCell ref="I151:J151"/>
    <mergeCell ref="C151:J151"/>
    <mergeCell ref="G152:H152"/>
    <mergeCell ref="I152:J152"/>
  </mergeCells>
  <pageMargins left="0.39370078740157477" right="0.39370078740157477" top="0.78740157480314954" bottom="0.39370078740157477" header="0.78740157480314954" footer="0.39370078740157477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G6"/>
  <sheetViews>
    <sheetView workbookViewId="0"/>
  </sheetViews>
  <sheetFormatPr defaultRowHeight="10.5"/>
  <cols>
    <col min="1" max="1" width="5.7109375" style="21" customWidth="1"/>
    <col min="2" max="16384" width="9.140625" style="20"/>
  </cols>
  <sheetData>
    <row r="1" spans="1:33" s="22" customFormat="1">
      <c r="A1" s="10"/>
      <c r="B1" s="22" t="s">
        <v>135</v>
      </c>
      <c r="C1" s="22" t="s">
        <v>136</v>
      </c>
      <c r="D1" s="22" t="s">
        <v>137</v>
      </c>
      <c r="E1" s="22" t="s">
        <v>138</v>
      </c>
      <c r="F1" s="22" t="s">
        <v>139</v>
      </c>
      <c r="G1" s="22" t="s">
        <v>140</v>
      </c>
      <c r="H1" s="22" t="s">
        <v>141</v>
      </c>
      <c r="I1" s="22" t="s">
        <v>142</v>
      </c>
      <c r="J1" s="22" t="s">
        <v>143</v>
      </c>
      <c r="K1" s="22" t="s">
        <v>144</v>
      </c>
      <c r="L1" s="22" t="s">
        <v>145</v>
      </c>
      <c r="M1" s="22" t="s">
        <v>146</v>
      </c>
      <c r="N1" s="22" t="s">
        <v>147</v>
      </c>
      <c r="O1" s="22" t="s">
        <v>148</v>
      </c>
      <c r="P1" s="22" t="s">
        <v>149</v>
      </c>
      <c r="Q1" s="22" t="s">
        <v>150</v>
      </c>
      <c r="R1" s="22" t="s">
        <v>151</v>
      </c>
      <c r="S1" s="22" t="s">
        <v>152</v>
      </c>
      <c r="T1" s="22" t="s">
        <v>153</v>
      </c>
      <c r="U1" s="22" t="s">
        <v>154</v>
      </c>
      <c r="V1" s="22" t="s">
        <v>155</v>
      </c>
      <c r="X1" s="22" t="s">
        <v>156</v>
      </c>
      <c r="Y1" s="22" t="s">
        <v>157</v>
      </c>
      <c r="Z1" s="22" t="s">
        <v>158</v>
      </c>
      <c r="AA1" s="22" t="s">
        <v>159</v>
      </c>
      <c r="AB1" s="22" t="s">
        <v>160</v>
      </c>
      <c r="AC1" s="22" t="s">
        <v>161</v>
      </c>
      <c r="AD1" s="22" t="s">
        <v>162</v>
      </c>
      <c r="AE1" s="22" t="s">
        <v>163</v>
      </c>
      <c r="AF1" s="22" t="s">
        <v>164</v>
      </c>
      <c r="AG1" s="22" t="s">
        <v>165</v>
      </c>
    </row>
    <row r="2" spans="1:33">
      <c r="A2" s="57"/>
      <c r="B2" s="58"/>
      <c r="C2" s="58"/>
      <c r="D2" s="58"/>
      <c r="E2" s="58"/>
      <c r="F2" s="58"/>
      <c r="G2" s="58"/>
      <c r="H2" s="58"/>
      <c r="I2" s="58"/>
      <c r="J2" s="58"/>
    </row>
    <row r="3" spans="1:33">
      <c r="A3" s="23"/>
      <c r="B3" s="59" t="s">
        <v>166</v>
      </c>
      <c r="C3" s="59"/>
      <c r="D3" s="59"/>
      <c r="E3" s="59"/>
      <c r="F3" s="59"/>
      <c r="G3" s="59"/>
      <c r="H3" s="59"/>
      <c r="I3" s="59"/>
      <c r="J3" s="59"/>
    </row>
    <row r="4" spans="1:33">
      <c r="A4" s="23"/>
      <c r="B4" s="59" t="s">
        <v>167</v>
      </c>
      <c r="C4" s="59"/>
      <c r="D4" s="59"/>
      <c r="E4" s="59"/>
      <c r="F4" s="59"/>
      <c r="G4" s="59"/>
      <c r="H4" s="59"/>
      <c r="I4" s="59"/>
      <c r="J4" s="59"/>
    </row>
    <row r="5" spans="1:33">
      <c r="A5" s="57"/>
      <c r="B5" s="58"/>
      <c r="C5" s="58"/>
      <c r="D5" s="58"/>
      <c r="E5" s="58"/>
      <c r="F5" s="58"/>
      <c r="G5" s="58"/>
      <c r="H5" s="58"/>
      <c r="I5" s="58"/>
      <c r="J5" s="58"/>
    </row>
    <row r="6" spans="1:33">
      <c r="A6" s="20" t="str">
        <f>'Форма КС-2'!B37</f>
        <v>1.</v>
      </c>
      <c r="B6" s="20">
        <f>ROUND(C6+D6+F6+AF6+AG6,2)</f>
        <v>2699.71</v>
      </c>
      <c r="C6" s="20">
        <v>262.39</v>
      </c>
      <c r="D6" s="20">
        <v>2437.3200000000002</v>
      </c>
      <c r="E6" s="20">
        <v>300.7</v>
      </c>
      <c r="F6" s="20">
        <v>0</v>
      </c>
      <c r="G6" s="20">
        <v>0</v>
      </c>
      <c r="H6" s="20">
        <v>0</v>
      </c>
      <c r="I6" s="21">
        <v>32.840000000000003</v>
      </c>
      <c r="J6" s="21">
        <v>0</v>
      </c>
      <c r="K6" s="21">
        <v>27.74</v>
      </c>
      <c r="L6" s="20">
        <v>0</v>
      </c>
      <c r="M6" s="20">
        <v>0</v>
      </c>
      <c r="N6" s="20">
        <v>619.399</v>
      </c>
      <c r="O6" s="20">
        <v>394.16300000000001</v>
      </c>
      <c r="P6" s="20">
        <v>288.62900000000002</v>
      </c>
      <c r="Q6" s="20">
        <v>330.77</v>
      </c>
      <c r="R6" s="20">
        <v>183.673</v>
      </c>
      <c r="S6" s="20">
        <v>210.49</v>
      </c>
      <c r="T6" s="20">
        <v>0</v>
      </c>
      <c r="U6" s="20">
        <v>0</v>
      </c>
      <c r="V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</row>
  </sheetData>
  <mergeCells count="4">
    <mergeCell ref="A2:J2"/>
    <mergeCell ref="B3:J3"/>
    <mergeCell ref="B4:J4"/>
    <mergeCell ref="A5:J5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AG6"/>
  <sheetViews>
    <sheetView workbookViewId="0"/>
  </sheetViews>
  <sheetFormatPr defaultRowHeight="10.5"/>
  <cols>
    <col min="1" max="1" width="5.7109375" style="21" customWidth="1"/>
    <col min="2" max="16384" width="9.140625" style="20"/>
  </cols>
  <sheetData>
    <row r="1" spans="1:33" s="22" customFormat="1">
      <c r="A1" s="10"/>
      <c r="B1" s="22" t="s">
        <v>135</v>
      </c>
      <c r="C1" s="22" t="s">
        <v>136</v>
      </c>
      <c r="D1" s="22" t="s">
        <v>137</v>
      </c>
      <c r="E1" s="22" t="s">
        <v>138</v>
      </c>
      <c r="F1" s="22" t="s">
        <v>139</v>
      </c>
      <c r="G1" s="22" t="s">
        <v>140</v>
      </c>
      <c r="H1" s="22" t="s">
        <v>141</v>
      </c>
      <c r="I1" s="22" t="s">
        <v>142</v>
      </c>
      <c r="J1" s="22" t="s">
        <v>143</v>
      </c>
      <c r="K1" s="22" t="s">
        <v>144</v>
      </c>
      <c r="L1" s="22" t="s">
        <v>145</v>
      </c>
      <c r="M1" s="22" t="s">
        <v>146</v>
      </c>
      <c r="N1" s="22" t="s">
        <v>147</v>
      </c>
      <c r="O1" s="22" t="s">
        <v>148</v>
      </c>
      <c r="P1" s="22" t="s">
        <v>149</v>
      </c>
      <c r="Q1" s="22" t="s">
        <v>150</v>
      </c>
      <c r="R1" s="22" t="s">
        <v>151</v>
      </c>
      <c r="S1" s="22" t="s">
        <v>152</v>
      </c>
      <c r="T1" s="22" t="s">
        <v>153</v>
      </c>
      <c r="U1" s="22" t="s">
        <v>154</v>
      </c>
      <c r="V1" s="22" t="s">
        <v>155</v>
      </c>
      <c r="X1" s="22" t="s">
        <v>156</v>
      </c>
      <c r="Y1" s="22" t="s">
        <v>157</v>
      </c>
      <c r="Z1" s="22" t="s">
        <v>158</v>
      </c>
      <c r="AA1" s="22" t="s">
        <v>159</v>
      </c>
      <c r="AB1" s="22" t="s">
        <v>160</v>
      </c>
      <c r="AC1" s="22" t="s">
        <v>161</v>
      </c>
      <c r="AD1" s="22" t="s">
        <v>162</v>
      </c>
      <c r="AE1" s="22" t="s">
        <v>163</v>
      </c>
      <c r="AF1" s="22" t="s">
        <v>164</v>
      </c>
      <c r="AG1" s="22" t="s">
        <v>165</v>
      </c>
    </row>
    <row r="2" spans="1:33">
      <c r="A2" s="57"/>
      <c r="B2" s="58"/>
      <c r="C2" s="58"/>
      <c r="D2" s="58"/>
      <c r="E2" s="58"/>
      <c r="F2" s="58"/>
      <c r="G2" s="58"/>
      <c r="H2" s="58"/>
      <c r="I2" s="58"/>
      <c r="J2" s="58"/>
    </row>
    <row r="3" spans="1:33">
      <c r="A3" s="23"/>
      <c r="B3" s="59" t="s">
        <v>166</v>
      </c>
      <c r="C3" s="59"/>
      <c r="D3" s="59"/>
      <c r="E3" s="59"/>
      <c r="F3" s="59"/>
      <c r="G3" s="59"/>
      <c r="H3" s="59"/>
      <c r="I3" s="59"/>
      <c r="J3" s="59"/>
    </row>
    <row r="4" spans="1:33">
      <c r="A4" s="23"/>
      <c r="B4" s="59" t="s">
        <v>167</v>
      </c>
      <c r="C4" s="59"/>
      <c r="D4" s="59"/>
      <c r="E4" s="59"/>
      <c r="F4" s="59"/>
      <c r="G4" s="59"/>
      <c r="H4" s="59"/>
      <c r="I4" s="59"/>
      <c r="J4" s="59"/>
    </row>
    <row r="5" spans="1:33">
      <c r="A5" s="57"/>
      <c r="B5" s="58"/>
      <c r="C5" s="58"/>
      <c r="D5" s="58"/>
      <c r="E5" s="58"/>
      <c r="F5" s="58"/>
      <c r="G5" s="58"/>
      <c r="H5" s="58"/>
      <c r="I5" s="58"/>
      <c r="J5" s="58"/>
    </row>
    <row r="6" spans="1:33">
      <c r="A6" s="24" t="str">
        <f>'Форма КС-2'!B37</f>
        <v>1.</v>
      </c>
      <c r="B6" s="24">
        <f>ROUND(C6+D6+F6+AF6+AG6,3)</f>
        <v>925919.53799999994</v>
      </c>
      <c r="C6" s="24">
        <f>ROUND('Форма КС-2'!F37*'Базовые цены за единицу'!C6,3)</f>
        <v>89991.898000000001</v>
      </c>
      <c r="D6" s="24">
        <f>ROUND('Форма КС-2'!F37*'Базовые цены за единицу'!D6,3)</f>
        <v>835927.64</v>
      </c>
      <c r="E6" s="24">
        <f>ROUND('Форма КС-2'!F37*'Базовые цены за единицу'!E6,3)</f>
        <v>103131.079</v>
      </c>
      <c r="F6" s="24">
        <f>ROUND('Форма КС-2'!F37*'Базовые цены за единицу'!F6,3)</f>
        <v>0</v>
      </c>
      <c r="G6" s="24">
        <f>ROUND('Форма КС-2'!F37*'Базовые цены за единицу'!G6,3)</f>
        <v>0</v>
      </c>
      <c r="H6" s="24">
        <f>ROUND('Форма КС-2'!F37*'Базовые цены за единицу'!H6,3)</f>
        <v>0</v>
      </c>
      <c r="I6" s="25">
        <f>ОКРУГЛВСЕ('Форма КС-2'!F37*'Базовые цены за единицу'!I6,8)</f>
        <v>11263.135</v>
      </c>
      <c r="J6" s="21">
        <f>ОКРУГЛВСЕ('Форма КС-2'!F37*'Базовые цены за единицу'!J6,8)</f>
        <v>0</v>
      </c>
      <c r="K6" s="25">
        <f>ОКРУГЛВСЕ('Форма КС-2'!F37*'Базовые цены за единицу'!K6,8)</f>
        <v>9513.9878000000008</v>
      </c>
      <c r="L6" s="24">
        <f>ROUND('Форма КС-2'!F37*'Базовые цены за единицу'!L6,3)</f>
        <v>0</v>
      </c>
      <c r="M6" s="24">
        <f>ROUND('Форма КС-2'!F37*'Базовые цены за единицу'!M6,3)</f>
        <v>0</v>
      </c>
      <c r="N6" s="24">
        <f>ROUND((C6+E6)*'Форма КС-2'!F47/100,3)</f>
        <v>212435.27499999999</v>
      </c>
      <c r="O6" s="24">
        <f>ROUND((C6+E6)*'Форма КС-2'!F50/100,3)</f>
        <v>135186.084</v>
      </c>
      <c r="P6" s="24">
        <f>ROUND('Форма КС-2'!F37*'Базовые цены за единицу'!P6,3)</f>
        <v>98991.088000000003</v>
      </c>
      <c r="Q6" s="24">
        <f>ROUND('Форма КС-2'!F37*'Базовые цены за единицу'!Q6,3)</f>
        <v>113444.18700000001</v>
      </c>
      <c r="R6" s="24">
        <f>ROUND('Форма КС-2'!F37*'Базовые цены за единицу'!R6,3)</f>
        <v>62994.328999999998</v>
      </c>
      <c r="S6" s="24">
        <f>ROUND('Форма КС-2'!F37*'Базовые цены за единицу'!S6,3)</f>
        <v>72191.755000000005</v>
      </c>
      <c r="T6" s="24">
        <f>ROUND('Форма КС-2'!F37*'Базовые цены за единицу'!T6,3)</f>
        <v>0</v>
      </c>
      <c r="U6" s="24">
        <f>ROUND('Форма КС-2'!F37*'Базовые цены за единицу'!U6,3)</f>
        <v>0</v>
      </c>
      <c r="V6" s="24">
        <f>ROUND('Форма КС-2'!F37*'Базовые цены за единицу'!V6,3)</f>
        <v>0</v>
      </c>
      <c r="X6" s="20">
        <f>ROUND('Форма КС-2'!F37*'Базовые цены за единицу'!X6,3)</f>
        <v>0</v>
      </c>
      <c r="Y6" s="20">
        <f>IF(Определители!I6="9",ROUND((C6+E6)*(Начисления!M6/100)*('Форма КС-2'!F47/100),3),0)</f>
        <v>0</v>
      </c>
      <c r="Z6" s="20">
        <f>IF(Определители!I6="9",ROUND((C6+E6)*(100-Начисления!M6/100)*('Форма КС-2'!F47/100),3),0)</f>
        <v>0</v>
      </c>
      <c r="AA6" s="20">
        <f>IF(Определители!I6="9",ROUND((C6+E6)*(Начисления!M6/100)*('Форма КС-2'!F50/100),3),0)</f>
        <v>0</v>
      </c>
      <c r="AB6" s="20">
        <f>IF(Определители!I6="9",ROUND((C6+E6)*(100-Начисления!M6/100)*('Форма КС-2'!F50/100),3),0)</f>
        <v>0</v>
      </c>
      <c r="AC6" s="20">
        <f>IF(Определители!I6="9",ROUND(B6*Начисления!M6/100,3),0)</f>
        <v>0</v>
      </c>
      <c r="AD6" s="20">
        <f>IF(Определители!I6="9",ROUND(B6*(100-Начисления!M6)/100,3),0)</f>
        <v>0</v>
      </c>
      <c r="AE6" s="20">
        <f>ROUND('Форма КС-2'!F37*'Базовые цены за единицу'!AE6,3)</f>
        <v>0</v>
      </c>
    </row>
  </sheetData>
  <mergeCells count="4">
    <mergeCell ref="A2:J2"/>
    <mergeCell ref="B3:J3"/>
    <mergeCell ref="B4:J4"/>
    <mergeCell ref="A5:J5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AX6"/>
  <sheetViews>
    <sheetView workbookViewId="0"/>
  </sheetViews>
  <sheetFormatPr defaultRowHeight="10.5"/>
  <cols>
    <col min="1" max="1" width="4.7109375" style="21" customWidth="1"/>
    <col min="2" max="16384" width="9.140625" style="20"/>
  </cols>
  <sheetData>
    <row r="1" spans="1:50" s="22" customFormat="1">
      <c r="A1" s="10"/>
      <c r="B1" s="22" t="s">
        <v>168</v>
      </c>
      <c r="C1" s="22" t="s">
        <v>169</v>
      </c>
      <c r="D1" s="22" t="s">
        <v>170</v>
      </c>
      <c r="E1" s="22" t="s">
        <v>171</v>
      </c>
      <c r="F1" s="22" t="s">
        <v>172</v>
      </c>
      <c r="G1" s="22" t="s">
        <v>173</v>
      </c>
      <c r="H1" s="22" t="s">
        <v>174</v>
      </c>
      <c r="I1" s="22" t="s">
        <v>175</v>
      </c>
      <c r="J1" s="22" t="s">
        <v>176</v>
      </c>
      <c r="K1" s="22" t="s">
        <v>177</v>
      </c>
      <c r="L1" s="22" t="s">
        <v>178</v>
      </c>
      <c r="M1" s="22" t="s">
        <v>179</v>
      </c>
      <c r="N1" s="22" t="s">
        <v>180</v>
      </c>
      <c r="O1" s="22" t="s">
        <v>181</v>
      </c>
      <c r="P1" s="22" t="s">
        <v>182</v>
      </c>
      <c r="Q1" s="22" t="s">
        <v>183</v>
      </c>
      <c r="R1" s="22" t="s">
        <v>184</v>
      </c>
      <c r="S1" s="22" t="s">
        <v>185</v>
      </c>
      <c r="T1" s="22" t="s">
        <v>186</v>
      </c>
      <c r="U1" s="22" t="s">
        <v>187</v>
      </c>
      <c r="V1" s="22" t="s">
        <v>188</v>
      </c>
      <c r="W1" s="22" t="s">
        <v>189</v>
      </c>
      <c r="X1" s="22" t="s">
        <v>190</v>
      </c>
      <c r="Y1" s="22" t="s">
        <v>191</v>
      </c>
      <c r="Z1" s="22" t="s">
        <v>192</v>
      </c>
      <c r="AA1" s="22" t="s">
        <v>193</v>
      </c>
      <c r="AB1" s="22" t="s">
        <v>194</v>
      </c>
      <c r="AC1" s="22" t="s">
        <v>195</v>
      </c>
      <c r="AD1" s="22" t="s">
        <v>196</v>
      </c>
      <c r="AE1" s="22" t="s">
        <v>197</v>
      </c>
      <c r="AF1" s="22" t="s">
        <v>198</v>
      </c>
      <c r="AG1" s="22" t="s">
        <v>199</v>
      </c>
      <c r="AH1" s="22" t="s">
        <v>200</v>
      </c>
      <c r="AI1" s="22" t="s">
        <v>201</v>
      </c>
      <c r="AJ1" s="22" t="s">
        <v>202</v>
      </c>
      <c r="AK1" s="22" t="s">
        <v>203</v>
      </c>
      <c r="AL1" s="22" t="s">
        <v>204</v>
      </c>
      <c r="AM1" s="22" t="s">
        <v>205</v>
      </c>
      <c r="AN1" s="22" t="s">
        <v>206</v>
      </c>
      <c r="AO1" s="22" t="s">
        <v>207</v>
      </c>
      <c r="AP1" s="22" t="s">
        <v>208</v>
      </c>
      <c r="AQ1" s="22" t="s">
        <v>209</v>
      </c>
      <c r="AR1" s="22" t="s">
        <v>210</v>
      </c>
      <c r="AS1" s="22" t="s">
        <v>211</v>
      </c>
      <c r="AT1" s="22" t="s">
        <v>212</v>
      </c>
      <c r="AU1" s="22" t="s">
        <v>213</v>
      </c>
      <c r="AV1" s="22" t="s">
        <v>214</v>
      </c>
      <c r="AW1" s="22" t="s">
        <v>215</v>
      </c>
      <c r="AX1" s="22" t="s">
        <v>216</v>
      </c>
    </row>
    <row r="2" spans="1:50">
      <c r="A2" s="57"/>
      <c r="B2" s="58"/>
      <c r="C2" s="58"/>
      <c r="D2" s="58"/>
      <c r="E2" s="58"/>
      <c r="F2" s="58"/>
      <c r="G2" s="58"/>
      <c r="H2" s="58"/>
      <c r="I2" s="58"/>
      <c r="J2" s="58"/>
    </row>
    <row r="3" spans="1:50">
      <c r="A3" s="23"/>
      <c r="B3" s="59" t="s">
        <v>166</v>
      </c>
      <c r="C3" s="59"/>
      <c r="D3" s="59"/>
      <c r="E3" s="59"/>
      <c r="F3" s="59"/>
      <c r="G3" s="59"/>
      <c r="H3" s="59"/>
      <c r="I3" s="59"/>
      <c r="J3" s="59"/>
    </row>
    <row r="4" spans="1:50">
      <c r="A4" s="23"/>
      <c r="B4" s="59" t="s">
        <v>167</v>
      </c>
      <c r="C4" s="59"/>
      <c r="D4" s="59"/>
      <c r="E4" s="59"/>
      <c r="F4" s="59"/>
      <c r="G4" s="59"/>
      <c r="H4" s="59"/>
      <c r="I4" s="59"/>
      <c r="J4" s="59"/>
    </row>
    <row r="5" spans="1:50">
      <c r="A5" s="57"/>
      <c r="B5" s="58"/>
      <c r="C5" s="58"/>
      <c r="D5" s="58"/>
      <c r="E5" s="58"/>
      <c r="F5" s="58"/>
      <c r="G5" s="58"/>
      <c r="H5" s="58"/>
      <c r="I5" s="58"/>
      <c r="J5" s="58"/>
    </row>
    <row r="6" spans="1:50">
      <c r="A6" s="21" t="str">
        <f>'Форма КС-2'!B37</f>
        <v>1.</v>
      </c>
      <c r="B6" s="21">
        <v>1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0</v>
      </c>
      <c r="L6" s="21">
        <v>0</v>
      </c>
      <c r="M6" s="21">
        <v>100</v>
      </c>
      <c r="N6" s="21">
        <v>0</v>
      </c>
      <c r="O6" s="21">
        <v>0</v>
      </c>
      <c r="P6" s="21">
        <v>1</v>
      </c>
      <c r="Q6" s="21">
        <v>1</v>
      </c>
      <c r="R6" s="21">
        <v>0</v>
      </c>
      <c r="S6" s="21">
        <v>0</v>
      </c>
      <c r="T6" s="21">
        <v>1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1.7</v>
      </c>
      <c r="AH6" s="21">
        <v>1.6</v>
      </c>
      <c r="AI6" s="21">
        <v>1.29</v>
      </c>
      <c r="AJ6" s="21">
        <v>9.1999999999999998E-2</v>
      </c>
      <c r="AK6" s="21">
        <v>0.18</v>
      </c>
      <c r="AL6" s="21">
        <v>1</v>
      </c>
      <c r="AM6" s="21">
        <v>1</v>
      </c>
      <c r="AN6" s="21">
        <v>0.2</v>
      </c>
      <c r="AO6" s="21">
        <v>1.5</v>
      </c>
      <c r="AP6" s="21">
        <v>1</v>
      </c>
      <c r="AQ6" s="21">
        <v>1</v>
      </c>
      <c r="AR6" s="21">
        <v>1</v>
      </c>
      <c r="AS6" s="21">
        <v>1</v>
      </c>
      <c r="AT6" s="21">
        <v>1</v>
      </c>
      <c r="AU6" s="21">
        <v>100</v>
      </c>
      <c r="AV6" s="21">
        <v>1</v>
      </c>
      <c r="AW6" s="21">
        <v>1</v>
      </c>
      <c r="AX6" s="21">
        <v>1</v>
      </c>
    </row>
  </sheetData>
  <mergeCells count="4">
    <mergeCell ref="A2:J2"/>
    <mergeCell ref="B3:J3"/>
    <mergeCell ref="B4:J4"/>
    <mergeCell ref="A5:J5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J6"/>
  <sheetViews>
    <sheetView workbookViewId="0"/>
  </sheetViews>
  <sheetFormatPr defaultRowHeight="10.5"/>
  <cols>
    <col min="1" max="1" width="4.7109375" style="27" customWidth="1"/>
    <col min="2" max="16384" width="9.140625" style="26"/>
  </cols>
  <sheetData>
    <row r="1" spans="1:10" s="22" customFormat="1">
      <c r="B1" s="22" t="s">
        <v>217</v>
      </c>
      <c r="C1" s="22" t="s">
        <v>218</v>
      </c>
      <c r="D1" s="22" t="s">
        <v>219</v>
      </c>
      <c r="E1" s="22" t="s">
        <v>220</v>
      </c>
      <c r="F1" s="22" t="s">
        <v>221</v>
      </c>
      <c r="G1" s="22" t="s">
        <v>222</v>
      </c>
      <c r="H1" s="22" t="s">
        <v>223</v>
      </c>
      <c r="I1" s="22" t="s">
        <v>224</v>
      </c>
      <c r="J1" s="22" t="s">
        <v>225</v>
      </c>
    </row>
    <row r="2" spans="1:10">
      <c r="A2" s="60"/>
      <c r="B2" s="61"/>
      <c r="C2" s="61"/>
      <c r="D2" s="61"/>
      <c r="E2" s="61"/>
      <c r="F2" s="61"/>
      <c r="G2" s="61"/>
      <c r="H2" s="61"/>
      <c r="I2" s="61"/>
      <c r="J2" s="61"/>
    </row>
    <row r="3" spans="1:10">
      <c r="A3" s="28"/>
      <c r="B3" s="62" t="s">
        <v>166</v>
      </c>
      <c r="C3" s="62"/>
      <c r="D3" s="62"/>
      <c r="E3" s="62"/>
      <c r="F3" s="62"/>
      <c r="G3" s="62"/>
      <c r="H3" s="62"/>
      <c r="I3" s="62"/>
      <c r="J3" s="62"/>
    </row>
    <row r="4" spans="1:10">
      <c r="A4" s="28"/>
      <c r="B4" s="62" t="s">
        <v>167</v>
      </c>
      <c r="C4" s="62"/>
      <c r="D4" s="62"/>
      <c r="E4" s="62"/>
      <c r="F4" s="62"/>
      <c r="G4" s="62"/>
      <c r="H4" s="62"/>
      <c r="I4" s="62"/>
      <c r="J4" s="62"/>
    </row>
    <row r="5" spans="1:10">
      <c r="A5" s="60"/>
      <c r="B5" s="61"/>
      <c r="C5" s="61"/>
      <c r="D5" s="61"/>
      <c r="E5" s="61"/>
      <c r="F5" s="61"/>
      <c r="G5" s="61"/>
      <c r="H5" s="61"/>
      <c r="I5" s="61"/>
      <c r="J5" s="61"/>
    </row>
    <row r="6" spans="1:10">
      <c r="A6" s="27" t="str">
        <f>'Форма КС-2'!B37</f>
        <v>1.</v>
      </c>
      <c r="B6" s="26" t="s">
        <v>226</v>
      </c>
      <c r="C6" s="26" t="s">
        <v>226</v>
      </c>
      <c r="D6" s="26" t="s">
        <v>227</v>
      </c>
      <c r="E6" s="26" t="s">
        <v>227</v>
      </c>
      <c r="F6" s="26" t="s">
        <v>228</v>
      </c>
      <c r="G6" s="26" t="s">
        <v>227</v>
      </c>
      <c r="H6" s="26" t="s">
        <v>227</v>
      </c>
      <c r="I6" s="26" t="s">
        <v>26</v>
      </c>
      <c r="J6" s="26" t="s">
        <v>227</v>
      </c>
    </row>
  </sheetData>
  <mergeCells count="4">
    <mergeCell ref="A2:J2"/>
    <mergeCell ref="B3:J3"/>
    <mergeCell ref="B4:J4"/>
    <mergeCell ref="A5:J5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2:N93"/>
  <sheetViews>
    <sheetView workbookViewId="0"/>
  </sheetViews>
  <sheetFormatPr defaultRowHeight="10.5"/>
  <cols>
    <col min="1" max="1" width="4.7109375" style="21" customWidth="1"/>
    <col min="2" max="2" width="44.42578125" style="6" customWidth="1"/>
    <col min="3" max="3" width="3.42578125" style="26" customWidth="1"/>
    <col min="4" max="4" width="6" style="29" customWidth="1"/>
    <col min="5" max="5" width="6" style="6" customWidth="1"/>
    <col min="6" max="9" width="13.7109375" style="29" customWidth="1"/>
    <col min="10" max="11" width="18.7109375" style="29" customWidth="1"/>
    <col min="12" max="12" width="13.7109375" style="29" customWidth="1"/>
    <col min="13" max="13" width="9.140625" style="29"/>
    <col min="14" max="14" width="3.42578125" style="26" hidden="1" customWidth="1"/>
    <col min="15" max="16384" width="9.140625" style="29"/>
  </cols>
  <sheetData>
    <row r="2" spans="1:14">
      <c r="A2" s="57"/>
      <c r="B2" s="51"/>
      <c r="C2" s="51"/>
      <c r="D2" s="63"/>
      <c r="E2" s="51"/>
      <c r="F2" s="63"/>
      <c r="G2" s="63"/>
      <c r="H2" s="63"/>
      <c r="I2" s="63"/>
      <c r="J2" s="63"/>
      <c r="N2" s="29"/>
    </row>
    <row r="3" spans="1:14">
      <c r="A3" s="23"/>
      <c r="B3" s="59" t="s">
        <v>166</v>
      </c>
      <c r="C3" s="59"/>
      <c r="D3" s="59"/>
      <c r="E3" s="59"/>
      <c r="F3" s="59"/>
      <c r="G3" s="59"/>
      <c r="H3" s="59"/>
      <c r="I3" s="59"/>
      <c r="J3" s="59"/>
      <c r="N3" s="29"/>
    </row>
    <row r="4" spans="1:14">
      <c r="A4" s="23"/>
      <c r="B4" s="59" t="s">
        <v>167</v>
      </c>
      <c r="C4" s="59"/>
      <c r="D4" s="59"/>
      <c r="E4" s="59"/>
      <c r="F4" s="59"/>
      <c r="G4" s="59"/>
      <c r="H4" s="59"/>
      <c r="I4" s="59"/>
      <c r="J4" s="59"/>
      <c r="N4" s="29"/>
    </row>
    <row r="5" spans="1:14">
      <c r="A5" s="57"/>
      <c r="B5" s="51"/>
      <c r="C5" s="51"/>
      <c r="D5" s="63"/>
      <c r="E5" s="51"/>
      <c r="F5" s="63"/>
      <c r="G5" s="63"/>
      <c r="H5" s="63"/>
      <c r="I5" s="63"/>
      <c r="J5" s="63"/>
      <c r="N5" s="29"/>
    </row>
    <row r="6" spans="1:14" s="22" customFormat="1">
      <c r="A6" s="10"/>
      <c r="B6" s="22" t="s">
        <v>229</v>
      </c>
      <c r="C6" s="22" t="s">
        <v>230</v>
      </c>
      <c r="D6" s="30" t="s">
        <v>231</v>
      </c>
      <c r="E6" s="22" t="s">
        <v>232</v>
      </c>
      <c r="F6" s="22" t="s">
        <v>233</v>
      </c>
      <c r="G6" s="22" t="s">
        <v>234</v>
      </c>
      <c r="H6" s="22" t="s">
        <v>235</v>
      </c>
      <c r="I6" s="22" t="s">
        <v>236</v>
      </c>
      <c r="J6" s="22" t="s">
        <v>237</v>
      </c>
      <c r="K6" s="22" t="s">
        <v>238</v>
      </c>
      <c r="L6" s="22" t="s">
        <v>239</v>
      </c>
      <c r="M6" s="22" t="s">
        <v>240</v>
      </c>
    </row>
    <row r="7" spans="1:14">
      <c r="A7" s="21">
        <v>1</v>
      </c>
      <c r="B7" s="6" t="s">
        <v>241</v>
      </c>
      <c r="C7" s="26" t="s">
        <v>242</v>
      </c>
      <c r="D7" s="29">
        <v>0</v>
      </c>
      <c r="E7" s="29"/>
      <c r="F7" s="24">
        <f>ROUND(SUM('Базовые цены с учетом расхода'!B6:B6),3)</f>
        <v>925919.53799999994</v>
      </c>
      <c r="G7" s="24">
        <f>ROUND(SUM('Базовые цены с учетом расхода'!C6:C6),3)</f>
        <v>89991.898000000001</v>
      </c>
      <c r="H7" s="24">
        <f>ROUND(SUM('Базовые цены с учетом расхода'!D6:D6),3)</f>
        <v>835927.64</v>
      </c>
      <c r="I7" s="24">
        <f>ROUND(SUM('Базовые цены с учетом расхода'!E6:E6),3)</f>
        <v>103131.079</v>
      </c>
      <c r="J7" s="25">
        <f>ROUND(SUM('Базовые цены с учетом расхода'!I6:I6),8)</f>
        <v>11263.135</v>
      </c>
      <c r="K7" s="25">
        <f>ROUND(SUM('Базовые цены с учетом расхода'!K6:K6),8)</f>
        <v>9513.9878000000008</v>
      </c>
      <c r="L7" s="24">
        <f>ROUND(SUM('Базовые цены с учетом расхода'!F6:F6),3)</f>
        <v>0</v>
      </c>
      <c r="N7" s="26" t="s">
        <v>226</v>
      </c>
    </row>
    <row r="8" spans="1:14">
      <c r="A8" s="21">
        <v>2</v>
      </c>
      <c r="B8" s="6" t="s">
        <v>76</v>
      </c>
      <c r="C8" s="26" t="s">
        <v>243</v>
      </c>
      <c r="D8" s="29">
        <v>0</v>
      </c>
      <c r="F8" s="24">
        <f>ROUND(SUMIF(Определители!I6:I6,"= ",'Базовые цены с учетом расхода'!B6:B6),3)</f>
        <v>0</v>
      </c>
      <c r="G8" s="24">
        <f>ROUND(SUMIF(Определители!I6:I6,"= ",'Базовые цены с учетом расхода'!C6:C6),3)</f>
        <v>0</v>
      </c>
      <c r="H8" s="24">
        <f>ROUND(SUMIF(Определители!I6:I6,"= ",'Базовые цены с учетом расхода'!D6:D6),3)</f>
        <v>0</v>
      </c>
      <c r="I8" s="24">
        <f>ROUND(SUMIF(Определители!I6:I6,"= ",'Базовые цены с учетом расхода'!E6:E6),3)</f>
        <v>0</v>
      </c>
      <c r="J8" s="25">
        <f>ROUND(SUMIF(Определители!I6:I6,"= ",'Базовые цены с учетом расхода'!I6:I6),8)</f>
        <v>0</v>
      </c>
      <c r="K8" s="25">
        <f>ROUND(SUMIF(Определители!I6:I6,"= ",'Базовые цены с учетом расхода'!K6:K6),8)</f>
        <v>0</v>
      </c>
      <c r="L8" s="24">
        <f>ROUND(SUMIF(Определители!I6:I6,"= ",'Базовые цены с учетом расхода'!F6:F6),3)</f>
        <v>0</v>
      </c>
      <c r="N8" s="26" t="s">
        <v>26</v>
      </c>
    </row>
    <row r="9" spans="1:14">
      <c r="A9" s="21">
        <v>3</v>
      </c>
      <c r="B9" s="6" t="s">
        <v>77</v>
      </c>
      <c r="C9" s="26" t="s">
        <v>243</v>
      </c>
      <c r="D9" s="29">
        <v>0</v>
      </c>
      <c r="F9" s="24">
        <f ca="1">ROUND(СУММПРОИЗВЕСЛИ(0.01,Определители!I6:I6," ",'Базовые цены с учетом расхода'!B6:B6,Начисления!X6:X6,0),3)</f>
        <v>0</v>
      </c>
      <c r="G9" s="24"/>
      <c r="H9" s="24"/>
      <c r="I9" s="24"/>
      <c r="J9" s="25"/>
      <c r="K9" s="25"/>
      <c r="L9" s="24"/>
      <c r="N9" s="26" t="s">
        <v>244</v>
      </c>
    </row>
    <row r="10" spans="1:14">
      <c r="A10" s="21">
        <v>4</v>
      </c>
      <c r="B10" s="6" t="s">
        <v>78</v>
      </c>
      <c r="C10" s="26" t="s">
        <v>243</v>
      </c>
      <c r="D10" s="29">
        <v>0</v>
      </c>
      <c r="F10" s="24">
        <f ca="1">ROUND(СУММПРОИЗВЕСЛИ(0.01,Определители!I6:I6," ",'Базовые цены с учетом расхода'!B6:B6,Начисления!Y6:Y6,0),3)</f>
        <v>0</v>
      </c>
      <c r="G10" s="24"/>
      <c r="H10" s="24"/>
      <c r="I10" s="24"/>
      <c r="J10" s="25"/>
      <c r="K10" s="25"/>
      <c r="L10" s="24"/>
      <c r="N10" s="26" t="s">
        <v>245</v>
      </c>
    </row>
    <row r="11" spans="1:14">
      <c r="A11" s="21">
        <v>5</v>
      </c>
      <c r="B11" s="6" t="s">
        <v>79</v>
      </c>
      <c r="C11" s="26" t="s">
        <v>243</v>
      </c>
      <c r="D11" s="29">
        <v>0</v>
      </c>
      <c r="F11" s="24">
        <f ca="1">ROUND(ТРАНСПРАСХОД(Определители!B6:B6,Определители!H6:H6,Определители!I6:I6,'Базовые цены с учетом расхода'!B6:B6,Начисления!Z6:Z6,Начисления!AA6:AA6),3)</f>
        <v>0</v>
      </c>
      <c r="G11" s="24"/>
      <c r="H11" s="24"/>
      <c r="I11" s="24"/>
      <c r="J11" s="25"/>
      <c r="K11" s="25"/>
      <c r="L11" s="24"/>
      <c r="N11" s="26" t="s">
        <v>246</v>
      </c>
    </row>
    <row r="12" spans="1:14">
      <c r="A12" s="21">
        <v>6</v>
      </c>
      <c r="B12" s="6" t="s">
        <v>80</v>
      </c>
      <c r="C12" s="26" t="s">
        <v>243</v>
      </c>
      <c r="D12" s="29">
        <v>0</v>
      </c>
      <c r="F12" s="24">
        <f ca="1">ROUND(СУММПРОИЗВЕСЛИ(0.01,Определители!I6:I6," ",'Базовые цены с учетом расхода'!B6:B6,Начисления!AC6:AC6,0),3)</f>
        <v>0</v>
      </c>
      <c r="G12" s="24"/>
      <c r="H12" s="24"/>
      <c r="I12" s="24"/>
      <c r="J12" s="25"/>
      <c r="K12" s="25"/>
      <c r="L12" s="24"/>
      <c r="N12" s="26" t="s">
        <v>247</v>
      </c>
    </row>
    <row r="13" spans="1:14">
      <c r="A13" s="21">
        <v>7</v>
      </c>
      <c r="B13" s="6" t="s">
        <v>81</v>
      </c>
      <c r="C13" s="26" t="s">
        <v>243</v>
      </c>
      <c r="D13" s="29">
        <v>0</v>
      </c>
      <c r="F13" s="24">
        <f ca="1">ROUND(СУММПРОИЗВЕСЛИ(0.01,Определители!I6:I6," ",'Базовые цены с учетом расхода'!B6:B6,Начисления!AF6:AF6,0),3)</f>
        <v>0</v>
      </c>
      <c r="G13" s="24"/>
      <c r="H13" s="24"/>
      <c r="I13" s="24"/>
      <c r="J13" s="25"/>
      <c r="K13" s="25"/>
      <c r="L13" s="24"/>
      <c r="N13" s="26" t="s">
        <v>248</v>
      </c>
    </row>
    <row r="14" spans="1:14">
      <c r="A14" s="21">
        <v>8</v>
      </c>
      <c r="B14" s="6" t="s">
        <v>82</v>
      </c>
      <c r="C14" s="26" t="s">
        <v>243</v>
      </c>
      <c r="D14" s="29">
        <v>0</v>
      </c>
      <c r="F14" s="24">
        <f ca="1">ROUND(ЗАГОТСКЛАДРАСХОД(Определители!B6:B6,Определители!H6:H6,Определители!I6:I6,'Базовые цены с учетом расхода'!B6:B6,Начисления!X6:X6,Начисления!Y6:Y6,Начисления!Z6:Z6,Начисления!AA6:AA6,Начисления!AB6:AB6,Начисления!AC6:AC6,Начисления!AF6:AF6),3)</f>
        <v>0</v>
      </c>
      <c r="G14" s="24"/>
      <c r="H14" s="24"/>
      <c r="I14" s="24"/>
      <c r="J14" s="25"/>
      <c r="K14" s="25"/>
      <c r="L14" s="24"/>
      <c r="N14" s="26" t="s">
        <v>249</v>
      </c>
    </row>
    <row r="15" spans="1:14">
      <c r="A15" s="21">
        <v>9</v>
      </c>
      <c r="B15" s="6" t="s">
        <v>83</v>
      </c>
      <c r="C15" s="26" t="s">
        <v>243</v>
      </c>
      <c r="D15" s="29">
        <v>0</v>
      </c>
      <c r="F15" s="24">
        <f ca="1">ROUND(СУММПРОИЗВЕСЛИ(1,Определители!I6:I6," ",'Базовые цены с учетом расхода'!M6:M6,Начисления!I6:I6,0),3)</f>
        <v>0</v>
      </c>
      <c r="G15" s="24"/>
      <c r="H15" s="24"/>
      <c r="I15" s="24"/>
      <c r="J15" s="25"/>
      <c r="K15" s="25"/>
      <c r="L15" s="24"/>
      <c r="N15" s="26" t="s">
        <v>250</v>
      </c>
    </row>
    <row r="16" spans="1:14">
      <c r="A16" s="21">
        <v>10</v>
      </c>
      <c r="B16" s="6" t="s">
        <v>84</v>
      </c>
      <c r="C16" s="26" t="s">
        <v>251</v>
      </c>
      <c r="D16" s="29">
        <v>0</v>
      </c>
      <c r="F16" s="24">
        <f ca="1">ROUND((F15+F26+F46),3)</f>
        <v>0</v>
      </c>
      <c r="G16" s="24"/>
      <c r="H16" s="24"/>
      <c r="I16" s="24"/>
      <c r="J16" s="25"/>
      <c r="K16" s="25"/>
      <c r="L16" s="24"/>
      <c r="N16" s="26" t="s">
        <v>252</v>
      </c>
    </row>
    <row r="17" spans="1:14">
      <c r="A17" s="21">
        <v>11</v>
      </c>
      <c r="B17" s="6" t="s">
        <v>85</v>
      </c>
      <c r="C17" s="26" t="s">
        <v>251</v>
      </c>
      <c r="D17" s="29">
        <v>0</v>
      </c>
      <c r="F17" s="24">
        <f ca="1">ROUND((F8+F9+F10+F11+F12+F13+F14+F16),3)</f>
        <v>0</v>
      </c>
      <c r="G17" s="24"/>
      <c r="H17" s="24"/>
      <c r="I17" s="24"/>
      <c r="J17" s="25"/>
      <c r="K17" s="25"/>
      <c r="L17" s="24"/>
      <c r="N17" s="26" t="s">
        <v>253</v>
      </c>
    </row>
    <row r="18" spans="1:14">
      <c r="A18" s="21">
        <v>12</v>
      </c>
      <c r="B18" s="6" t="s">
        <v>86</v>
      </c>
      <c r="C18" s="26" t="s">
        <v>243</v>
      </c>
      <c r="D18" s="29">
        <v>0</v>
      </c>
      <c r="F18" s="24">
        <f>ROUND(SUMIF(Определители!I6:I6,"=1",'Базовые цены с учетом расхода'!B6:B6),3)</f>
        <v>0</v>
      </c>
      <c r="G18" s="24">
        <f>ROUND(SUMIF(Определители!I6:I6,"=1",'Базовые цены с учетом расхода'!C6:C6),3)</f>
        <v>0</v>
      </c>
      <c r="H18" s="24">
        <f>ROUND(SUMIF(Определители!I6:I6,"=1",'Базовые цены с учетом расхода'!D6:D6),3)</f>
        <v>0</v>
      </c>
      <c r="I18" s="24">
        <f>ROUND(SUMIF(Определители!I6:I6,"=1",'Базовые цены с учетом расхода'!E6:E6),3)</f>
        <v>0</v>
      </c>
      <c r="J18" s="25">
        <f>ROUND(SUMIF(Определители!I6:I6,"=1",'Базовые цены с учетом расхода'!I6:I6),8)</f>
        <v>0</v>
      </c>
      <c r="K18" s="25">
        <f>ROUND(SUMIF(Определители!I6:I6,"=1",'Базовые цены с учетом расхода'!K6:K6),8)</f>
        <v>0</v>
      </c>
      <c r="L18" s="24">
        <f>ROUND(SUMIF(Определители!I6:I6,"=1",'Базовые цены с учетом расхода'!F6:F6),3)</f>
        <v>0</v>
      </c>
      <c r="N18" s="26" t="s">
        <v>254</v>
      </c>
    </row>
    <row r="19" spans="1:14">
      <c r="A19" s="21">
        <v>13</v>
      </c>
      <c r="B19" s="6" t="s">
        <v>87</v>
      </c>
      <c r="C19" s="26" t="s">
        <v>243</v>
      </c>
      <c r="D19" s="29">
        <v>0</v>
      </c>
      <c r="F19" s="24"/>
      <c r="G19" s="24"/>
      <c r="H19" s="24"/>
      <c r="I19" s="24"/>
      <c r="J19" s="25"/>
      <c r="K19" s="25"/>
      <c r="L19" s="24"/>
      <c r="N19" s="26" t="s">
        <v>255</v>
      </c>
    </row>
    <row r="20" spans="1:14">
      <c r="A20" s="21">
        <v>14</v>
      </c>
      <c r="B20" s="6" t="s">
        <v>88</v>
      </c>
      <c r="C20" s="26" t="s">
        <v>243</v>
      </c>
      <c r="D20" s="29">
        <v>0</v>
      </c>
      <c r="F20" s="24"/>
      <c r="G20" s="24">
        <f>ROUND(SUMIF(Определители!I6:I6,"=1",'Базовые цены с учетом расхода'!U6:U6),3)</f>
        <v>0</v>
      </c>
      <c r="H20" s="24"/>
      <c r="I20" s="24"/>
      <c r="J20" s="25"/>
      <c r="K20" s="25"/>
      <c r="L20" s="24"/>
      <c r="N20" s="26" t="s">
        <v>256</v>
      </c>
    </row>
    <row r="21" spans="1:14">
      <c r="A21" s="21">
        <v>15</v>
      </c>
      <c r="B21" s="6" t="s">
        <v>89</v>
      </c>
      <c r="C21" s="26" t="s">
        <v>243</v>
      </c>
      <c r="D21" s="29">
        <v>0</v>
      </c>
      <c r="F21" s="24">
        <f>ROUND(SUMIF(Определители!I6:I6,"=1",'Базовые цены с учетом расхода'!V6:V6),3)</f>
        <v>0</v>
      </c>
      <c r="G21" s="24"/>
      <c r="H21" s="24"/>
      <c r="I21" s="24"/>
      <c r="J21" s="25"/>
      <c r="K21" s="25"/>
      <c r="L21" s="24"/>
      <c r="N21" s="26" t="s">
        <v>257</v>
      </c>
    </row>
    <row r="22" spans="1:14">
      <c r="A22" s="21">
        <v>16</v>
      </c>
      <c r="B22" s="6" t="s">
        <v>90</v>
      </c>
      <c r="C22" s="26" t="s">
        <v>243</v>
      </c>
      <c r="D22" s="29">
        <v>0</v>
      </c>
      <c r="F22" s="24">
        <f ca="1">ROUND(СУММЕСЛИ2(Определители!I6:I6,"1",Определители!G6:G6,"1",'Базовые цены с учетом расхода'!B6:B6),3)</f>
        <v>0</v>
      </c>
      <c r="G22" s="24"/>
      <c r="H22" s="24"/>
      <c r="I22" s="24"/>
      <c r="J22" s="25"/>
      <c r="K22" s="25"/>
      <c r="L22" s="24"/>
      <c r="N22" s="26" t="s">
        <v>258</v>
      </c>
    </row>
    <row r="23" spans="1:14">
      <c r="A23" s="21">
        <v>17</v>
      </c>
      <c r="B23" s="6" t="s">
        <v>91</v>
      </c>
      <c r="C23" s="26" t="s">
        <v>243</v>
      </c>
      <c r="D23" s="29">
        <v>0</v>
      </c>
      <c r="F23" s="24">
        <f>ROUND(SUMIF(Определители!I6:I6,"=1",'Базовые цены с учетом расхода'!H6:H6),3)</f>
        <v>0</v>
      </c>
      <c r="G23" s="24"/>
      <c r="H23" s="24"/>
      <c r="I23" s="24"/>
      <c r="J23" s="25"/>
      <c r="K23" s="25"/>
      <c r="L23" s="24"/>
      <c r="N23" s="26" t="s">
        <v>259</v>
      </c>
    </row>
    <row r="24" spans="1:14">
      <c r="A24" s="21">
        <v>18</v>
      </c>
      <c r="B24" s="6" t="s">
        <v>92</v>
      </c>
      <c r="C24" s="26" t="s">
        <v>243</v>
      </c>
      <c r="D24" s="29">
        <v>0</v>
      </c>
      <c r="F24" s="24">
        <f>ROUND(SUMIF(Определители!I6:I6,"=1",'Базовые цены с учетом расхода'!N6:N6),3)</f>
        <v>0</v>
      </c>
      <c r="G24" s="24"/>
      <c r="H24" s="24"/>
      <c r="I24" s="24"/>
      <c r="J24" s="25"/>
      <c r="K24" s="25"/>
      <c r="L24" s="24"/>
      <c r="N24" s="26" t="s">
        <v>260</v>
      </c>
    </row>
    <row r="25" spans="1:14">
      <c r="A25" s="21">
        <v>19</v>
      </c>
      <c r="B25" s="6" t="s">
        <v>93</v>
      </c>
      <c r="C25" s="26" t="s">
        <v>243</v>
      </c>
      <c r="D25" s="29">
        <v>0</v>
      </c>
      <c r="F25" s="24">
        <f>ROUND(SUMIF(Определители!I6:I6,"=1",'Базовые цены с учетом расхода'!O6:O6),3)</f>
        <v>0</v>
      </c>
      <c r="G25" s="24"/>
      <c r="H25" s="24"/>
      <c r="I25" s="24"/>
      <c r="J25" s="25"/>
      <c r="K25" s="25"/>
      <c r="L25" s="24"/>
      <c r="N25" s="26" t="s">
        <v>261</v>
      </c>
    </row>
    <row r="26" spans="1:14">
      <c r="A26" s="21">
        <v>20</v>
      </c>
      <c r="B26" s="6" t="s">
        <v>84</v>
      </c>
      <c r="C26" s="26" t="s">
        <v>243</v>
      </c>
      <c r="D26" s="29">
        <v>0</v>
      </c>
      <c r="F26" s="24">
        <f ca="1">ROUND(СУММПРОИЗВЕСЛИ(1,Определители!I6:I6," ",'Базовые цены с учетом расхода'!M6:M6,Начисления!I6:I6,0),3)</f>
        <v>0</v>
      </c>
      <c r="G26" s="24"/>
      <c r="H26" s="24"/>
      <c r="I26" s="24"/>
      <c r="J26" s="25"/>
      <c r="K26" s="25"/>
      <c r="L26" s="24"/>
      <c r="N26" s="26" t="s">
        <v>262</v>
      </c>
    </row>
    <row r="27" spans="1:14">
      <c r="A27" s="21">
        <v>21</v>
      </c>
      <c r="B27" s="6" t="s">
        <v>94</v>
      </c>
      <c r="C27" s="26" t="s">
        <v>251</v>
      </c>
      <c r="D27" s="29">
        <v>0</v>
      </c>
      <c r="F27" s="24">
        <f>ROUND((F18+F24+F25),3)</f>
        <v>0</v>
      </c>
      <c r="G27" s="24"/>
      <c r="H27" s="24"/>
      <c r="I27" s="24"/>
      <c r="J27" s="25"/>
      <c r="K27" s="25"/>
      <c r="L27" s="24"/>
      <c r="N27" s="26" t="s">
        <v>263</v>
      </c>
    </row>
    <row r="28" spans="1:14">
      <c r="A28" s="21">
        <v>22</v>
      </c>
      <c r="B28" s="6" t="s">
        <v>95</v>
      </c>
      <c r="C28" s="26" t="s">
        <v>243</v>
      </c>
      <c r="D28" s="29">
        <v>0</v>
      </c>
      <c r="F28" s="24">
        <f>ROUND(SUMIF(Определители!I6:I6,"=2",'Базовые цены с учетом расхода'!B6:B6),3)</f>
        <v>925919.53799999994</v>
      </c>
      <c r="G28" s="24">
        <f>ROUND(SUMIF(Определители!I6:I6,"=2",'Базовые цены с учетом расхода'!C6:C6),3)</f>
        <v>89991.898000000001</v>
      </c>
      <c r="H28" s="24">
        <f>ROUND(SUMIF(Определители!I6:I6,"=2",'Базовые цены с учетом расхода'!D6:D6),3)</f>
        <v>835927.64</v>
      </c>
      <c r="I28" s="24">
        <f>ROUND(SUMIF(Определители!I6:I6,"=2",'Базовые цены с учетом расхода'!E6:E6),3)</f>
        <v>103131.079</v>
      </c>
      <c r="J28" s="25">
        <f>ROUND(SUMIF(Определители!I6:I6,"=2",'Базовые цены с учетом расхода'!I6:I6),8)</f>
        <v>11263.135</v>
      </c>
      <c r="K28" s="25">
        <f>ROUND(SUMIF(Определители!I6:I6,"=2",'Базовые цены с учетом расхода'!K6:K6),8)</f>
        <v>9513.9878000000008</v>
      </c>
      <c r="L28" s="24">
        <f>ROUND(SUMIF(Определители!I6:I6,"=2",'Базовые цены с учетом расхода'!F6:F6),3)</f>
        <v>0</v>
      </c>
      <c r="N28" s="26" t="s">
        <v>264</v>
      </c>
    </row>
    <row r="29" spans="1:14">
      <c r="A29" s="21">
        <v>23</v>
      </c>
      <c r="B29" s="6" t="s">
        <v>87</v>
      </c>
      <c r="C29" s="26" t="s">
        <v>243</v>
      </c>
      <c r="D29" s="29">
        <v>0</v>
      </c>
      <c r="F29" s="24"/>
      <c r="G29" s="24"/>
      <c r="H29" s="24"/>
      <c r="I29" s="24"/>
      <c r="J29" s="25"/>
      <c r="K29" s="25"/>
      <c r="L29" s="24"/>
      <c r="N29" s="26" t="s">
        <v>265</v>
      </c>
    </row>
    <row r="30" spans="1:14">
      <c r="A30" s="21">
        <v>24</v>
      </c>
      <c r="B30" s="6" t="s">
        <v>96</v>
      </c>
      <c r="C30" s="26" t="s">
        <v>243</v>
      </c>
      <c r="D30" s="29">
        <v>0</v>
      </c>
      <c r="F30" s="24">
        <f ca="1">ROUND(СУММЕСЛИ2(Определители!I6:I6,"2",Определители!G6:G6,"1",'Базовые цены с учетом расхода'!B6:B6),3)</f>
        <v>0</v>
      </c>
      <c r="G30" s="24"/>
      <c r="H30" s="24"/>
      <c r="I30" s="24"/>
      <c r="J30" s="25"/>
      <c r="K30" s="25"/>
      <c r="L30" s="24"/>
      <c r="N30" s="26" t="s">
        <v>266</v>
      </c>
    </row>
    <row r="31" spans="1:14">
      <c r="A31" s="21">
        <v>25</v>
      </c>
      <c r="B31" s="6" t="s">
        <v>91</v>
      </c>
      <c r="C31" s="26" t="s">
        <v>243</v>
      </c>
      <c r="D31" s="29">
        <v>0</v>
      </c>
      <c r="F31" s="24">
        <f>ROUND(SUMIF(Определители!I6:I6,"=2",'Базовые цены с учетом расхода'!H6:H6),3)</f>
        <v>0</v>
      </c>
      <c r="G31" s="24"/>
      <c r="H31" s="24"/>
      <c r="I31" s="24"/>
      <c r="J31" s="25"/>
      <c r="K31" s="25"/>
      <c r="L31" s="24"/>
      <c r="N31" s="26" t="s">
        <v>267</v>
      </c>
    </row>
    <row r="32" spans="1:14">
      <c r="A32" s="21">
        <v>26</v>
      </c>
      <c r="B32" s="6" t="s">
        <v>92</v>
      </c>
      <c r="C32" s="26" t="s">
        <v>243</v>
      </c>
      <c r="D32" s="29">
        <v>0</v>
      </c>
      <c r="F32" s="24">
        <f>ROUND(SUMIF(Определители!I6:I6,"=2",'Базовые цены с учетом расхода'!N6:N6),3)</f>
        <v>212435.27499999999</v>
      </c>
      <c r="G32" s="24"/>
      <c r="H32" s="24"/>
      <c r="I32" s="24"/>
      <c r="J32" s="25"/>
      <c r="K32" s="25"/>
      <c r="L32" s="24"/>
      <c r="N32" s="26" t="s">
        <v>268</v>
      </c>
    </row>
    <row r="33" spans="1:14">
      <c r="A33" s="21">
        <v>27</v>
      </c>
      <c r="B33" s="6" t="s">
        <v>93</v>
      </c>
      <c r="C33" s="26" t="s">
        <v>243</v>
      </c>
      <c r="D33" s="29">
        <v>0</v>
      </c>
      <c r="F33" s="24">
        <f>ROUND(SUMIF(Определители!I6:I6,"=2",'Базовые цены с учетом расхода'!O6:O6),3)</f>
        <v>135186.084</v>
      </c>
      <c r="G33" s="24"/>
      <c r="H33" s="24"/>
      <c r="I33" s="24"/>
      <c r="J33" s="25"/>
      <c r="K33" s="25"/>
      <c r="L33" s="24"/>
      <c r="N33" s="26" t="s">
        <v>269</v>
      </c>
    </row>
    <row r="34" spans="1:14">
      <c r="A34" s="21">
        <v>28</v>
      </c>
      <c r="B34" s="6" t="s">
        <v>99</v>
      </c>
      <c r="C34" s="26" t="s">
        <v>251</v>
      </c>
      <c r="D34" s="29">
        <v>0</v>
      </c>
      <c r="F34" s="24">
        <f>ROUND((F28+F32+F33),3)</f>
        <v>1273540.8970000001</v>
      </c>
      <c r="G34" s="24"/>
      <c r="H34" s="24"/>
      <c r="I34" s="24"/>
      <c r="J34" s="25"/>
      <c r="K34" s="25"/>
      <c r="L34" s="24"/>
      <c r="N34" s="26" t="s">
        <v>270</v>
      </c>
    </row>
    <row r="35" spans="1:14">
      <c r="A35" s="21">
        <v>29</v>
      </c>
      <c r="B35" s="6" t="s">
        <v>100</v>
      </c>
      <c r="C35" s="26" t="s">
        <v>243</v>
      </c>
      <c r="D35" s="29">
        <v>0</v>
      </c>
      <c r="F35" s="24">
        <f>ROUND(SUMIF(Определители!I6:I6,"=3",'Базовые цены с учетом расхода'!B6:B6),3)</f>
        <v>0</v>
      </c>
      <c r="G35" s="24">
        <f>ROUND(SUMIF(Определители!I6:I6,"=3",'Базовые цены с учетом расхода'!C6:C6),3)</f>
        <v>0</v>
      </c>
      <c r="H35" s="24">
        <f>ROUND(SUMIF(Определители!I6:I6,"=3",'Базовые цены с учетом расхода'!D6:D6),3)</f>
        <v>0</v>
      </c>
      <c r="I35" s="24">
        <f>ROUND(SUMIF(Определители!I6:I6,"=3",'Базовые цены с учетом расхода'!E6:E6),3)</f>
        <v>0</v>
      </c>
      <c r="J35" s="25">
        <f>ROUND(SUMIF(Определители!I6:I6,"=3",'Базовые цены с учетом расхода'!I6:I6),8)</f>
        <v>0</v>
      </c>
      <c r="K35" s="25">
        <f>ROUND(SUMIF(Определители!I6:I6,"=3",'Базовые цены с учетом расхода'!K6:K6),8)</f>
        <v>0</v>
      </c>
      <c r="L35" s="24">
        <f>ROUND(SUMIF(Определители!I6:I6,"=3",'Базовые цены с учетом расхода'!F6:F6),3)</f>
        <v>0</v>
      </c>
      <c r="N35" s="26" t="s">
        <v>271</v>
      </c>
    </row>
    <row r="36" spans="1:14">
      <c r="A36" s="21">
        <v>30</v>
      </c>
      <c r="B36" s="6" t="s">
        <v>91</v>
      </c>
      <c r="C36" s="26" t="s">
        <v>243</v>
      </c>
      <c r="D36" s="29">
        <v>0</v>
      </c>
      <c r="F36" s="24">
        <f>ROUND(SUMIF(Определители!I6:I6,"=3",'Базовые цены с учетом расхода'!H6:H6),3)</f>
        <v>0</v>
      </c>
      <c r="G36" s="24"/>
      <c r="H36" s="24"/>
      <c r="I36" s="24"/>
      <c r="J36" s="25"/>
      <c r="K36" s="25"/>
      <c r="L36" s="24"/>
      <c r="N36" s="26" t="s">
        <v>272</v>
      </c>
    </row>
    <row r="37" spans="1:14">
      <c r="A37" s="21">
        <v>31</v>
      </c>
      <c r="B37" s="6" t="s">
        <v>92</v>
      </c>
      <c r="C37" s="26" t="s">
        <v>243</v>
      </c>
      <c r="D37" s="29">
        <v>0</v>
      </c>
      <c r="F37" s="24">
        <f>ROUND(SUMIF(Определители!I6:I6,"=3",'Базовые цены с учетом расхода'!N6:N6),3)</f>
        <v>0</v>
      </c>
      <c r="G37" s="24"/>
      <c r="H37" s="24"/>
      <c r="I37" s="24"/>
      <c r="J37" s="25"/>
      <c r="K37" s="25"/>
      <c r="L37" s="24"/>
      <c r="N37" s="26" t="s">
        <v>273</v>
      </c>
    </row>
    <row r="38" spans="1:14">
      <c r="A38" s="21">
        <v>32</v>
      </c>
      <c r="B38" s="6" t="s">
        <v>93</v>
      </c>
      <c r="C38" s="26" t="s">
        <v>243</v>
      </c>
      <c r="D38" s="29">
        <v>0</v>
      </c>
      <c r="F38" s="24">
        <f>ROUND(SUMIF(Определители!I6:I6,"=3",'Базовые цены с учетом расхода'!O6:O6),3)</f>
        <v>0</v>
      </c>
      <c r="G38" s="24"/>
      <c r="H38" s="24"/>
      <c r="I38" s="24"/>
      <c r="J38" s="25"/>
      <c r="K38" s="25"/>
      <c r="L38" s="24"/>
      <c r="N38" s="26" t="s">
        <v>274</v>
      </c>
    </row>
    <row r="39" spans="1:14">
      <c r="A39" s="21">
        <v>33</v>
      </c>
      <c r="B39" s="6" t="s">
        <v>101</v>
      </c>
      <c r="C39" s="26" t="s">
        <v>251</v>
      </c>
      <c r="D39" s="29">
        <v>0</v>
      </c>
      <c r="F39" s="24">
        <f>ROUND((F35+F37+F38),3)</f>
        <v>0</v>
      </c>
      <c r="G39" s="24"/>
      <c r="H39" s="24"/>
      <c r="I39" s="24"/>
      <c r="J39" s="25"/>
      <c r="K39" s="25"/>
      <c r="L39" s="24"/>
      <c r="N39" s="26" t="s">
        <v>275</v>
      </c>
    </row>
    <row r="40" spans="1:14">
      <c r="A40" s="21">
        <v>34</v>
      </c>
      <c r="B40" s="6" t="s">
        <v>102</v>
      </c>
      <c r="C40" s="26" t="s">
        <v>243</v>
      </c>
      <c r="D40" s="29">
        <v>0</v>
      </c>
      <c r="F40" s="24">
        <f>ROUND(SUMIF(Определители!I6:I6,"=4",'Базовые цены с учетом расхода'!B6:B6),3)</f>
        <v>0</v>
      </c>
      <c r="G40" s="24">
        <f>ROUND(SUMIF(Определители!I6:I6,"=4",'Базовые цены с учетом расхода'!C6:C6),3)</f>
        <v>0</v>
      </c>
      <c r="H40" s="24">
        <f>ROUND(SUMIF(Определители!I6:I6,"=4",'Базовые цены с учетом расхода'!D6:D6),3)</f>
        <v>0</v>
      </c>
      <c r="I40" s="24">
        <f>ROUND(SUMIF(Определители!I6:I6,"=4",'Базовые цены с учетом расхода'!E6:E6),3)</f>
        <v>0</v>
      </c>
      <c r="J40" s="25">
        <f>ROUND(SUMIF(Определители!I6:I6,"=4",'Базовые цены с учетом расхода'!I6:I6),8)</f>
        <v>0</v>
      </c>
      <c r="K40" s="25">
        <f>ROUND(SUMIF(Определители!I6:I6,"=4",'Базовые цены с учетом расхода'!K6:K6),8)</f>
        <v>0</v>
      </c>
      <c r="L40" s="24">
        <f>ROUND(SUMIF(Определители!I6:I6,"=4",'Базовые цены с учетом расхода'!F6:F6),3)</f>
        <v>0</v>
      </c>
      <c r="N40" s="26" t="s">
        <v>276</v>
      </c>
    </row>
    <row r="41" spans="1:14">
      <c r="A41" s="21">
        <v>35</v>
      </c>
      <c r="B41" s="6" t="s">
        <v>87</v>
      </c>
      <c r="C41" s="26" t="s">
        <v>243</v>
      </c>
      <c r="D41" s="29">
        <v>0</v>
      </c>
      <c r="F41" s="24"/>
      <c r="G41" s="24"/>
      <c r="H41" s="24"/>
      <c r="I41" s="24"/>
      <c r="J41" s="25"/>
      <c r="K41" s="25"/>
      <c r="L41" s="24"/>
      <c r="N41" s="26" t="s">
        <v>277</v>
      </c>
    </row>
    <row r="42" spans="1:14">
      <c r="A42" s="21">
        <v>36</v>
      </c>
      <c r="B42" s="6" t="s">
        <v>103</v>
      </c>
      <c r="C42" s="26" t="s">
        <v>243</v>
      </c>
      <c r="D42" s="29">
        <v>0</v>
      </c>
      <c r="F42" s="24"/>
      <c r="G42" s="24"/>
      <c r="H42" s="24"/>
      <c r="I42" s="24"/>
      <c r="J42" s="25"/>
      <c r="K42" s="25"/>
      <c r="L42" s="24"/>
      <c r="N42" s="26" t="s">
        <v>278</v>
      </c>
    </row>
    <row r="43" spans="1:14">
      <c r="A43" s="21">
        <v>37</v>
      </c>
      <c r="B43" s="6" t="s">
        <v>91</v>
      </c>
      <c r="C43" s="26" t="s">
        <v>243</v>
      </c>
      <c r="D43" s="29">
        <v>0</v>
      </c>
      <c r="F43" s="24">
        <f>ROUND(SUMIF(Определители!I6:I6,"=4",'Базовые цены с учетом расхода'!H6:H6),3)</f>
        <v>0</v>
      </c>
      <c r="G43" s="24"/>
      <c r="H43" s="24"/>
      <c r="I43" s="24"/>
      <c r="J43" s="25"/>
      <c r="K43" s="25"/>
      <c r="L43" s="24"/>
      <c r="N43" s="26" t="s">
        <v>279</v>
      </c>
    </row>
    <row r="44" spans="1:14">
      <c r="A44" s="21">
        <v>38</v>
      </c>
      <c r="B44" s="6" t="s">
        <v>92</v>
      </c>
      <c r="C44" s="26" t="s">
        <v>243</v>
      </c>
      <c r="D44" s="29">
        <v>0</v>
      </c>
      <c r="F44" s="24">
        <f>ROUND(SUMIF(Определители!I6:I6,"=4",'Базовые цены с учетом расхода'!N6:N6),3)</f>
        <v>0</v>
      </c>
      <c r="G44" s="24"/>
      <c r="H44" s="24"/>
      <c r="I44" s="24"/>
      <c r="J44" s="25"/>
      <c r="K44" s="25"/>
      <c r="L44" s="24"/>
      <c r="N44" s="26" t="s">
        <v>280</v>
      </c>
    </row>
    <row r="45" spans="1:14">
      <c r="A45" s="21">
        <v>39</v>
      </c>
      <c r="B45" s="6" t="s">
        <v>93</v>
      </c>
      <c r="C45" s="26" t="s">
        <v>243</v>
      </c>
      <c r="D45" s="29">
        <v>0</v>
      </c>
      <c r="F45" s="24">
        <f>ROUND(SUMIF(Определители!I6:I6,"=4",'Базовые цены с учетом расхода'!O6:O6),3)</f>
        <v>0</v>
      </c>
      <c r="G45" s="24"/>
      <c r="H45" s="24"/>
      <c r="I45" s="24"/>
      <c r="J45" s="25"/>
      <c r="K45" s="25"/>
      <c r="L45" s="24"/>
      <c r="N45" s="26" t="s">
        <v>281</v>
      </c>
    </row>
    <row r="46" spans="1:14">
      <c r="A46" s="21">
        <v>40</v>
      </c>
      <c r="B46" s="6" t="s">
        <v>84</v>
      </c>
      <c r="C46" s="26" t="s">
        <v>243</v>
      </c>
      <c r="D46" s="29">
        <v>0</v>
      </c>
      <c r="F46" s="24">
        <f ca="1">ROUND(СУММПРОИЗВЕСЛИ(1,Определители!I6:I6," ",'Базовые цены с учетом расхода'!M6:M6,Начисления!I6:I6,0),3)</f>
        <v>0</v>
      </c>
      <c r="G46" s="24"/>
      <c r="H46" s="24"/>
      <c r="I46" s="24"/>
      <c r="J46" s="25"/>
      <c r="K46" s="25"/>
      <c r="L46" s="24"/>
      <c r="N46" s="26" t="s">
        <v>282</v>
      </c>
    </row>
    <row r="47" spans="1:14">
      <c r="A47" s="21">
        <v>41</v>
      </c>
      <c r="B47" s="6" t="s">
        <v>104</v>
      </c>
      <c r="C47" s="26" t="s">
        <v>251</v>
      </c>
      <c r="D47" s="29">
        <v>0</v>
      </c>
      <c r="F47" s="24">
        <f>ROUND((F40+F44+F45),3)</f>
        <v>0</v>
      </c>
      <c r="G47" s="24"/>
      <c r="H47" s="24"/>
      <c r="I47" s="24"/>
      <c r="J47" s="25"/>
      <c r="K47" s="25"/>
      <c r="L47" s="24"/>
      <c r="N47" s="26" t="s">
        <v>283</v>
      </c>
    </row>
    <row r="48" spans="1:14">
      <c r="A48" s="21">
        <v>42</v>
      </c>
      <c r="B48" s="6" t="s">
        <v>105</v>
      </c>
      <c r="C48" s="26" t="s">
        <v>243</v>
      </c>
      <c r="D48" s="29">
        <v>0</v>
      </c>
      <c r="F48" s="24">
        <f>ROUND(SUMIF(Определители!I6:I6,"=5",'Базовые цены с учетом расхода'!B6:B6),3)</f>
        <v>0</v>
      </c>
      <c r="G48" s="24">
        <f>ROUND(SUMIF(Определители!I6:I6,"=5",'Базовые цены с учетом расхода'!C6:C6),3)</f>
        <v>0</v>
      </c>
      <c r="H48" s="24">
        <f>ROUND(SUMIF(Определители!I6:I6,"=5",'Базовые цены с учетом расхода'!D6:D6),3)</f>
        <v>0</v>
      </c>
      <c r="I48" s="24">
        <f>ROUND(SUMIF(Определители!I6:I6,"=5",'Базовые цены с учетом расхода'!E6:E6),3)</f>
        <v>0</v>
      </c>
      <c r="J48" s="25">
        <f>ROUND(SUMIF(Определители!I6:I6,"=5",'Базовые цены с учетом расхода'!I6:I6),8)</f>
        <v>0</v>
      </c>
      <c r="K48" s="25">
        <f>ROUND(SUMIF(Определители!I6:I6,"=5",'Базовые цены с учетом расхода'!K6:K6),8)</f>
        <v>0</v>
      </c>
      <c r="L48" s="24">
        <f>ROUND(SUMIF(Определители!I6:I6,"=5",'Базовые цены с учетом расхода'!F6:F6),3)</f>
        <v>0</v>
      </c>
      <c r="N48" s="26" t="s">
        <v>284</v>
      </c>
    </row>
    <row r="49" spans="1:14">
      <c r="A49" s="21">
        <v>43</v>
      </c>
      <c r="B49" s="6" t="s">
        <v>91</v>
      </c>
      <c r="C49" s="26" t="s">
        <v>243</v>
      </c>
      <c r="D49" s="29">
        <v>0</v>
      </c>
      <c r="F49" s="24">
        <f>ROUND(SUMIF(Определители!I6:I6,"=5",'Базовые цены с учетом расхода'!H6:H6),3)</f>
        <v>0</v>
      </c>
      <c r="G49" s="24"/>
      <c r="H49" s="24"/>
      <c r="I49" s="24"/>
      <c r="J49" s="25"/>
      <c r="K49" s="25"/>
      <c r="L49" s="24"/>
      <c r="N49" s="26" t="s">
        <v>285</v>
      </c>
    </row>
    <row r="50" spans="1:14">
      <c r="A50" s="21">
        <v>44</v>
      </c>
      <c r="B50" s="6" t="s">
        <v>92</v>
      </c>
      <c r="C50" s="26" t="s">
        <v>243</v>
      </c>
      <c r="D50" s="29">
        <v>0</v>
      </c>
      <c r="F50" s="24">
        <f>ROUND(SUMIF(Определители!I6:I6,"=5",'Базовые цены с учетом расхода'!N6:N6),3)</f>
        <v>0</v>
      </c>
      <c r="G50" s="24"/>
      <c r="H50" s="24"/>
      <c r="I50" s="24"/>
      <c r="J50" s="25"/>
      <c r="K50" s="25"/>
      <c r="L50" s="24"/>
      <c r="N50" s="26" t="s">
        <v>286</v>
      </c>
    </row>
    <row r="51" spans="1:14">
      <c r="A51" s="21">
        <v>45</v>
      </c>
      <c r="B51" s="6" t="s">
        <v>93</v>
      </c>
      <c r="C51" s="26" t="s">
        <v>243</v>
      </c>
      <c r="D51" s="29">
        <v>0</v>
      </c>
      <c r="F51" s="24">
        <f>ROUND(SUMIF(Определители!I6:I6,"=5",'Базовые цены с учетом расхода'!O6:O6),3)</f>
        <v>0</v>
      </c>
      <c r="G51" s="24"/>
      <c r="H51" s="24"/>
      <c r="I51" s="24"/>
      <c r="J51" s="25"/>
      <c r="K51" s="25"/>
      <c r="L51" s="24"/>
      <c r="N51" s="26" t="s">
        <v>287</v>
      </c>
    </row>
    <row r="52" spans="1:14">
      <c r="A52" s="21">
        <v>46</v>
      </c>
      <c r="B52" s="6" t="s">
        <v>106</v>
      </c>
      <c r="C52" s="26" t="s">
        <v>251</v>
      </c>
      <c r="D52" s="29">
        <v>0</v>
      </c>
      <c r="F52" s="24">
        <f>ROUND((F48+F50+F51),3)</f>
        <v>0</v>
      </c>
      <c r="G52" s="24"/>
      <c r="H52" s="24"/>
      <c r="I52" s="24"/>
      <c r="J52" s="25"/>
      <c r="K52" s="25"/>
      <c r="L52" s="24"/>
      <c r="N52" s="26" t="s">
        <v>288</v>
      </c>
    </row>
    <row r="53" spans="1:14">
      <c r="A53" s="21">
        <v>47</v>
      </c>
      <c r="B53" s="6" t="s">
        <v>107</v>
      </c>
      <c r="C53" s="26" t="s">
        <v>243</v>
      </c>
      <c r="D53" s="29">
        <v>0</v>
      </c>
      <c r="F53" s="24">
        <f>ROUND(SUMIF(Определители!I6:I6,"=6",'Базовые цены с учетом расхода'!B6:B6),3)</f>
        <v>0</v>
      </c>
      <c r="G53" s="24">
        <f>ROUND(SUMIF(Определители!I6:I6,"=6",'Базовые цены с учетом расхода'!C6:C6),3)</f>
        <v>0</v>
      </c>
      <c r="H53" s="24">
        <f>ROUND(SUMIF(Определители!I6:I6,"=6",'Базовые цены с учетом расхода'!D6:D6),3)</f>
        <v>0</v>
      </c>
      <c r="I53" s="24">
        <f>ROUND(SUMIF(Определители!I6:I6,"=6",'Базовые цены с учетом расхода'!E6:E6),3)</f>
        <v>0</v>
      </c>
      <c r="J53" s="25">
        <f>ROUND(SUMIF(Определители!I6:I6,"=6",'Базовые цены с учетом расхода'!I6:I6),8)</f>
        <v>0</v>
      </c>
      <c r="K53" s="25">
        <f>ROUND(SUMIF(Определители!I6:I6,"=6",'Базовые цены с учетом расхода'!K6:K6),8)</f>
        <v>0</v>
      </c>
      <c r="L53" s="24">
        <f>ROUND(SUMIF(Определители!I6:I6,"=6",'Базовые цены с учетом расхода'!F6:F6),3)</f>
        <v>0</v>
      </c>
      <c r="N53" s="26" t="s">
        <v>289</v>
      </c>
    </row>
    <row r="54" spans="1:14">
      <c r="A54" s="21">
        <v>48</v>
      </c>
      <c r="B54" s="6" t="s">
        <v>91</v>
      </c>
      <c r="C54" s="26" t="s">
        <v>243</v>
      </c>
      <c r="D54" s="29">
        <v>0</v>
      </c>
      <c r="F54" s="24">
        <f>ROUND(SUMIF(Определители!I6:I6,"=6",'Базовые цены с учетом расхода'!H6:H6),3)</f>
        <v>0</v>
      </c>
      <c r="G54" s="24"/>
      <c r="H54" s="24"/>
      <c r="I54" s="24"/>
      <c r="J54" s="25"/>
      <c r="K54" s="25"/>
      <c r="L54" s="24"/>
      <c r="N54" s="26" t="s">
        <v>290</v>
      </c>
    </row>
    <row r="55" spans="1:14">
      <c r="A55" s="21">
        <v>49</v>
      </c>
      <c r="B55" s="6" t="s">
        <v>92</v>
      </c>
      <c r="C55" s="26" t="s">
        <v>243</v>
      </c>
      <c r="D55" s="29">
        <v>0</v>
      </c>
      <c r="F55" s="24">
        <f>ROUND(SUMIF(Определители!I6:I6,"=6",'Базовые цены с учетом расхода'!N6:N6),3)</f>
        <v>0</v>
      </c>
      <c r="G55" s="24"/>
      <c r="H55" s="24"/>
      <c r="I55" s="24"/>
      <c r="J55" s="25"/>
      <c r="K55" s="25"/>
      <c r="L55" s="24"/>
      <c r="N55" s="26" t="s">
        <v>291</v>
      </c>
    </row>
    <row r="56" spans="1:14">
      <c r="A56" s="21">
        <v>50</v>
      </c>
      <c r="B56" s="6" t="s">
        <v>93</v>
      </c>
      <c r="C56" s="26" t="s">
        <v>243</v>
      </c>
      <c r="D56" s="29">
        <v>0</v>
      </c>
      <c r="F56" s="24">
        <f>ROUND(SUMIF(Определители!I6:I6,"=6",'Базовые цены с учетом расхода'!O6:O6),3)</f>
        <v>0</v>
      </c>
      <c r="G56" s="24"/>
      <c r="H56" s="24"/>
      <c r="I56" s="24"/>
      <c r="J56" s="25"/>
      <c r="K56" s="25"/>
      <c r="L56" s="24"/>
      <c r="N56" s="26" t="s">
        <v>292</v>
      </c>
    </row>
    <row r="57" spans="1:14">
      <c r="A57" s="21">
        <v>51</v>
      </c>
      <c r="B57" s="6" t="s">
        <v>108</v>
      </c>
      <c r="C57" s="26" t="s">
        <v>251</v>
      </c>
      <c r="D57" s="29">
        <v>0</v>
      </c>
      <c r="F57" s="24">
        <f>ROUND((F53+F55+F56),3)</f>
        <v>0</v>
      </c>
      <c r="G57" s="24"/>
      <c r="H57" s="24"/>
      <c r="I57" s="24"/>
      <c r="J57" s="25"/>
      <c r="K57" s="25"/>
      <c r="L57" s="24"/>
      <c r="N57" s="26" t="s">
        <v>293</v>
      </c>
    </row>
    <row r="58" spans="1:14">
      <c r="A58" s="21">
        <v>52</v>
      </c>
      <c r="B58" s="6" t="s">
        <v>109</v>
      </c>
      <c r="C58" s="26" t="s">
        <v>243</v>
      </c>
      <c r="D58" s="29">
        <v>0</v>
      </c>
      <c r="F58" s="24">
        <f>ROUND(SUMIF(Определители!I6:I6,"=7",'Базовые цены с учетом расхода'!B6:B6),3)</f>
        <v>0</v>
      </c>
      <c r="G58" s="24">
        <f>ROUND(SUMIF(Определители!I6:I6,"=7",'Базовые цены с учетом расхода'!C6:C6),3)</f>
        <v>0</v>
      </c>
      <c r="H58" s="24">
        <f>ROUND(SUMIF(Определители!I6:I6,"=7",'Базовые цены с учетом расхода'!D6:D6),3)</f>
        <v>0</v>
      </c>
      <c r="I58" s="24">
        <f>ROUND(SUMIF(Определители!I6:I6,"=7",'Базовые цены с учетом расхода'!E6:E6),3)</f>
        <v>0</v>
      </c>
      <c r="J58" s="25">
        <f>ROUND(SUMIF(Определители!I6:I6,"=7",'Базовые цены с учетом расхода'!I6:I6),8)</f>
        <v>0</v>
      </c>
      <c r="K58" s="25">
        <f>ROUND(SUMIF(Определители!I6:I6,"=7",'Базовые цены с учетом расхода'!K6:K6),8)</f>
        <v>0</v>
      </c>
      <c r="L58" s="24">
        <f>ROUND(SUMIF(Определители!I6:I6,"=7",'Базовые цены с учетом расхода'!F6:F6),3)</f>
        <v>0</v>
      </c>
      <c r="N58" s="26" t="s">
        <v>294</v>
      </c>
    </row>
    <row r="59" spans="1:14">
      <c r="A59" s="21">
        <v>53</v>
      </c>
      <c r="B59" s="6" t="s">
        <v>87</v>
      </c>
      <c r="C59" s="26" t="s">
        <v>243</v>
      </c>
      <c r="D59" s="29">
        <v>0</v>
      </c>
      <c r="F59" s="24"/>
      <c r="G59" s="24"/>
      <c r="H59" s="24"/>
      <c r="I59" s="24"/>
      <c r="J59" s="25"/>
      <c r="K59" s="25"/>
      <c r="L59" s="24"/>
      <c r="N59" s="26" t="s">
        <v>295</v>
      </c>
    </row>
    <row r="60" spans="1:14">
      <c r="A60" s="21">
        <v>54</v>
      </c>
      <c r="B60" s="6" t="s">
        <v>96</v>
      </c>
      <c r="C60" s="26" t="s">
        <v>243</v>
      </c>
      <c r="D60" s="29">
        <v>0</v>
      </c>
      <c r="F60" s="24">
        <f ca="1">ROUND(СУММЕСЛИ2(Определители!I6:I6,"2",Определители!G6:G6,"1",'Базовые цены с учетом расхода'!B6:B6),3)</f>
        <v>0</v>
      </c>
      <c r="G60" s="24"/>
      <c r="H60" s="24"/>
      <c r="I60" s="24"/>
      <c r="J60" s="25"/>
      <c r="K60" s="25"/>
      <c r="L60" s="24"/>
      <c r="N60" s="26" t="s">
        <v>296</v>
      </c>
    </row>
    <row r="61" spans="1:14">
      <c r="A61" s="21">
        <v>55</v>
      </c>
      <c r="B61" s="6" t="s">
        <v>91</v>
      </c>
      <c r="C61" s="26" t="s">
        <v>243</v>
      </c>
      <c r="D61" s="29">
        <v>0</v>
      </c>
      <c r="F61" s="24">
        <f>ROUND(SUMIF(Определители!I6:I6,"=7",'Базовые цены с учетом расхода'!H6:H6),3)</f>
        <v>0</v>
      </c>
      <c r="G61" s="24"/>
      <c r="H61" s="24"/>
      <c r="I61" s="24"/>
      <c r="J61" s="25"/>
      <c r="K61" s="25"/>
      <c r="L61" s="24"/>
      <c r="N61" s="26" t="s">
        <v>297</v>
      </c>
    </row>
    <row r="62" spans="1:14">
      <c r="A62" s="21">
        <v>56</v>
      </c>
      <c r="B62" s="6" t="s">
        <v>92</v>
      </c>
      <c r="C62" s="26" t="s">
        <v>243</v>
      </c>
      <c r="D62" s="29">
        <v>0</v>
      </c>
      <c r="F62" s="24">
        <f>ROUND(SUMIF(Определители!I6:I6,"=7",'Базовые цены с учетом расхода'!N6:N6),3)</f>
        <v>0</v>
      </c>
      <c r="G62" s="24"/>
      <c r="H62" s="24"/>
      <c r="I62" s="24"/>
      <c r="J62" s="25"/>
      <c r="K62" s="25"/>
      <c r="L62" s="24"/>
      <c r="N62" s="26" t="s">
        <v>298</v>
      </c>
    </row>
    <row r="63" spans="1:14">
      <c r="A63" s="21">
        <v>57</v>
      </c>
      <c r="B63" s="6" t="s">
        <v>93</v>
      </c>
      <c r="C63" s="26" t="s">
        <v>243</v>
      </c>
      <c r="D63" s="29">
        <v>0</v>
      </c>
      <c r="F63" s="24">
        <f>ROUND(SUMIF(Определители!I6:I6,"=7",'Базовые цены с учетом расхода'!O6:O6),3)</f>
        <v>0</v>
      </c>
      <c r="G63" s="24"/>
      <c r="H63" s="24"/>
      <c r="I63" s="24"/>
      <c r="J63" s="25"/>
      <c r="K63" s="25"/>
      <c r="L63" s="24"/>
      <c r="N63" s="26" t="s">
        <v>299</v>
      </c>
    </row>
    <row r="64" spans="1:14">
      <c r="A64" s="21">
        <v>58</v>
      </c>
      <c r="B64" s="6" t="s">
        <v>110</v>
      </c>
      <c r="C64" s="26" t="s">
        <v>251</v>
      </c>
      <c r="D64" s="29">
        <v>0</v>
      </c>
      <c r="F64" s="24">
        <f>ROUND((F58+F62+F63),3)</f>
        <v>0</v>
      </c>
      <c r="G64" s="24"/>
      <c r="H64" s="24"/>
      <c r="I64" s="24"/>
      <c r="J64" s="25"/>
      <c r="K64" s="25"/>
      <c r="L64" s="24"/>
      <c r="N64" s="26" t="s">
        <v>300</v>
      </c>
    </row>
    <row r="65" spans="1:14">
      <c r="A65" s="21">
        <v>59</v>
      </c>
      <c r="B65" s="6" t="s">
        <v>111</v>
      </c>
      <c r="C65" s="26" t="s">
        <v>243</v>
      </c>
      <c r="D65" s="29">
        <v>0</v>
      </c>
      <c r="F65" s="24">
        <f>ROUND(SUMIF(Определители!I6:I6,"=;",'Базовые цены с учетом расхода'!B6:B6),3)</f>
        <v>0</v>
      </c>
      <c r="G65" s="24">
        <f>ROUND(SUMIF(Определители!I6:I6,"=;",'Базовые цены с учетом расхода'!C6:C6),3)</f>
        <v>0</v>
      </c>
      <c r="H65" s="24">
        <f>ROUND(SUMIF(Определители!I6:I6,"=;",'Базовые цены с учетом расхода'!D6:D6),3)</f>
        <v>0</v>
      </c>
      <c r="I65" s="24">
        <f>ROUND(SUMIF(Определители!I6:I6,"=;",'Базовые цены с учетом расхода'!E6:E6),3)</f>
        <v>0</v>
      </c>
      <c r="J65" s="25">
        <f>ROUND(SUMIF(Определители!I6:I6,"=;",'Базовые цены с учетом расхода'!I6:I6),8)</f>
        <v>0</v>
      </c>
      <c r="K65" s="25">
        <f>ROUND(SUMIF(Определители!I6:I6,"=;",'Базовые цены с учетом расхода'!K6:K6),8)</f>
        <v>0</v>
      </c>
      <c r="L65" s="24">
        <f>ROUND(SUMIF(Определители!I6:I6,"=;",'Базовые цены с учетом расхода'!F6:F6),3)</f>
        <v>0</v>
      </c>
      <c r="N65" s="26" t="s">
        <v>301</v>
      </c>
    </row>
    <row r="66" spans="1:14">
      <c r="A66" s="21">
        <v>60</v>
      </c>
      <c r="B66" s="6" t="s">
        <v>112</v>
      </c>
      <c r="C66" s="26" t="s">
        <v>243</v>
      </c>
      <c r="D66" s="29">
        <v>0</v>
      </c>
      <c r="F66" s="24">
        <f>ROUND(SUMIF(Определители!I6:I6,"=;",'Базовые цены с учетом расхода'!AF6:AF6),3)</f>
        <v>0</v>
      </c>
      <c r="G66" s="24"/>
      <c r="H66" s="24"/>
      <c r="I66" s="24"/>
      <c r="J66" s="25"/>
      <c r="K66" s="25"/>
      <c r="L66" s="24"/>
      <c r="N66" s="26" t="s">
        <v>302</v>
      </c>
    </row>
    <row r="67" spans="1:14">
      <c r="A67" s="21">
        <v>61</v>
      </c>
      <c r="B67" s="6" t="s">
        <v>113</v>
      </c>
      <c r="C67" s="26" t="s">
        <v>243</v>
      </c>
      <c r="D67" s="29">
        <v>0</v>
      </c>
      <c r="F67" s="24">
        <f>ROUND(SUMIF(Определители!I6:I6,"=;",'Базовые цены с учетом расхода'!AG6:AG6),3)</f>
        <v>0</v>
      </c>
      <c r="G67" s="24"/>
      <c r="H67" s="24"/>
      <c r="I67" s="24"/>
      <c r="J67" s="25"/>
      <c r="K67" s="25"/>
      <c r="L67" s="24"/>
      <c r="N67" s="26" t="s">
        <v>303</v>
      </c>
    </row>
    <row r="68" spans="1:14">
      <c r="A68" s="21">
        <v>62</v>
      </c>
      <c r="B68" s="6" t="s">
        <v>92</v>
      </c>
      <c r="C68" s="26" t="s">
        <v>243</v>
      </c>
      <c r="D68" s="29">
        <v>0</v>
      </c>
      <c r="F68" s="24">
        <f>ROUND(SUMIF(Определители!I6:I6,"=;",'Базовые цены с учетом расхода'!N6:N6),3)</f>
        <v>0</v>
      </c>
      <c r="G68" s="24"/>
      <c r="H68" s="24"/>
      <c r="I68" s="24"/>
      <c r="J68" s="25"/>
      <c r="K68" s="25"/>
      <c r="L68" s="24"/>
      <c r="N68" s="26" t="s">
        <v>304</v>
      </c>
    </row>
    <row r="69" spans="1:14">
      <c r="A69" s="21">
        <v>63</v>
      </c>
      <c r="B69" s="6" t="s">
        <v>93</v>
      </c>
      <c r="C69" s="26" t="s">
        <v>243</v>
      </c>
      <c r="D69" s="29">
        <v>0</v>
      </c>
      <c r="F69" s="24">
        <f>ROUND(SUMIF(Определители!I6:I6,"=;",'Базовые цены с учетом расхода'!O6:O6),3)</f>
        <v>0</v>
      </c>
      <c r="G69" s="24"/>
      <c r="H69" s="24"/>
      <c r="I69" s="24"/>
      <c r="J69" s="25"/>
      <c r="K69" s="25"/>
      <c r="L69" s="24"/>
      <c r="N69" s="26" t="s">
        <v>305</v>
      </c>
    </row>
    <row r="70" spans="1:14">
      <c r="A70" s="21">
        <v>64</v>
      </c>
      <c r="B70" s="6" t="s">
        <v>114</v>
      </c>
      <c r="C70" s="26" t="s">
        <v>251</v>
      </c>
      <c r="D70" s="29">
        <v>0</v>
      </c>
      <c r="F70" s="24">
        <f>ROUND((F65+F68+F69),3)</f>
        <v>0</v>
      </c>
      <c r="G70" s="24"/>
      <c r="H70" s="24"/>
      <c r="I70" s="24"/>
      <c r="J70" s="25"/>
      <c r="K70" s="25"/>
      <c r="L70" s="24"/>
      <c r="N70" s="26" t="s">
        <v>306</v>
      </c>
    </row>
    <row r="71" spans="1:14">
      <c r="A71" s="21">
        <v>65</v>
      </c>
      <c r="B71" s="6" t="s">
        <v>115</v>
      </c>
      <c r="C71" s="26" t="s">
        <v>243</v>
      </c>
      <c r="D71" s="29">
        <v>0</v>
      </c>
      <c r="F71" s="24">
        <f>ROUND(SUMIF(Определители!I6:I6,"=9",'Базовые цены с учетом расхода'!B6:B6),3)</f>
        <v>0</v>
      </c>
      <c r="G71" s="24">
        <f>ROUND(SUMIF(Определители!I6:I6,"=9",'Базовые цены с учетом расхода'!C6:C6),3)</f>
        <v>0</v>
      </c>
      <c r="H71" s="24">
        <f>ROUND(SUMIF(Определители!I6:I6,"=9",'Базовые цены с учетом расхода'!D6:D6),3)</f>
        <v>0</v>
      </c>
      <c r="I71" s="24">
        <f>ROUND(SUMIF(Определители!I6:I6,"=9",'Базовые цены с учетом расхода'!E6:E6),3)</f>
        <v>0</v>
      </c>
      <c r="J71" s="25">
        <f>ROUND(SUMIF(Определители!I6:I6,"=9",'Базовые цены с учетом расхода'!I6:I6),8)</f>
        <v>0</v>
      </c>
      <c r="K71" s="25">
        <f>ROUND(SUMIF(Определители!I6:I6,"=9",'Базовые цены с учетом расхода'!K6:K6),8)</f>
        <v>0</v>
      </c>
      <c r="L71" s="24">
        <f>ROUND(SUMIF(Определители!I6:I6,"=9",'Базовые цены с учетом расхода'!F6:F6),3)</f>
        <v>0</v>
      </c>
      <c r="N71" s="26" t="s">
        <v>307</v>
      </c>
    </row>
    <row r="72" spans="1:14">
      <c r="A72" s="21">
        <v>66</v>
      </c>
      <c r="B72" s="6" t="s">
        <v>92</v>
      </c>
      <c r="C72" s="26" t="s">
        <v>243</v>
      </c>
      <c r="D72" s="29">
        <v>0</v>
      </c>
      <c r="F72" s="24">
        <f>ROUND(SUMIF(Определители!I6:I6,"=9",'Базовые цены с учетом расхода'!N6:N6),3)</f>
        <v>0</v>
      </c>
      <c r="G72" s="24"/>
      <c r="H72" s="24"/>
      <c r="I72" s="24"/>
      <c r="J72" s="25"/>
      <c r="K72" s="25"/>
      <c r="L72" s="24"/>
      <c r="N72" s="26" t="s">
        <v>308</v>
      </c>
    </row>
    <row r="73" spans="1:14">
      <c r="A73" s="21">
        <v>67</v>
      </c>
      <c r="B73" s="6" t="s">
        <v>93</v>
      </c>
      <c r="C73" s="26" t="s">
        <v>243</v>
      </c>
      <c r="D73" s="29">
        <v>0</v>
      </c>
      <c r="F73" s="24">
        <f>ROUND(SUMIF(Определители!I6:I6,"=9",'Базовые цены с учетом расхода'!O6:O6),3)</f>
        <v>0</v>
      </c>
      <c r="G73" s="24"/>
      <c r="H73" s="24"/>
      <c r="I73" s="24"/>
      <c r="J73" s="25"/>
      <c r="K73" s="25"/>
      <c r="L73" s="24"/>
      <c r="N73" s="26" t="s">
        <v>309</v>
      </c>
    </row>
    <row r="74" spans="1:14">
      <c r="A74" s="21">
        <v>68</v>
      </c>
      <c r="B74" s="6" t="s">
        <v>116</v>
      </c>
      <c r="C74" s="26" t="s">
        <v>251</v>
      </c>
      <c r="D74" s="29">
        <v>0</v>
      </c>
      <c r="F74" s="24">
        <f>ROUND((F71+F72+F73),3)</f>
        <v>0</v>
      </c>
      <c r="G74" s="24"/>
      <c r="H74" s="24"/>
      <c r="I74" s="24"/>
      <c r="J74" s="25"/>
      <c r="K74" s="25"/>
      <c r="L74" s="24"/>
      <c r="N74" s="26" t="s">
        <v>310</v>
      </c>
    </row>
    <row r="75" spans="1:14">
      <c r="A75" s="21">
        <v>69</v>
      </c>
      <c r="B75" s="6" t="s">
        <v>117</v>
      </c>
      <c r="C75" s="26" t="s">
        <v>243</v>
      </c>
      <c r="D75" s="29">
        <v>0</v>
      </c>
      <c r="F75" s="24">
        <f>ROUND(SUMIF(Определители!I6:I6,"=:",'Базовые цены с учетом расхода'!B6:B6),3)</f>
        <v>0</v>
      </c>
      <c r="G75" s="24">
        <f>ROUND(SUMIF(Определители!I6:I6,"=:",'Базовые цены с учетом расхода'!C6:C6),3)</f>
        <v>0</v>
      </c>
      <c r="H75" s="24">
        <f>ROUND(SUMIF(Определители!I6:I6,"=:",'Базовые цены с учетом расхода'!D6:D6),3)</f>
        <v>0</v>
      </c>
      <c r="I75" s="24">
        <f>ROUND(SUMIF(Определители!I6:I6,"=:",'Базовые цены с учетом расхода'!E6:E6),3)</f>
        <v>0</v>
      </c>
      <c r="J75" s="25">
        <f>ROUND(SUMIF(Определители!I6:I6,"=:",'Базовые цены с учетом расхода'!I6:I6),8)</f>
        <v>0</v>
      </c>
      <c r="K75" s="25">
        <f>ROUND(SUMIF(Определители!I6:I6,"=:",'Базовые цены с учетом расхода'!K6:K6),8)</f>
        <v>0</v>
      </c>
      <c r="L75" s="24">
        <f>ROUND(SUMIF(Определители!I6:I6,"=:",'Базовые цены с учетом расхода'!F6:F6),3)</f>
        <v>0</v>
      </c>
      <c r="N75" s="26" t="s">
        <v>311</v>
      </c>
    </row>
    <row r="76" spans="1:14">
      <c r="A76" s="21">
        <v>70</v>
      </c>
      <c r="B76" s="6" t="s">
        <v>91</v>
      </c>
      <c r="C76" s="26" t="s">
        <v>243</v>
      </c>
      <c r="D76" s="29">
        <v>0</v>
      </c>
      <c r="F76" s="24">
        <f>ROUND(SUMIF(Определители!I6:I6,"=:",'Базовые цены с учетом расхода'!H6:H6),3)</f>
        <v>0</v>
      </c>
      <c r="G76" s="24"/>
      <c r="H76" s="24"/>
      <c r="I76" s="24"/>
      <c r="J76" s="25"/>
      <c r="K76" s="25"/>
      <c r="L76" s="24"/>
      <c r="N76" s="26" t="s">
        <v>312</v>
      </c>
    </row>
    <row r="77" spans="1:14">
      <c r="A77" s="21">
        <v>71</v>
      </c>
      <c r="B77" s="6" t="s">
        <v>92</v>
      </c>
      <c r="C77" s="26" t="s">
        <v>243</v>
      </c>
      <c r="D77" s="29">
        <v>0</v>
      </c>
      <c r="F77" s="24">
        <f>ROUND(SUMIF(Определители!I6:I6,"=:",'Базовые цены с учетом расхода'!N6:N6),3)</f>
        <v>0</v>
      </c>
      <c r="G77" s="24"/>
      <c r="H77" s="24"/>
      <c r="I77" s="24"/>
      <c r="J77" s="25"/>
      <c r="K77" s="25"/>
      <c r="L77" s="24"/>
      <c r="N77" s="26" t="s">
        <v>313</v>
      </c>
    </row>
    <row r="78" spans="1:14">
      <c r="A78" s="21">
        <v>72</v>
      </c>
      <c r="B78" s="6" t="s">
        <v>93</v>
      </c>
      <c r="C78" s="26" t="s">
        <v>243</v>
      </c>
      <c r="D78" s="29">
        <v>0</v>
      </c>
      <c r="F78" s="24">
        <f>ROUND(SUMIF(Определители!I6:I6,"=:",'Базовые цены с учетом расхода'!O6:O6),3)</f>
        <v>0</v>
      </c>
      <c r="G78" s="24"/>
      <c r="H78" s="24"/>
      <c r="I78" s="24"/>
      <c r="J78" s="25"/>
      <c r="K78" s="25"/>
      <c r="L78" s="24"/>
      <c r="N78" s="26" t="s">
        <v>314</v>
      </c>
    </row>
    <row r="79" spans="1:14">
      <c r="A79" s="21">
        <v>73</v>
      </c>
      <c r="B79" s="6" t="s">
        <v>118</v>
      </c>
      <c r="C79" s="26" t="s">
        <v>251</v>
      </c>
      <c r="D79" s="29">
        <v>0</v>
      </c>
      <c r="F79" s="24">
        <f>ROUND((F75+F77+F78),3)</f>
        <v>0</v>
      </c>
      <c r="G79" s="24"/>
      <c r="H79" s="24"/>
      <c r="I79" s="24"/>
      <c r="J79" s="25"/>
      <c r="K79" s="25"/>
      <c r="L79" s="24"/>
      <c r="N79" s="26" t="s">
        <v>315</v>
      </c>
    </row>
    <row r="80" spans="1:14">
      <c r="A80" s="21">
        <v>74</v>
      </c>
      <c r="B80" s="6" t="s">
        <v>119</v>
      </c>
      <c r="C80" s="26" t="s">
        <v>243</v>
      </c>
      <c r="D80" s="29">
        <v>0</v>
      </c>
      <c r="F80" s="24">
        <f>ROUND(SUMIF(Определители!I6:I6,"=8",'Базовые цены с учетом расхода'!B6:B6),3)</f>
        <v>0</v>
      </c>
      <c r="G80" s="24">
        <f>ROUND(SUMIF(Определители!I6:I6,"=8",'Базовые цены с учетом расхода'!C6:C6),3)</f>
        <v>0</v>
      </c>
      <c r="H80" s="24">
        <f>ROUND(SUMIF(Определители!I6:I6,"=8",'Базовые цены с учетом расхода'!D6:D6),3)</f>
        <v>0</v>
      </c>
      <c r="I80" s="24">
        <f>ROUND(SUMIF(Определители!I6:I6,"=8",'Базовые цены с учетом расхода'!E6:E6),3)</f>
        <v>0</v>
      </c>
      <c r="J80" s="25">
        <f>ROUND(SUMIF(Определители!I6:I6,"=8",'Базовые цены с учетом расхода'!I6:I6),8)</f>
        <v>0</v>
      </c>
      <c r="K80" s="25">
        <f>ROUND(SUMIF(Определители!I6:I6,"=8",'Базовые цены с учетом расхода'!K6:K6),8)</f>
        <v>0</v>
      </c>
      <c r="L80" s="24">
        <f>ROUND(SUMIF(Определители!I6:I6,"=8",'Базовые цены с учетом расхода'!F6:F6),3)</f>
        <v>0</v>
      </c>
      <c r="N80" s="26" t="s">
        <v>316</v>
      </c>
    </row>
    <row r="81" spans="1:14">
      <c r="A81" s="21">
        <v>75</v>
      </c>
      <c r="B81" s="6" t="s">
        <v>91</v>
      </c>
      <c r="C81" s="26" t="s">
        <v>243</v>
      </c>
      <c r="D81" s="29">
        <v>0</v>
      </c>
      <c r="F81" s="24">
        <f>ROUND(SUMIF(Определители!I6:I6,"=8",'Базовые цены с учетом расхода'!H6:H6),3)</f>
        <v>0</v>
      </c>
      <c r="G81" s="24"/>
      <c r="H81" s="24"/>
      <c r="I81" s="24"/>
      <c r="J81" s="25"/>
      <c r="K81" s="25"/>
      <c r="L81" s="24"/>
      <c r="N81" s="26" t="s">
        <v>317</v>
      </c>
    </row>
    <row r="82" spans="1:14">
      <c r="A82" s="21">
        <v>76</v>
      </c>
      <c r="B82" s="6" t="s">
        <v>318</v>
      </c>
      <c r="C82" s="26" t="s">
        <v>251</v>
      </c>
      <c r="D82" s="29">
        <v>0</v>
      </c>
      <c r="F82" s="24">
        <f ca="1">ROUND((F17+F27+F34+F39+F47+F52+F57+F64+F74+F79+F80+F70),3)</f>
        <v>1273540.8970000001</v>
      </c>
      <c r="G82" s="24">
        <f>ROUND((G17+G27+G34+G39+G47+G52+G57+G64+G74+G79+G80+G70),3)</f>
        <v>0</v>
      </c>
      <c r="H82" s="24">
        <f>ROUND((H17+H27+H34+H39+H47+H52+H57+H64+H74+H79+H80+H70),3)</f>
        <v>0</v>
      </c>
      <c r="I82" s="24">
        <f>ROUND((I17+I27+I34+I39+I47+I52+I57+I64+I74+I79+I80+I70),3)</f>
        <v>0</v>
      </c>
      <c r="J82" s="25">
        <f>ROUND((J17+J27+J34+J39+J47+J52+J57+J64+J74+J79+J80+J70),8)</f>
        <v>0</v>
      </c>
      <c r="K82" s="25">
        <f>ROUND((K17+K27+K34+K39+K47+K52+K57+K64+K74+K79+K80+K70),8)</f>
        <v>0</v>
      </c>
      <c r="L82" s="24">
        <f>ROUND((L17+L27+L34+L39+L47+L52+L57+L64+L74+L79+L80+L70),3)</f>
        <v>0</v>
      </c>
      <c r="N82" s="26" t="s">
        <v>319</v>
      </c>
    </row>
    <row r="83" spans="1:14">
      <c r="A83" s="21">
        <v>77</v>
      </c>
      <c r="B83" s="6" t="s">
        <v>121</v>
      </c>
      <c r="C83" s="26" t="s">
        <v>251</v>
      </c>
      <c r="D83" s="29">
        <v>0</v>
      </c>
      <c r="F83" s="24">
        <f>ROUND((F23+F31+F36+F43+F49+F54+F61+F76+F81),3)</f>
        <v>0</v>
      </c>
      <c r="G83" s="24"/>
      <c r="H83" s="24"/>
      <c r="I83" s="24"/>
      <c r="J83" s="25"/>
      <c r="K83" s="25"/>
      <c r="L83" s="24"/>
      <c r="N83" s="26" t="s">
        <v>320</v>
      </c>
    </row>
    <row r="84" spans="1:14">
      <c r="A84" s="21">
        <v>78</v>
      </c>
      <c r="B84" s="6" t="s">
        <v>122</v>
      </c>
      <c r="C84" s="26" t="s">
        <v>251</v>
      </c>
      <c r="D84" s="29">
        <v>0</v>
      </c>
      <c r="F84" s="24">
        <f>ROUND((F24+F32+F37+F44+F50+F55+F62+F72+F77+F68),3)</f>
        <v>212435.27499999999</v>
      </c>
      <c r="G84" s="24"/>
      <c r="H84" s="24"/>
      <c r="I84" s="24"/>
      <c r="J84" s="25"/>
      <c r="K84" s="25"/>
      <c r="L84" s="24"/>
      <c r="N84" s="26" t="s">
        <v>321</v>
      </c>
    </row>
    <row r="85" spans="1:14">
      <c r="A85" s="21">
        <v>79</v>
      </c>
      <c r="B85" s="6" t="s">
        <v>123</v>
      </c>
      <c r="C85" s="26" t="s">
        <v>251</v>
      </c>
      <c r="D85" s="29">
        <v>0</v>
      </c>
      <c r="F85" s="24">
        <f>ROUND((F25+F33+F38+F45+F51+F56+F63+F73+F78+F69),3)</f>
        <v>135186.084</v>
      </c>
      <c r="G85" s="24"/>
      <c r="H85" s="24"/>
      <c r="I85" s="24"/>
      <c r="J85" s="25"/>
      <c r="K85" s="25"/>
      <c r="L85" s="24"/>
      <c r="N85" s="26" t="s">
        <v>322</v>
      </c>
    </row>
    <row r="86" spans="1:14">
      <c r="A86" s="21">
        <v>80</v>
      </c>
      <c r="B86" s="6" t="s">
        <v>56</v>
      </c>
      <c r="C86" s="26" t="s">
        <v>323</v>
      </c>
      <c r="D86" s="29">
        <v>0</v>
      </c>
      <c r="F86" s="24">
        <f>ROUND(SUM('Базовые цены с учетом расхода'!X6:X6),3)</f>
        <v>0</v>
      </c>
      <c r="G86" s="24"/>
      <c r="H86" s="24"/>
      <c r="I86" s="24"/>
      <c r="J86" s="25"/>
      <c r="K86" s="25"/>
      <c r="L86" s="24">
        <f>ROUND(SUM('Базовые цены с учетом расхода'!X6:X6),3)</f>
        <v>0</v>
      </c>
      <c r="N86" s="26" t="s">
        <v>324</v>
      </c>
    </row>
    <row r="87" spans="1:14">
      <c r="A87" s="21">
        <v>81</v>
      </c>
      <c r="B87" s="6" t="s">
        <v>124</v>
      </c>
      <c r="C87" s="26" t="s">
        <v>323</v>
      </c>
      <c r="D87" s="29">
        <v>0</v>
      </c>
      <c r="F87" s="24">
        <f>ROUND(SUM(G87:N87),3)</f>
        <v>0</v>
      </c>
      <c r="G87" s="24"/>
      <c r="H87" s="24"/>
      <c r="I87" s="24"/>
      <c r="J87" s="25"/>
      <c r="K87" s="25"/>
      <c r="L87" s="24">
        <f>ROUND(SUM('Базовые цены с учетом расхода'!AE6:AE6),3)</f>
        <v>0</v>
      </c>
      <c r="N87" s="26" t="s">
        <v>325</v>
      </c>
    </row>
    <row r="88" spans="1:14">
      <c r="A88" s="21">
        <v>82</v>
      </c>
      <c r="B88" s="6" t="s">
        <v>125</v>
      </c>
      <c r="C88" s="26" t="s">
        <v>323</v>
      </c>
      <c r="D88" s="29">
        <v>0</v>
      </c>
      <c r="F88" s="24">
        <f>ROUND(SUM('Базовые цены с учетом расхода'!C6:C6),3)</f>
        <v>89991.898000000001</v>
      </c>
      <c r="G88" s="24"/>
      <c r="H88" s="24"/>
      <c r="I88" s="24"/>
      <c r="J88" s="25"/>
      <c r="K88" s="25"/>
      <c r="L88" s="24"/>
      <c r="N88" s="26" t="s">
        <v>326</v>
      </c>
    </row>
    <row r="89" spans="1:14">
      <c r="A89" s="21">
        <v>83</v>
      </c>
      <c r="B89" s="6" t="s">
        <v>126</v>
      </c>
      <c r="C89" s="26" t="s">
        <v>323</v>
      </c>
      <c r="D89" s="29">
        <v>0</v>
      </c>
      <c r="F89" s="24">
        <f>ROUND(SUM('Базовые цены с учетом расхода'!E6:E6),3)</f>
        <v>103131.079</v>
      </c>
      <c r="G89" s="24"/>
      <c r="H89" s="24"/>
      <c r="I89" s="24"/>
      <c r="J89" s="25"/>
      <c r="K89" s="25"/>
      <c r="L89" s="24"/>
      <c r="N89" s="26" t="s">
        <v>327</v>
      </c>
    </row>
    <row r="90" spans="1:14">
      <c r="A90" s="21">
        <v>84</v>
      </c>
      <c r="B90" s="6" t="s">
        <v>127</v>
      </c>
      <c r="C90" s="26" t="s">
        <v>328</v>
      </c>
      <c r="D90" s="29">
        <v>0</v>
      </c>
      <c r="F90" s="24">
        <f>ROUND((F88+F89),3)</f>
        <v>193122.97700000001</v>
      </c>
      <c r="G90" s="24"/>
      <c r="H90" s="24"/>
      <c r="I90" s="24"/>
      <c r="J90" s="25"/>
      <c r="K90" s="25"/>
      <c r="L90" s="24"/>
      <c r="N90" s="26" t="s">
        <v>329</v>
      </c>
    </row>
    <row r="91" spans="1:14">
      <c r="A91" s="21">
        <v>85</v>
      </c>
      <c r="B91" s="6" t="s">
        <v>128</v>
      </c>
      <c r="C91" s="26" t="s">
        <v>323</v>
      </c>
      <c r="D91" s="29">
        <v>0</v>
      </c>
      <c r="F91" s="24"/>
      <c r="G91" s="24"/>
      <c r="H91" s="24"/>
      <c r="I91" s="24"/>
      <c r="J91" s="25">
        <f>ROUND(SUM('Базовые цены с учетом расхода'!I6:I6),8)</f>
        <v>11263.135</v>
      </c>
      <c r="K91" s="25"/>
      <c r="L91" s="24"/>
      <c r="N91" s="26" t="s">
        <v>330</v>
      </c>
    </row>
    <row r="92" spans="1:14">
      <c r="A92" s="21">
        <v>86</v>
      </c>
      <c r="B92" s="6" t="s">
        <v>129</v>
      </c>
      <c r="C92" s="26" t="s">
        <v>323</v>
      </c>
      <c r="D92" s="29">
        <v>0</v>
      </c>
      <c r="F92" s="24"/>
      <c r="G92" s="24"/>
      <c r="H92" s="24"/>
      <c r="I92" s="24"/>
      <c r="J92" s="25">
        <f>ROUND(SUM('Базовые цены с учетом расхода'!K6:K6),8)</f>
        <v>9513.9878000000008</v>
      </c>
      <c r="K92" s="25"/>
      <c r="L92" s="24"/>
      <c r="N92" s="26" t="s">
        <v>331</v>
      </c>
    </row>
    <row r="93" spans="1:14">
      <c r="A93" s="21">
        <v>87</v>
      </c>
      <c r="B93" s="6" t="s">
        <v>130</v>
      </c>
      <c r="C93" s="26" t="s">
        <v>328</v>
      </c>
      <c r="D93" s="29">
        <v>0</v>
      </c>
      <c r="F93" s="24"/>
      <c r="G93" s="24"/>
      <c r="H93" s="24"/>
      <c r="I93" s="24"/>
      <c r="J93" s="25">
        <f>ROUND((J91+J92),8)</f>
        <v>20777.122800000001</v>
      </c>
      <c r="K93" s="25"/>
      <c r="L93" s="24"/>
      <c r="N93" s="26" t="s">
        <v>332</v>
      </c>
    </row>
  </sheetData>
  <mergeCells count="4">
    <mergeCell ref="A2:J2"/>
    <mergeCell ref="B3:J3"/>
    <mergeCell ref="B4:J4"/>
    <mergeCell ref="A5:J5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КС-2</vt:lpstr>
      <vt:lpstr>Базовые цены за единицу</vt:lpstr>
      <vt:lpstr>Базовые цены с учетом расхода</vt:lpstr>
      <vt:lpstr>Начисления</vt:lpstr>
      <vt:lpstr>Определители</vt:lpstr>
      <vt:lpstr>Базовые концовки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2014-01-18T09:10:03Z</dcterms:created>
  <dcterms:modified xsi:type="dcterms:W3CDTF">2014-01-18T09:10:03Z</dcterms:modified>
</cp:coreProperties>
</file>