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ILoginova\Desktop\"/>
    </mc:Choice>
  </mc:AlternateContent>
  <bookViews>
    <workbookView xWindow="0" yWindow="180" windowWidth="7500" windowHeight="4125" tabRatio="771" firstSheet="1" activeTab="1"/>
  </bookViews>
  <sheets>
    <sheet name="  ОБЩ" sheetId="8" state="hidden" r:id="rId1"/>
    <sheet name=" Лит.А  Расчет НДС " sheetId="9" r:id="rId2"/>
    <sheet name="Лист1" sheetId="11" state="hidden" r:id="rId3"/>
  </sheets>
  <definedNames>
    <definedName name="_xlnm.Print_Area" localSheetId="1">' Лит.А  Расчет НДС '!$A$1:$S$32</definedName>
    <definedName name="_xlnm.Print_Area" localSheetId="2">Лист1!$A$1:$T$47</definedName>
  </definedNames>
  <calcPr calcId="162913"/>
</workbook>
</file>

<file path=xl/calcChain.xml><?xml version="1.0" encoding="utf-8"?>
<calcChain xmlns="http://schemas.openxmlformats.org/spreadsheetml/2006/main">
  <c r="D19" i="9" l="1"/>
  <c r="D20" i="9"/>
  <c r="D21" i="9"/>
  <c r="D22" i="9"/>
  <c r="D23" i="9"/>
  <c r="D24" i="9"/>
  <c r="D25" i="9"/>
  <c r="D26" i="9"/>
  <c r="D27" i="9"/>
  <c r="D28" i="9"/>
  <c r="E28" i="9"/>
  <c r="E29" i="9"/>
  <c r="F28" i="9"/>
  <c r="F29" i="9"/>
  <c r="N19" i="9" l="1"/>
  <c r="N29" i="9" l="1"/>
  <c r="N28" i="9"/>
  <c r="N27" i="9"/>
  <c r="N26" i="9"/>
  <c r="N25" i="9"/>
  <c r="N24" i="9"/>
  <c r="N23" i="9"/>
  <c r="N22" i="9"/>
  <c r="N21" i="9"/>
  <c r="N20" i="9"/>
  <c r="Q25" i="9"/>
  <c r="I30" i="9" l="1"/>
  <c r="I33" i="11"/>
  <c r="I30" i="11"/>
  <c r="I27" i="11"/>
  <c r="J27" i="11" s="1"/>
  <c r="I25" i="11"/>
  <c r="I22" i="11"/>
  <c r="J22" i="11" s="1"/>
  <c r="P42" i="11"/>
  <c r="P36" i="11"/>
  <c r="P37" i="11" s="1"/>
  <c r="N35" i="11"/>
  <c r="N34" i="11"/>
  <c r="T33" i="11"/>
  <c r="R33" i="11"/>
  <c r="J33" i="11"/>
  <c r="H33" i="11"/>
  <c r="M33" i="11" s="1"/>
  <c r="S33" i="11" s="1"/>
  <c r="G33" i="11"/>
  <c r="G35" i="11" s="1"/>
  <c r="F32" i="11"/>
  <c r="O32" i="11" s="1"/>
  <c r="R32" i="11" s="1"/>
  <c r="T32" i="11" s="1"/>
  <c r="E32" i="11"/>
  <c r="I32" i="11" s="1"/>
  <c r="J32" i="11" s="1"/>
  <c r="F31" i="11"/>
  <c r="E31" i="11"/>
  <c r="E34" i="11" s="1"/>
  <c r="D31" i="11"/>
  <c r="I31" i="11" s="1"/>
  <c r="R30" i="11"/>
  <c r="T30" i="11" s="1"/>
  <c r="H30" i="11"/>
  <c r="D30" i="11"/>
  <c r="R29" i="11"/>
  <c r="T29" i="11" s="1"/>
  <c r="D29" i="11"/>
  <c r="I29" i="11" s="1"/>
  <c r="Q28" i="11"/>
  <c r="D28" i="11"/>
  <c r="H28" i="11" s="1"/>
  <c r="R27" i="11"/>
  <c r="T27" i="11" s="1"/>
  <c r="H27" i="11"/>
  <c r="D27" i="11"/>
  <c r="R26" i="11"/>
  <c r="T26" i="11" s="1"/>
  <c r="D26" i="11"/>
  <c r="H26" i="11" s="1"/>
  <c r="R25" i="11"/>
  <c r="T25" i="11" s="1"/>
  <c r="D25" i="11"/>
  <c r="R24" i="11"/>
  <c r="T24" i="11" s="1"/>
  <c r="D24" i="11"/>
  <c r="H24" i="11" s="1"/>
  <c r="T23" i="11"/>
  <c r="R23" i="11"/>
  <c r="H23" i="11"/>
  <c r="D23" i="11"/>
  <c r="I23" i="11" s="1"/>
  <c r="J23" i="11" s="1"/>
  <c r="R22" i="11"/>
  <c r="D22" i="11"/>
  <c r="H22" i="11" s="1"/>
  <c r="K23" i="11" l="1"/>
  <c r="I26" i="11"/>
  <c r="J26" i="11" s="1"/>
  <c r="F34" i="11"/>
  <c r="J25" i="11"/>
  <c r="O31" i="11"/>
  <c r="O35" i="11" s="1"/>
  <c r="I24" i="11"/>
  <c r="I28" i="11"/>
  <c r="H29" i="11"/>
  <c r="H32" i="11"/>
  <c r="D35" i="11"/>
  <c r="J31" i="11"/>
  <c r="K27" i="11"/>
  <c r="L27" i="11"/>
  <c r="M27" i="11" s="1"/>
  <c r="S27" i="11" s="1"/>
  <c r="K22" i="11"/>
  <c r="J29" i="11"/>
  <c r="K29" i="11"/>
  <c r="L23" i="11"/>
  <c r="M23" i="11" s="1"/>
  <c r="S23" i="11" s="1"/>
  <c r="K32" i="11"/>
  <c r="P38" i="11"/>
  <c r="P39" i="11" s="1"/>
  <c r="Q37" i="11"/>
  <c r="R41" i="11"/>
  <c r="P43" i="11"/>
  <c r="P44" i="11" s="1"/>
  <c r="J28" i="11"/>
  <c r="H31" i="11"/>
  <c r="E35" i="11"/>
  <c r="R38" i="11"/>
  <c r="H25" i="11"/>
  <c r="K25" i="11" s="1"/>
  <c r="G34" i="11"/>
  <c r="O34" i="11"/>
  <c r="F35" i="11"/>
  <c r="D34" i="11"/>
  <c r="J24" i="11"/>
  <c r="R28" i="11"/>
  <c r="T28" i="11" s="1"/>
  <c r="J30" i="11"/>
  <c r="K30" i="11" s="1"/>
  <c r="T22" i="11"/>
  <c r="M32" i="11" l="1"/>
  <c r="S32" i="11" s="1"/>
  <c r="K31" i="11"/>
  <c r="M31" i="11" s="1"/>
  <c r="H35" i="11"/>
  <c r="K26" i="11"/>
  <c r="L26" i="11" s="1"/>
  <c r="M26" i="11" s="1"/>
  <c r="S26" i="11" s="1"/>
  <c r="Q28" i="9"/>
  <c r="P32" i="9"/>
  <c r="P31" i="9"/>
  <c r="J34" i="11"/>
  <c r="L30" i="11"/>
  <c r="M30" i="11" s="1"/>
  <c r="S30" i="11" s="1"/>
  <c r="K24" i="11"/>
  <c r="H34" i="11"/>
  <c r="L22" i="11"/>
  <c r="M22" i="11" s="1"/>
  <c r="L29" i="11"/>
  <c r="M29" i="11" s="1"/>
  <c r="S29" i="11" s="1"/>
  <c r="I34" i="11"/>
  <c r="L25" i="11"/>
  <c r="M25" i="11" s="1"/>
  <c r="S25" i="11" s="1"/>
  <c r="P40" i="11"/>
  <c r="P41" i="11" s="1"/>
  <c r="J35" i="11"/>
  <c r="K28" i="11"/>
  <c r="P45" i="11"/>
  <c r="I35" i="11"/>
  <c r="Q31" i="9" l="1"/>
  <c r="Q32" i="9"/>
  <c r="K35" i="11"/>
  <c r="S22" i="11"/>
  <c r="P46" i="11"/>
  <c r="P47" i="11" s="1"/>
  <c r="P31" i="11" s="1"/>
  <c r="L28" i="11"/>
  <c r="L24" i="11"/>
  <c r="D37" i="11"/>
  <c r="K34" i="11"/>
  <c r="R30" i="9"/>
  <c r="T30" i="9" s="1"/>
  <c r="I29" i="9"/>
  <c r="J29" i="9" s="1"/>
  <c r="J30" i="9"/>
  <c r="H30" i="9"/>
  <c r="M30" i="9" s="1"/>
  <c r="G30" i="9"/>
  <c r="G32" i="9" s="1"/>
  <c r="O28" i="9"/>
  <c r="R28" i="9" s="1"/>
  <c r="I20" i="9"/>
  <c r="S30" i="9" l="1"/>
  <c r="O29" i="9"/>
  <c r="R29" i="9" s="1"/>
  <c r="T29" i="9" s="1"/>
  <c r="H19" i="9"/>
  <c r="I19" i="9"/>
  <c r="J19" i="9" s="1"/>
  <c r="I28" i="9"/>
  <c r="J28" i="9" s="1"/>
  <c r="L35" i="11"/>
  <c r="I22" i="9"/>
  <c r="J22" i="9" s="1"/>
  <c r="H21" i="9"/>
  <c r="I21" i="9"/>
  <c r="J21" i="9" s="1"/>
  <c r="H23" i="9"/>
  <c r="I23" i="9"/>
  <c r="H25" i="9"/>
  <c r="I25" i="9"/>
  <c r="J25" i="9" s="1"/>
  <c r="I24" i="9"/>
  <c r="J24" i="9" s="1"/>
  <c r="I26" i="9"/>
  <c r="J26" i="9" s="1"/>
  <c r="I27" i="9"/>
  <c r="J27" i="9" s="1"/>
  <c r="F32" i="9"/>
  <c r="D32" i="9"/>
  <c r="D31" i="9"/>
  <c r="E31" i="9"/>
  <c r="E32" i="9"/>
  <c r="H29" i="9"/>
  <c r="F31" i="9"/>
  <c r="G31" i="9"/>
  <c r="L34" i="11"/>
  <c r="M24" i="11"/>
  <c r="M28" i="11"/>
  <c r="S28" i="11" s="1"/>
  <c r="P35" i="11"/>
  <c r="Q31" i="11"/>
  <c r="P34" i="11"/>
  <c r="R25" i="9"/>
  <c r="H28" i="9"/>
  <c r="H24" i="9"/>
  <c r="H20" i="9"/>
  <c r="H22" i="9"/>
  <c r="H26" i="9"/>
  <c r="H27" i="9"/>
  <c r="E48" i="8"/>
  <c r="F48" i="8"/>
  <c r="I48" i="8"/>
  <c r="D48" i="8"/>
  <c r="D49" i="8" s="1"/>
  <c r="H23" i="8"/>
  <c r="H24" i="8"/>
  <c r="J24" i="8" s="1"/>
  <c r="H25" i="8"/>
  <c r="J25" i="8" s="1"/>
  <c r="H26" i="8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22" i="8"/>
  <c r="J26" i="8"/>
  <c r="J23" i="8"/>
  <c r="S24" i="11" l="1"/>
  <c r="M34" i="11"/>
  <c r="M35" i="11"/>
  <c r="K19" i="9"/>
  <c r="H31" i="9"/>
  <c r="I31" i="9"/>
  <c r="K27" i="9"/>
  <c r="L27" i="9" s="1"/>
  <c r="M27" i="9" s="1"/>
  <c r="K24" i="9"/>
  <c r="L24" i="9" s="1"/>
  <c r="K26" i="9"/>
  <c r="L26" i="9" s="1"/>
  <c r="M26" i="9" s="1"/>
  <c r="K22" i="9"/>
  <c r="L22" i="9" s="1"/>
  <c r="M22" i="9" s="1"/>
  <c r="K28" i="9"/>
  <c r="M28" i="9" s="1"/>
  <c r="I32" i="9"/>
  <c r="O32" i="9"/>
  <c r="O31" i="9"/>
  <c r="H32" i="9"/>
  <c r="R39" i="11"/>
  <c r="R43" i="11" s="1"/>
  <c r="Q34" i="11"/>
  <c r="Q35" i="11"/>
  <c r="R36" i="11" s="1"/>
  <c r="R31" i="11"/>
  <c r="T25" i="9"/>
  <c r="K25" i="9"/>
  <c r="L25" i="9" s="1"/>
  <c r="J23" i="9"/>
  <c r="K23" i="9" s="1"/>
  <c r="J20" i="9"/>
  <c r="K20" i="9" s="1"/>
  <c r="K21" i="9"/>
  <c r="J22" i="8"/>
  <c r="H48" i="8"/>
  <c r="H49" i="8" s="1"/>
  <c r="L19" i="9" l="1"/>
  <c r="M19" i="9" s="1"/>
  <c r="M24" i="9"/>
  <c r="M25" i="9"/>
  <c r="S25" i="9" s="1"/>
  <c r="T31" i="11"/>
  <c r="R35" i="11"/>
  <c r="S36" i="11" s="1"/>
  <c r="S31" i="11"/>
  <c r="S35" i="11" s="1"/>
  <c r="R34" i="11"/>
  <c r="S34" i="11" s="1"/>
  <c r="K29" i="9"/>
  <c r="J32" i="9"/>
  <c r="J31" i="9"/>
  <c r="L20" i="9"/>
  <c r="M20" i="9" s="1"/>
  <c r="L23" i="9"/>
  <c r="M23" i="9" s="1"/>
  <c r="L21" i="9"/>
  <c r="M21" i="9" s="1"/>
  <c r="L32" i="9" l="1"/>
  <c r="L31" i="9"/>
  <c r="T37" i="11"/>
  <c r="T35" i="11"/>
  <c r="T34" i="11"/>
  <c r="K32" i="9"/>
  <c r="K31" i="9"/>
  <c r="M29" i="9"/>
  <c r="S29" i="9" s="1"/>
  <c r="M31" i="9" l="1"/>
  <c r="M32" i="9"/>
  <c r="R20" i="9"/>
  <c r="R27" i="9"/>
  <c r="R21" i="9"/>
  <c r="R24" i="9"/>
  <c r="T24" i="9" s="1"/>
  <c r="R26" i="9"/>
  <c r="R23" i="9"/>
  <c r="T23" i="9" s="1"/>
  <c r="R22" i="9"/>
  <c r="R19" i="9"/>
  <c r="S26" i="9" l="1"/>
  <c r="T26" i="9"/>
  <c r="T22" i="9"/>
  <c r="S22" i="9"/>
  <c r="S21" i="9"/>
  <c r="T21" i="9"/>
  <c r="S20" i="9"/>
  <c r="T20" i="9"/>
  <c r="N31" i="9"/>
  <c r="N32" i="9"/>
  <c r="S27" i="9"/>
  <c r="T27" i="9"/>
  <c r="T28" i="9"/>
  <c r="S28" i="9"/>
  <c r="S19" i="9"/>
  <c r="R32" i="9"/>
  <c r="R31" i="9"/>
  <c r="T19" i="9"/>
  <c r="S23" i="9"/>
  <c r="S24" i="9"/>
  <c r="S31" i="9" l="1"/>
  <c r="T32" i="9"/>
  <c r="T31" i="9"/>
  <c r="U31" i="9"/>
  <c r="S32" i="9"/>
  <c r="V31" i="9"/>
</calcChain>
</file>

<file path=xl/comments1.xml><?xml version="1.0" encoding="utf-8"?>
<comments xmlns="http://schemas.openxmlformats.org/spreadsheetml/2006/main">
  <authors>
    <author>Сергей</author>
    <author>Alex</author>
    <author>Алексей</author>
  </authors>
  <commentList>
    <comment ref="C2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8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объекта&gt;,&lt;Наименование расчета&gt;</t>
        </r>
      </text>
    </comment>
    <comment ref="A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п.п.&gt;</t>
        </r>
      </text>
    </comment>
    <comment ref="B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сметного расчета&gt;</t>
        </r>
      </text>
    </comment>
    <comment ref="C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работ и затрат (глав, объектов)&gt;</t>
        </r>
      </text>
    </comment>
    <comment ref="D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&lt;Строительные работы&gt;
&lt;Формула - Строительные работы&gt;</t>
        </r>
      </text>
    </comment>
    <comment ref="E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&lt;Монтажные работы&gt;
&lt;Формула - Монтажные работы&gt;</t>
        </r>
      </text>
    </comment>
    <comment ref="F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&lt;Оборудование, мебель, инвентарь&gt;
&lt;Формула - Оборудование&gt;</t>
        </r>
      </text>
    </comment>
    <comment ref="G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&lt;Прочее&gt;
&lt;Формула - Прочее&gt;</t>
        </r>
      </text>
    </comment>
    <comment ref="H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&lt;Всего&gt;</t>
        </r>
      </text>
    </comment>
    <comment ref="I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&lt;Средства на оплату труда&gt;
&lt;Формула - Средства на оплату труда&gt;</t>
        </r>
      </text>
    </comment>
    <comment ref="J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&lt;Показатели единичной стоимости&gt;
&lt;Формула - Показатели единичной стоимости&gt;</t>
        </r>
      </text>
    </comment>
    <comment ref="A55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360 значение&gt;</t>
        </r>
      </text>
    </comment>
    <comment ref="D57" authorId="2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380 значение&gt;</t>
        </r>
      </text>
    </comment>
  </commentList>
</comments>
</file>

<file path=xl/comments2.xml><?xml version="1.0" encoding="utf-8"?>
<comments xmlns="http://schemas.openxmlformats.org/spreadsheetml/2006/main">
  <authors>
    <author>Сергей</author>
    <author>Alex</author>
  </authors>
  <commentList>
    <comment ref="C2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объекта&gt;,&lt;Наименование расчета&gt;</t>
        </r>
      </text>
    </comment>
    <comment ref="A17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п.п.&gt;</t>
        </r>
      </text>
    </comment>
    <comment ref="B17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сметного расчета&gt;</t>
        </r>
      </text>
    </comment>
    <comment ref="C17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работ и затрат (глав, объектов)&gt;</t>
        </r>
      </text>
    </comment>
    <comment ref="D17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&lt;Строительные работы&gt;
&lt;Формула - Строительные работы&gt;</t>
        </r>
      </text>
    </comment>
    <comment ref="E17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&lt;Монтажные работы&gt;
&lt;Формула - Монтажные работы&gt;</t>
        </r>
      </text>
    </comment>
    <comment ref="F17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&lt;Оборудование, мебель, инвентарь&gt;
&lt;Формула - Оборудование&gt;</t>
        </r>
      </text>
    </comment>
    <comment ref="G17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&lt;Прочее&gt;
&lt;Формула - Прочее&gt;</t>
        </r>
      </text>
    </comment>
    <comment ref="H17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&lt;Всего&gt;</t>
        </r>
      </text>
    </comment>
    <comment ref="N17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&lt;Средства на оплату труда&gt;
&lt;Формула - Средства на оплату труда&gt;</t>
        </r>
      </text>
    </comment>
    <comment ref="O17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&lt;Показатели единичной стоимости&gt;
&lt;Формула - Показатели единичной стоимости&gt;</t>
        </r>
      </text>
    </comment>
  </commentList>
</comments>
</file>

<file path=xl/comments3.xml><?xml version="1.0" encoding="utf-8"?>
<comments xmlns="http://schemas.openxmlformats.org/spreadsheetml/2006/main">
  <authors>
    <author>Сергей</author>
    <author>Alex</author>
  </authors>
  <commentList>
    <comment ref="C2" authorId="0" shape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8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объекта&gt;,&lt;Наименование расчета&gt;</t>
        </r>
      </text>
    </comment>
    <comment ref="A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п.п.&gt;</t>
        </r>
      </text>
    </comment>
    <comment ref="B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сметного расчета&gt;</t>
        </r>
      </text>
    </comment>
    <comment ref="C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работ и затрат (глав, объектов)&gt;</t>
        </r>
      </text>
    </comment>
    <comment ref="D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&lt;Строительные работы&gt;
&lt;Формула - Строительные работы&gt;</t>
        </r>
      </text>
    </comment>
    <comment ref="E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&lt;Монтажные работы&gt;
&lt;Формула - Монтажные работы&gt;</t>
        </r>
      </text>
    </comment>
    <comment ref="F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&lt;Оборудование, мебель, инвентарь&gt;
&lt;Формула - Оборудование&gt;</t>
        </r>
      </text>
    </comment>
    <comment ref="G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&lt;Прочее&gt;
&lt;Формула - Прочее&gt;</t>
        </r>
      </text>
    </comment>
    <comment ref="H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&lt;Всего&gt;</t>
        </r>
      </text>
    </comment>
    <comment ref="N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&lt;Средства на оплату труда&gt;
&lt;Формула - Средства на оплату труда&gt;</t>
        </r>
      </text>
    </comment>
    <comment ref="O20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&lt;Показатели единичной стоимости&gt;
&lt;Формула - Показатели единичной стоимости&gt;</t>
        </r>
      </text>
    </comment>
  </commentList>
</comments>
</file>

<file path=xl/sharedStrings.xml><?xml version="1.0" encoding="utf-8"?>
<sst xmlns="http://schemas.openxmlformats.org/spreadsheetml/2006/main" count="251" uniqueCount="142">
  <si>
    <t>Форма № 3</t>
  </si>
  <si>
    <t>(наименование стройки)</t>
  </si>
  <si>
    <t>(наименование объекта)</t>
  </si>
  <si>
    <t>№ пп</t>
  </si>
  <si>
    <t>Номера сметных расчетов (смет)</t>
  </si>
  <si>
    <t>Наименование работ и затрат</t>
  </si>
  <si>
    <t>строительных работ</t>
  </si>
  <si>
    <t>монтажных работ</t>
  </si>
  <si>
    <t>оборудования, мебели, инвентаря</t>
  </si>
  <si>
    <t>прочих</t>
  </si>
  <si>
    <t>всего</t>
  </si>
  <si>
    <t>Локальные сметные расчеты</t>
  </si>
  <si>
    <t/>
  </si>
  <si>
    <t>Итого "Локальные сметные расчеты"</t>
  </si>
  <si>
    <t>Всего по объектной смете</t>
  </si>
  <si>
    <t xml:space="preserve">Реконструкция административного здания Отделения - НБ Республика Башкортостан  в г. Уфа, ул.Театральная, 3 (ранее - административное здание "АА1" Национального банка Республики Башкортостан.)     </t>
  </si>
  <si>
    <t>(Департамент ГУН)</t>
  </si>
  <si>
    <t xml:space="preserve">Реконструкция административного здания Отделения- НБ Республика Башкортостан  в г. Уфа, ул.Театральная, 3 (ранее - административное здание "АА1" Национального банка Республики Башкортостан.)   </t>
  </si>
  <si>
    <t>Составлен(а) в  ценах по состоянию на 1 квартал 2016 г.</t>
  </si>
  <si>
    <t>Главный инженер проекта: ___________________________С.С. Дойников</t>
  </si>
  <si>
    <t xml:space="preserve">                              (должность, подпись, расшифровка)</t>
  </si>
  <si>
    <t>Демонтажные работы  лит. А</t>
  </si>
  <si>
    <t>Сооружение временных устройств  лит. А</t>
  </si>
  <si>
    <t>Лифтовая шахта  лит.А</t>
  </si>
  <si>
    <t>Стены и перегородки  лит.А</t>
  </si>
  <si>
    <t>Перекрытия и лестнитцы  лит. А</t>
  </si>
  <si>
    <t>Витражи, двери  лит. А</t>
  </si>
  <si>
    <t>Узел управления  лит.А</t>
  </si>
  <si>
    <t>Земляные работы  лит.А1</t>
  </si>
  <si>
    <t>Полы  лит.А1</t>
  </si>
  <si>
    <t>Отделочные работы  лит.А1</t>
  </si>
  <si>
    <t>Газовое пожаротушение лит.А1</t>
  </si>
  <si>
    <t>Водопровод и канализация АА1</t>
  </si>
  <si>
    <t>Отопление АА1</t>
  </si>
  <si>
    <t>Сметная стоимость, тыс. руб.</t>
  </si>
  <si>
    <t>Средства на оплату труда, тыс. руб.</t>
  </si>
  <si>
    <t>Показатели единичной стоимости,    тыс. руб.</t>
  </si>
  <si>
    <t>Электроснабжение, электроосвещение АА1</t>
  </si>
  <si>
    <t>Вентил. и кондиц. АА1</t>
  </si>
  <si>
    <t>Оконные и дверные проемы  лит.А1</t>
  </si>
  <si>
    <t>Земляные работы  лит.А</t>
  </si>
  <si>
    <t>Полы  лит. А</t>
  </si>
  <si>
    <t>Внутренняя отделка  лит. А</t>
  </si>
  <si>
    <t>Монтаж лифтов лит.А</t>
  </si>
  <si>
    <t>Фундаменты лит. А1</t>
  </si>
  <si>
    <t>Стены и карк. лит. А1</t>
  </si>
  <si>
    <t>Перекрытия  лит.А1</t>
  </si>
  <si>
    <t>Лестницы  лит.А1</t>
  </si>
  <si>
    <t>Перегородки  лит.А1</t>
  </si>
  <si>
    <t>Кровля  лит.А1</t>
  </si>
  <si>
    <t>в том числе:</t>
  </si>
  <si>
    <t>- материалы по прайс-листам</t>
  </si>
  <si>
    <t>- оборудование по прайс-листам</t>
  </si>
  <si>
    <t xml:space="preserve">         Начальник отдела: ___________________________А.А. Федоров</t>
  </si>
  <si>
    <t xml:space="preserve">                         (должность, подпись, расшифровка)</t>
  </si>
  <si>
    <t xml:space="preserve">Расчетный измеритель единичной стоимости:(площадь лит.А=643,7м2;  лит.А1=1084м2; АА1=1727,7( м2)); </t>
  </si>
  <si>
    <t>ЛС № 02-01-01-01-2016г</t>
  </si>
  <si>
    <t>ЛС № 02-01-01-02-2016г</t>
  </si>
  <si>
    <t>ЛС №02-01-01-03-2016г</t>
  </si>
  <si>
    <t>ЛС №02-01-01-04-2016г</t>
  </si>
  <si>
    <t>ЛС №02-01-01-05-2016г.</t>
  </si>
  <si>
    <t>ЛС №02-01-01-06-2016г.</t>
  </si>
  <si>
    <t>ЛС №02-01-01-07-2016г.</t>
  </si>
  <si>
    <t>ЛС №02-01-01-08-2016г</t>
  </si>
  <si>
    <t>ЛС №02-01-01-09-2016г</t>
  </si>
  <si>
    <t>ЛС №02-01-01-10-2016г</t>
  </si>
  <si>
    <t>ЛС №02-01-01-11-2016г</t>
  </si>
  <si>
    <t>ЛС №02-01-02-01-2016г.</t>
  </si>
  <si>
    <t xml:space="preserve">ЛС №02-01-02-02-2016г. </t>
  </si>
  <si>
    <t xml:space="preserve">ЛС №02-01-02-03-2016г. </t>
  </si>
  <si>
    <t>ЛС №02-01-02-04-2016г</t>
  </si>
  <si>
    <t>ЛС №02-01-02-05-2016г</t>
  </si>
  <si>
    <t>ЛС №02-01-02-06-2016г.</t>
  </si>
  <si>
    <t>ЛС №02-01-02-07-2016г</t>
  </si>
  <si>
    <t xml:space="preserve">ЛС №02-01-02-08-2016г. </t>
  </si>
  <si>
    <t>ЛС №02-01-02-09-2016г</t>
  </si>
  <si>
    <t>ЛС №02-01-02-10-2016г</t>
  </si>
  <si>
    <t xml:space="preserve">ЛС №02-01-02-11-2016г. </t>
  </si>
  <si>
    <t>ЛС №02-01-03-2016г.</t>
  </si>
  <si>
    <t xml:space="preserve">ЛС №02-01-04-2016г </t>
  </si>
  <si>
    <t>ЛС №02-01-05-2016г</t>
  </si>
  <si>
    <t>ЛС №02-01-06-2016г.</t>
  </si>
  <si>
    <t xml:space="preserve">                  Заказчик:</t>
  </si>
  <si>
    <t xml:space="preserve">                                Начальник ОН Отделения НБ Республика Башкортостан : _________________________ К.А. Мансуров</t>
  </si>
  <si>
    <t xml:space="preserve">                     (должность, подпись, расшифровка)</t>
  </si>
  <si>
    <t xml:space="preserve"> Измен. ОБЪЕКТНЫЙ СМЕТНЫЙ РАСЧЕТ № 02-01-2016г (гун)</t>
  </si>
  <si>
    <r>
      <t xml:space="preserve">Средства на оплату труда </t>
    </r>
    <r>
      <rPr>
        <sz val="10"/>
        <color theme="9" tint="-0.499984740745262"/>
        <rFont val="Arial"/>
        <family val="2"/>
        <charset val="204"/>
      </rPr>
      <t>11787,326</t>
    </r>
    <r>
      <rPr>
        <sz val="10"/>
        <rFont val="Arial"/>
        <family val="2"/>
        <charset val="204"/>
      </rPr>
      <t xml:space="preserve"> тыс. руб.</t>
    </r>
  </si>
  <si>
    <t>Сметная стоимость 126 321,503тыс. руб.</t>
  </si>
  <si>
    <t>12</t>
  </si>
  <si>
    <t>ЛС №09-01-01-2016г.</t>
  </si>
  <si>
    <t>ПНР  лифтов лит.А</t>
  </si>
  <si>
    <t xml:space="preserve"> Вр.зд.  сооруж </t>
  </si>
  <si>
    <t xml:space="preserve">Итого за вычетом  возвратных сумм </t>
  </si>
  <si>
    <t xml:space="preserve">Зимние удорожания </t>
  </si>
  <si>
    <t>5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</si>
  <si>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</si>
  <si>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</si>
  <si>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</si>
  <si>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</si>
  <si>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</si>
  <si>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</si>
  <si>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</si>
  <si>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</si>
  <si>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</si>
  <si>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</si>
  <si>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</si>
  <si>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</si>
  <si>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</si>
  <si>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 xml:space="preserve">всего </t>
  </si>
  <si>
    <t xml:space="preserve">Стоимость работ,необлагаемых НДС,с учетом средств на покрытие затрат по уплате НДС на стоимость материалов,оборудования и услуг экплуатируемых </t>
  </si>
  <si>
    <t xml:space="preserve">Возмещение НДС расчетным путем по ЛСР </t>
  </si>
  <si>
    <t xml:space="preserve">НДС-18 % на Оборудование  </t>
  </si>
  <si>
    <t xml:space="preserve">Стоимость материалов  по прайс листам </t>
  </si>
  <si>
    <t xml:space="preserve">НДС- 18 %  на материалы по прайс-листам </t>
  </si>
  <si>
    <r>
      <t xml:space="preserve">Средства на оплату труда </t>
    </r>
    <r>
      <rPr>
        <sz val="12"/>
        <color theme="9" tint="-0.499984740745262"/>
        <rFont val="Times New Roman"/>
        <family val="1"/>
        <charset val="204"/>
      </rPr>
      <t>11787,326</t>
    </r>
    <r>
      <rPr>
        <sz val="12"/>
        <rFont val="Times New Roman"/>
        <family val="1"/>
        <charset val="204"/>
      </rPr>
      <t xml:space="preserve"> тыс. руб.</t>
    </r>
  </si>
  <si>
    <t>Возврат 15 % от временн.зд. и сооруж.</t>
  </si>
  <si>
    <t xml:space="preserve"> ( объект культурного наследия   лит. А )</t>
  </si>
  <si>
    <t xml:space="preserve"> В том числе НДС </t>
  </si>
  <si>
    <t>Общий НДС (Возмещение НДС расчетным путем + НДС  18 % на МАТ и ОБ по прайс листам )</t>
  </si>
  <si>
    <t>СМР</t>
  </si>
  <si>
    <t>МАТ Прайс</t>
  </si>
  <si>
    <t xml:space="preserve">ОБ </t>
  </si>
  <si>
    <t>Итого</t>
  </si>
  <si>
    <t>Средства на оплату труда 11787,326 тыс. руб.</t>
  </si>
  <si>
    <t xml:space="preserve"> Проверка </t>
  </si>
  <si>
    <t xml:space="preserve">Объект культурного наследия   лит. А </t>
  </si>
  <si>
    <t>Стоимость работ,необлагаемых НДС,с учетом средств на покрытие затрат по уплате НДС на стоимость материалов,оборудования и услуг экплуатируемых механизмов</t>
  </si>
  <si>
    <t xml:space="preserve">Итого по Локальным сметным расчетам </t>
  </si>
  <si>
    <t>Сметная стоимость, руб.</t>
  </si>
  <si>
    <t xml:space="preserve">НДС-18 % на  Стоимость оборудования  по прайс листам и коммерческим предложениям поставщиков </t>
  </si>
  <si>
    <t xml:space="preserve">Стоимость материалов  по прайс листам коммерческим предложениям поставщиков </t>
  </si>
  <si>
    <t xml:space="preserve">НДС- 18 %  на Стоимость материалов по прайс-листам и коммерческим предложениям поставщиков </t>
  </si>
  <si>
    <t>12.</t>
  </si>
  <si>
    <t xml:space="preserve"> Временные здания и  сооружения  (1,44 %) ГСН81-05-01-2001 п.4.2,прил.1,п.2.1,гл.2</t>
  </si>
  <si>
    <t xml:space="preserve">Возврат                          15 %                   от временных зданий  и сооружений </t>
  </si>
  <si>
    <t xml:space="preserve">Возмещение дополнительных затрат при производстве строительно-монтажных работ в зимнее время (2,07 % ) ГСНр81-05-02-2001 табл.2,п.1.4,т.3,п.3. </t>
  </si>
  <si>
    <t>к  Приложению №1  к Сводному сметному расчету</t>
  </si>
  <si>
    <t xml:space="preserve">Расчет затрат на возмещение  НДС  по локальным сметным расчетам   по формуле (МАТ+(ЭМ-ЗПМ)+НР*0,1712+СП *0,15 )  учетом  лимитированных затрат-временных зданий и сооружений-1,44 %,в учетом  возвратных сумм-15 % от временных здания и сооружений, зимних удорожаний-2,07 %.  </t>
  </si>
  <si>
    <t>Общий НДС (Возмещение НДС  расчетным путем по локальным сметным расчетам ,                    НДС- 18 % на  оборудование  по прайс листам и коммерческим предложениям поставщиков )</t>
  </si>
  <si>
    <t xml:space="preserve"> по возмещению НДС поставщикам материалов,оборудования и услуг эксплуатируемых механизмов</t>
  </si>
  <si>
    <t xml:space="preserve">Расчет №1   налогов и платежей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</si>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</sst>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0000"/>
    <numFmt numFmtId="166" formatCode="0.000"/>
    <numFmt numFmtId="167" formatCode="#,##0.000"/>
    <numFmt numFmtId="168" formatCode="_-* #,##0_р_._-;\-* #,##0_р_._-;_-* &quot;-&quot;??_р_._-;_-@_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name val="Arial Cyr"/>
      <charset val="204"/>
    </font>
    <font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  <family val="2"/>
      <charset val="204"/>
    </font>
    <font>
      <u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9" tint="-0.49998474074526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9" tint="-0.499984740745262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0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5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5" fillId="0" borderId="0"/>
    <xf numFmtId="0" fontId="3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/>
  </cellStyleXfs>
  <cellXfs count="209">
    <xf numFmtId="0" fontId="0" fillId="0" borderId="0" xfId="0"/>
    <xf numFmtId="0" fontId="8" fillId="0" borderId="0" xfId="0" applyFont="1"/>
    <xf numFmtId="49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8" fillId="0" borderId="0" xfId="0" applyFont="1" applyBorder="1"/>
    <xf numFmtId="49" fontId="8" fillId="0" borderId="0" xfId="0" applyNumberFormat="1" applyFont="1" applyBorder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0" fontId="8" fillId="0" borderId="0" xfId="11" applyFont="1"/>
    <xf numFmtId="49" fontId="8" fillId="0" borderId="0" xfId="0" applyNumberFormat="1" applyFont="1" applyAlignment="1"/>
    <xf numFmtId="0" fontId="8" fillId="0" borderId="0" xfId="0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0" xfId="11" applyNumberFormat="1" applyFont="1"/>
    <xf numFmtId="0" fontId="8" fillId="0" borderId="0" xfId="0" applyFont="1" applyAlignment="1">
      <alignment horizontal="right" vertical="center"/>
    </xf>
    <xf numFmtId="0" fontId="8" fillId="0" borderId="2" xfId="16" applyFont="1" applyBorder="1" applyAlignment="1">
      <alignment horizontal="center" wrapText="1"/>
    </xf>
    <xf numFmtId="0" fontId="8" fillId="0" borderId="1" xfId="0" applyFont="1" applyBorder="1" applyAlignment="1">
      <alignment horizontal="righ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8" fillId="2" borderId="1" xfId="0" applyNumberFormat="1" applyFont="1" applyFill="1" applyBorder="1" applyAlignment="1">
      <alignment horizontal="right" vertical="top" wrapText="1"/>
    </xf>
    <xf numFmtId="49" fontId="12" fillId="0" borderId="0" xfId="0" applyNumberFormat="1" applyFont="1" applyAlignment="1">
      <alignment horizontal="left" vertical="top" wrapText="1"/>
    </xf>
    <xf numFmtId="49" fontId="12" fillId="0" borderId="0" xfId="0" applyNumberFormat="1" applyFont="1"/>
    <xf numFmtId="4" fontId="12" fillId="0" borderId="0" xfId="0" applyNumberFormat="1" applyFont="1" applyAlignment="1">
      <alignment horizontal="right" vertical="center" wrapText="1"/>
    </xf>
    <xf numFmtId="4" fontId="12" fillId="0" borderId="0" xfId="0" applyNumberFormat="1" applyFont="1" applyAlignment="1">
      <alignment vertical="center"/>
    </xf>
    <xf numFmtId="0" fontId="8" fillId="0" borderId="0" xfId="0" applyFont="1" applyAlignment="1">
      <alignment horizontal="center"/>
    </xf>
    <xf numFmtId="166" fontId="8" fillId="2" borderId="1" xfId="0" applyNumberFormat="1" applyFont="1" applyFill="1" applyBorder="1" applyAlignment="1">
      <alignment horizontal="right" vertical="top" wrapText="1"/>
    </xf>
    <xf numFmtId="166" fontId="8" fillId="0" borderId="1" xfId="0" applyNumberFormat="1" applyFont="1" applyBorder="1" applyAlignment="1">
      <alignment horizontal="right" vertical="top" wrapText="1"/>
    </xf>
    <xf numFmtId="0" fontId="8" fillId="2" borderId="1" xfId="0" applyFont="1" applyFill="1" applyBorder="1" applyAlignment="1">
      <alignment horizontal="right" vertical="top" wrapText="1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166" fontId="13" fillId="2" borderId="1" xfId="0" applyNumberFormat="1" applyFont="1" applyFill="1" applyBorder="1" applyAlignment="1">
      <alignment horizontal="right" vertical="top" wrapText="1"/>
    </xf>
    <xf numFmtId="166" fontId="0" fillId="0" borderId="0" xfId="0" applyNumberFormat="1"/>
    <xf numFmtId="4" fontId="0" fillId="0" borderId="0" xfId="0" applyNumberFormat="1"/>
    <xf numFmtId="164" fontId="13" fillId="0" borderId="0" xfId="27" applyFont="1"/>
    <xf numFmtId="0" fontId="8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right" vertical="top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top" wrapText="1"/>
    </xf>
    <xf numFmtId="166" fontId="14" fillId="2" borderId="1" xfId="0" applyNumberFormat="1" applyFont="1" applyFill="1" applyBorder="1" applyAlignment="1">
      <alignment horizontal="right" vertical="top" wrapText="1"/>
    </xf>
    <xf numFmtId="167" fontId="13" fillId="0" borderId="1" xfId="0" applyNumberFormat="1" applyFont="1" applyBorder="1" applyAlignment="1">
      <alignment horizontal="right" vertical="top" wrapText="1"/>
    </xf>
    <xf numFmtId="167" fontId="8" fillId="0" borderId="1" xfId="0" applyNumberFormat="1" applyFont="1" applyBorder="1" applyAlignment="1">
      <alignment horizontal="right" vertical="top" wrapText="1"/>
    </xf>
    <xf numFmtId="167" fontId="14" fillId="0" borderId="1" xfId="0" applyNumberFormat="1" applyFont="1" applyBorder="1" applyAlignment="1">
      <alignment horizontal="right" vertical="top" wrapText="1"/>
    </xf>
    <xf numFmtId="167" fontId="0" fillId="0" borderId="0" xfId="0" applyNumberFormat="1"/>
    <xf numFmtId="0" fontId="15" fillId="0" borderId="0" xfId="0" applyFont="1" applyAlignment="1">
      <alignment horizontal="center" vertical="center"/>
    </xf>
    <xf numFmtId="164" fontId="15" fillId="0" borderId="0" xfId="27" applyFont="1" applyAlignment="1">
      <alignment horizontal="center" vertical="center"/>
    </xf>
    <xf numFmtId="168" fontId="15" fillId="0" borderId="0" xfId="27" applyNumberFormat="1" applyFont="1" applyAlignment="1">
      <alignment horizontal="center" vertical="center"/>
    </xf>
    <xf numFmtId="164" fontId="18" fillId="0" borderId="0" xfId="27" applyFont="1" applyAlignment="1">
      <alignment horizontal="center" vertical="center"/>
    </xf>
    <xf numFmtId="164" fontId="18" fillId="5" borderId="0" xfId="27" applyFont="1" applyFill="1" applyAlignment="1">
      <alignment horizontal="center" vertical="center"/>
    </xf>
    <xf numFmtId="164" fontId="15" fillId="0" borderId="0" xfId="27" applyFont="1" applyAlignment="1">
      <alignment horizontal="left" vertical="center"/>
    </xf>
    <xf numFmtId="0" fontId="15" fillId="0" borderId="0" xfId="0" applyFont="1" applyBorder="1" applyAlignment="1">
      <alignment vertical="center" wrapText="1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68" fontId="15" fillId="0" borderId="1" xfId="27" applyNumberFormat="1" applyFont="1" applyBorder="1" applyAlignment="1">
      <alignment horizontal="center" vertical="center"/>
    </xf>
    <xf numFmtId="164" fontId="15" fillId="0" borderId="0" xfId="27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168" fontId="15" fillId="0" borderId="0" xfId="27" applyNumberFormat="1" applyFont="1" applyAlignment="1">
      <alignment horizontal="right" vertical="center" wrapText="1"/>
    </xf>
    <xf numFmtId="164" fontId="15" fillId="0" borderId="0" xfId="27" applyFont="1" applyAlignment="1">
      <alignment vertical="center"/>
    </xf>
    <xf numFmtId="4" fontId="15" fillId="0" borderId="0" xfId="0" applyNumberFormat="1" applyFont="1" applyAlignment="1">
      <alignment vertical="center"/>
    </xf>
    <xf numFmtId="168" fontId="15" fillId="0" borderId="0" xfId="27" applyNumberFormat="1" applyFont="1" applyAlignment="1">
      <alignment vertical="center"/>
    </xf>
    <xf numFmtId="0" fontId="23" fillId="0" borderId="1" xfId="0" applyFont="1" applyBorder="1" applyAlignment="1">
      <alignment horizontal="right" vertical="center" wrapText="1"/>
    </xf>
    <xf numFmtId="49" fontId="23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164" fontId="23" fillId="0" borderId="1" xfId="27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righ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164" fontId="15" fillId="2" borderId="1" xfId="27" applyFont="1" applyFill="1" applyBorder="1" applyAlignment="1">
      <alignment horizontal="right" vertical="center" wrapText="1"/>
    </xf>
    <xf numFmtId="164" fontId="21" fillId="3" borderId="1" xfId="27" applyFont="1" applyFill="1" applyBorder="1" applyAlignment="1">
      <alignment horizontal="right" vertical="center" wrapText="1"/>
    </xf>
    <xf numFmtId="164" fontId="15" fillId="4" borderId="1" xfId="27" applyFont="1" applyFill="1" applyBorder="1" applyAlignment="1">
      <alignment horizontal="right" vertical="center" wrapText="1"/>
    </xf>
    <xf numFmtId="164" fontId="22" fillId="4" borderId="1" xfId="27" applyFont="1" applyFill="1" applyBorder="1" applyAlignment="1">
      <alignment horizontal="right" vertical="center" wrapText="1"/>
    </xf>
    <xf numFmtId="164" fontId="15" fillId="0" borderId="1" xfId="0" applyNumberFormat="1" applyFont="1" applyBorder="1" applyAlignment="1">
      <alignment vertical="center"/>
    </xf>
    <xf numFmtId="164" fontId="15" fillId="4" borderId="1" xfId="0" applyNumberFormat="1" applyFont="1" applyFill="1" applyBorder="1" applyAlignment="1">
      <alignment vertical="center"/>
    </xf>
    <xf numFmtId="164" fontId="15" fillId="5" borderId="1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4" borderId="1" xfId="0" applyFont="1" applyFill="1" applyBorder="1" applyAlignment="1">
      <alignment vertical="center"/>
    </xf>
    <xf numFmtId="49" fontId="15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5" fillId="0" borderId="0" xfId="0" applyFont="1" applyBorder="1" applyAlignment="1">
      <alignment vertical="center"/>
    </xf>
    <xf numFmtId="49" fontId="15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164" fontId="19" fillId="0" borderId="0" xfId="27" applyFont="1" applyAlignment="1">
      <alignment vertical="center"/>
    </xf>
    <xf numFmtId="0" fontId="15" fillId="0" borderId="0" xfId="11" applyNumberFormat="1" applyFont="1" applyAlignment="1">
      <alignment vertical="center"/>
    </xf>
    <xf numFmtId="0" fontId="15" fillId="0" borderId="0" xfId="11" applyFont="1" applyAlignment="1">
      <alignment vertical="center"/>
    </xf>
    <xf numFmtId="49" fontId="15" fillId="0" borderId="0" xfId="0" applyNumberFormat="1" applyFont="1" applyAlignment="1">
      <alignment vertical="center"/>
    </xf>
    <xf numFmtId="0" fontId="15" fillId="0" borderId="2" xfId="16" applyFont="1" applyBorder="1" applyAlignment="1">
      <alignment horizontal="center" vertical="center" wrapText="1"/>
    </xf>
    <xf numFmtId="49" fontId="15" fillId="0" borderId="2" xfId="27" applyNumberFormat="1" applyFont="1" applyBorder="1" applyAlignment="1">
      <alignment horizontal="center" vertical="center" wrapText="1"/>
    </xf>
    <xf numFmtId="49" fontId="15" fillId="0" borderId="2" xfId="16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49" fontId="15" fillId="2" borderId="3" xfId="0" applyNumberFormat="1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164" fontId="19" fillId="2" borderId="1" xfId="27" applyFont="1" applyFill="1" applyBorder="1" applyAlignment="1">
      <alignment horizontal="right" vertical="center" wrapText="1"/>
    </xf>
    <xf numFmtId="1" fontId="15" fillId="2" borderId="1" xfId="0" applyNumberFormat="1" applyFont="1" applyFill="1" applyBorder="1" applyAlignment="1">
      <alignment horizontal="right" vertical="center" wrapText="1"/>
    </xf>
    <xf numFmtId="168" fontId="15" fillId="2" borderId="1" xfId="27" applyNumberFormat="1" applyFont="1" applyFill="1" applyBorder="1" applyAlignment="1">
      <alignment horizontal="right" vertical="center" wrapText="1"/>
    </xf>
    <xf numFmtId="164" fontId="15" fillId="0" borderId="1" xfId="27" applyFont="1" applyBorder="1" applyAlignment="1">
      <alignment vertical="center"/>
    </xf>
    <xf numFmtId="0" fontId="15" fillId="0" borderId="1" xfId="0" applyFont="1" applyBorder="1" applyAlignment="1">
      <alignment horizontal="righ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64" fontId="15" fillId="0" borderId="1" xfId="27" applyFont="1" applyBorder="1" applyAlignment="1">
      <alignment horizontal="right" vertical="center" wrapText="1"/>
    </xf>
    <xf numFmtId="1" fontId="19" fillId="2" borderId="1" xfId="0" applyNumberFormat="1" applyFont="1" applyFill="1" applyBorder="1" applyAlignment="1">
      <alignment horizontal="right" vertical="center" wrapText="1"/>
    </xf>
    <xf numFmtId="164" fontId="19" fillId="0" borderId="0" xfId="27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49" fontId="15" fillId="0" borderId="0" xfId="0" applyNumberFormat="1" applyFont="1" applyAlignment="1">
      <alignment horizontal="left" vertical="center" wrapText="1"/>
    </xf>
    <xf numFmtId="16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0" fontId="15" fillId="6" borderId="1" xfId="0" applyFont="1" applyFill="1" applyBorder="1" applyAlignment="1">
      <alignment horizontal="right" vertical="center" wrapText="1"/>
    </xf>
    <xf numFmtId="49" fontId="15" fillId="6" borderId="1" xfId="0" applyNumberFormat="1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164" fontId="15" fillId="6" borderId="1" xfId="27" applyFont="1" applyFill="1" applyBorder="1" applyAlignment="1">
      <alignment horizontal="right" vertical="center" wrapText="1"/>
    </xf>
    <xf numFmtId="0" fontId="15" fillId="6" borderId="0" xfId="0" applyFont="1" applyFill="1" applyBorder="1" applyAlignment="1">
      <alignment vertical="center"/>
    </xf>
    <xf numFmtId="0" fontId="15" fillId="6" borderId="0" xfId="0" applyFont="1" applyFill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164" fontId="19" fillId="0" borderId="0" xfId="0" applyNumberFormat="1" applyFont="1" applyAlignment="1">
      <alignment vertical="center"/>
    </xf>
    <xf numFmtId="164" fontId="15" fillId="3" borderId="1" xfId="27" applyFont="1" applyFill="1" applyBorder="1" applyAlignment="1">
      <alignment horizontal="right" vertical="center" wrapText="1"/>
    </xf>
    <xf numFmtId="164" fontId="19" fillId="3" borderId="1" xfId="27" applyFont="1" applyFill="1" applyBorder="1" applyAlignment="1">
      <alignment horizontal="right" vertical="center" wrapText="1"/>
    </xf>
    <xf numFmtId="0" fontId="15" fillId="2" borderId="0" xfId="0" applyFont="1" applyFill="1" applyAlignment="1">
      <alignment vertical="center"/>
    </xf>
    <xf numFmtId="49" fontId="15" fillId="2" borderId="0" xfId="0" applyNumberFormat="1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164" fontId="15" fillId="2" borderId="0" xfId="27" applyFont="1" applyFill="1" applyAlignment="1">
      <alignment horizontal="center" vertical="center"/>
    </xf>
    <xf numFmtId="168" fontId="15" fillId="2" borderId="0" xfId="27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49" fontId="15" fillId="2" borderId="0" xfId="0" applyNumberFormat="1" applyFont="1" applyFill="1" applyBorder="1" applyAlignment="1">
      <alignment horizontal="left" vertical="center"/>
    </xf>
    <xf numFmtId="164" fontId="18" fillId="2" borderId="0" xfId="27" applyFont="1" applyFill="1" applyAlignment="1">
      <alignment horizontal="center" vertical="center"/>
    </xf>
    <xf numFmtId="0" fontId="15" fillId="2" borderId="0" xfId="0" applyFont="1" applyFill="1" applyBorder="1" applyAlignment="1">
      <alignment vertical="center" wrapText="1"/>
    </xf>
    <xf numFmtId="166" fontId="15" fillId="2" borderId="0" xfId="0" applyNumberFormat="1" applyFont="1" applyFill="1" applyAlignment="1">
      <alignment horizontal="center" vertical="center"/>
    </xf>
    <xf numFmtId="0" fontId="15" fillId="2" borderId="0" xfId="11" applyNumberFormat="1" applyFont="1" applyFill="1" applyAlignment="1">
      <alignment vertical="center"/>
    </xf>
    <xf numFmtId="0" fontId="15" fillId="2" borderId="0" xfId="11" applyFont="1" applyFill="1" applyAlignment="1">
      <alignment vertical="center"/>
    </xf>
    <xf numFmtId="49" fontId="15" fillId="2" borderId="0" xfId="0" applyNumberFormat="1" applyFont="1" applyFill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16" applyFont="1" applyFill="1" applyBorder="1" applyAlignment="1">
      <alignment horizontal="center" vertical="center" wrapText="1"/>
    </xf>
    <xf numFmtId="49" fontId="15" fillId="2" borderId="2" xfId="27" applyNumberFormat="1" applyFont="1" applyFill="1" applyBorder="1" applyAlignment="1">
      <alignment horizontal="center" vertical="center" wrapText="1"/>
    </xf>
    <xf numFmtId="49" fontId="15" fillId="2" borderId="2" xfId="16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64" fontId="15" fillId="2" borderId="0" xfId="0" applyNumberFormat="1" applyFont="1" applyFill="1" applyAlignment="1">
      <alignment vertical="center"/>
    </xf>
    <xf numFmtId="0" fontId="23" fillId="2" borderId="1" xfId="0" applyFont="1" applyFill="1" applyBorder="1" applyAlignment="1">
      <alignment horizontal="right" vertical="center" wrapText="1"/>
    </xf>
    <xf numFmtId="49" fontId="23" fillId="2" borderId="1" xfId="0" applyNumberFormat="1" applyFont="1" applyFill="1" applyBorder="1" applyAlignment="1">
      <alignment horizontal="left" vertical="center" wrapText="1"/>
    </xf>
    <xf numFmtId="164" fontId="15" fillId="2" borderId="0" xfId="27" applyFont="1" applyFill="1" applyAlignment="1">
      <alignment vertical="center"/>
    </xf>
    <xf numFmtId="164" fontId="15" fillId="2" borderId="0" xfId="27" applyFont="1" applyFill="1" applyBorder="1" applyAlignment="1">
      <alignment horizontal="right" vertical="center" wrapText="1"/>
    </xf>
    <xf numFmtId="0" fontId="24" fillId="2" borderId="0" xfId="0" applyFont="1" applyFill="1" applyAlignment="1">
      <alignment vertical="center"/>
    </xf>
    <xf numFmtId="164" fontId="24" fillId="2" borderId="1" xfId="27" applyFont="1" applyFill="1" applyBorder="1" applyAlignment="1">
      <alignment horizontal="right" vertical="center" wrapText="1"/>
    </xf>
    <xf numFmtId="0" fontId="24" fillId="2" borderId="0" xfId="0" applyFont="1" applyFill="1" applyBorder="1" applyAlignment="1">
      <alignment vertical="center"/>
    </xf>
    <xf numFmtId="164" fontId="23" fillId="2" borderId="0" xfId="27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vertical="center"/>
    </xf>
    <xf numFmtId="164" fontId="23" fillId="2" borderId="0" xfId="27" applyFont="1" applyFill="1" applyAlignment="1">
      <alignment horizontal="center"/>
    </xf>
    <xf numFmtId="164" fontId="15" fillId="2" borderId="1" xfId="27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68" fontId="15" fillId="2" borderId="1" xfId="27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/>
    </xf>
    <xf numFmtId="164" fontId="15" fillId="2" borderId="1" xfId="27" applyFont="1" applyFill="1" applyBorder="1" applyAlignment="1">
      <alignment horizontal="center" vertical="center"/>
    </xf>
    <xf numFmtId="164" fontId="16" fillId="2" borderId="1" xfId="27" applyFont="1" applyFill="1" applyBorder="1" applyAlignment="1">
      <alignment horizontal="center" vertical="center" wrapText="1"/>
    </xf>
    <xf numFmtId="164" fontId="23" fillId="2" borderId="1" xfId="27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164" fontId="24" fillId="2" borderId="2" xfId="27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right" vertical="center" wrapText="1"/>
    </xf>
    <xf numFmtId="49" fontId="24" fillId="2" borderId="2" xfId="0" applyNumberFormat="1" applyFont="1" applyFill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right" vertical="center" wrapText="1"/>
    </xf>
    <xf numFmtId="4" fontId="15" fillId="2" borderId="1" xfId="27" applyNumberFormat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left" vertical="center" wrapText="1"/>
    </xf>
    <xf numFmtId="164" fontId="18" fillId="2" borderId="0" xfId="27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15" fillId="2" borderId="0" xfId="27" applyFont="1" applyFill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5" fillId="2" borderId="1" xfId="27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8" fontId="15" fillId="2" borderId="1" xfId="27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0" fontId="15" fillId="4" borderId="3" xfId="0" applyFont="1" applyFill="1" applyBorder="1" applyAlignment="1">
      <alignment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164" fontId="15" fillId="0" borderId="1" xfId="27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8" fontId="15" fillId="0" borderId="1" xfId="27" applyNumberFormat="1" applyFont="1" applyBorder="1" applyAlignment="1">
      <alignment horizontal="center" vertical="center" wrapText="1"/>
    </xf>
  </cellXfs>
  <cellStyles count="110">
    <cellStyle name="Акт" xfId="1"/>
    <cellStyle name="АктМТСН" xfId="2"/>
    <cellStyle name="АктМТСН 2" xfId="32"/>
    <cellStyle name="АктМТСН 3" xfId="70"/>
    <cellStyle name="АктМТСН 4" xfId="74"/>
    <cellStyle name="АктМТСН 5" xfId="50"/>
    <cellStyle name="АктМТСН 6" xfId="54"/>
    <cellStyle name="АктМТСН 7" xfId="79"/>
    <cellStyle name="АктМТСН 8" xfId="91"/>
    <cellStyle name="АктМТСН 9" xfId="95"/>
    <cellStyle name="ВедРесурсов" xfId="3"/>
    <cellStyle name="ВедРесурсовАкт" xfId="4"/>
    <cellStyle name="Индексы" xfId="5"/>
    <cellStyle name="Индексы 2" xfId="35"/>
    <cellStyle name="Индексы 3" xfId="68"/>
    <cellStyle name="Индексы 4" xfId="73"/>
    <cellStyle name="Индексы 5" xfId="48"/>
    <cellStyle name="Индексы 6" xfId="84"/>
    <cellStyle name="Индексы 7" xfId="80"/>
    <cellStyle name="Индексы 8" xfId="90"/>
    <cellStyle name="Индексы 9" xfId="108"/>
    <cellStyle name="Итоги" xfId="6"/>
    <cellStyle name="ИтогоАктБазЦ" xfId="7"/>
    <cellStyle name="ИтогоАктБИМ" xfId="8"/>
    <cellStyle name="ИтогоАктБИМ 2" xfId="38"/>
    <cellStyle name="ИтогоАктБИМ 3" xfId="52"/>
    <cellStyle name="ИтогоАктБИМ 4" xfId="56"/>
    <cellStyle name="ИтогоАктБИМ 5" xfId="47"/>
    <cellStyle name="ИтогоАктБИМ 6" xfId="36"/>
    <cellStyle name="ИтогоАктБИМ 7" xfId="86"/>
    <cellStyle name="ИтогоАктБИМ 8" xfId="105"/>
    <cellStyle name="ИтогоАктБИМ 9" xfId="101"/>
    <cellStyle name="ИтогоАктРесМет" xfId="9"/>
    <cellStyle name="ИтогоАктРесМет 2" xfId="39"/>
    <cellStyle name="ИтогоАктРесМет 3" xfId="64"/>
    <cellStyle name="ИтогоАктРесМет 4" xfId="61"/>
    <cellStyle name="ИтогоАктРесМет 5" xfId="30"/>
    <cellStyle name="ИтогоАктРесМет 6" xfId="37"/>
    <cellStyle name="ИтогоАктРесМет 7" xfId="59"/>
    <cellStyle name="ИтогоАктРесМет 8" xfId="100"/>
    <cellStyle name="ИтогоАктРесМет 9" xfId="97"/>
    <cellStyle name="ИтогоБазЦ" xfId="10"/>
    <cellStyle name="ИтогоБИМ" xfId="11"/>
    <cellStyle name="ИтогоБИМ 2" xfId="41"/>
    <cellStyle name="ИтогоБИМ 3" xfId="58"/>
    <cellStyle name="ИтогоБИМ 4" xfId="67"/>
    <cellStyle name="ИтогоБИМ 5" xfId="66"/>
    <cellStyle name="ИтогоБИМ 6" xfId="60"/>
    <cellStyle name="ИтогоБИМ 7" xfId="82"/>
    <cellStyle name="ИтогоБИМ 8" xfId="93"/>
    <cellStyle name="ИтогоБИМ 9" xfId="102"/>
    <cellStyle name="ИтогоРесМет" xfId="12"/>
    <cellStyle name="ИтогоРесМет 2" xfId="42"/>
    <cellStyle name="ИтогоРесМет 3" xfId="57"/>
    <cellStyle name="ИтогоРесМет 4" xfId="69"/>
    <cellStyle name="ИтогоРесМет 5" xfId="65"/>
    <cellStyle name="ИтогоРесМет 6" xfId="51"/>
    <cellStyle name="ИтогоРесМет 7" xfId="87"/>
    <cellStyle name="ИтогоРесМет 8" xfId="99"/>
    <cellStyle name="ИтогоРесМет 9" xfId="103"/>
    <cellStyle name="ЛокСмета" xfId="13"/>
    <cellStyle name="ЛокСмМТСН" xfId="14"/>
    <cellStyle name="ЛокСмМТСН 2" xfId="44"/>
    <cellStyle name="ЛокСмМТСН 3" xfId="55"/>
    <cellStyle name="ЛокСмМТСН 4" xfId="71"/>
    <cellStyle name="ЛокСмМТСН 5" xfId="63"/>
    <cellStyle name="ЛокСмМТСН 6" xfId="83"/>
    <cellStyle name="ЛокСмМТСН 7" xfId="31"/>
    <cellStyle name="ЛокСмМТСН 8" xfId="94"/>
    <cellStyle name="ЛокСмМТСН 9" xfId="107"/>
    <cellStyle name="М29" xfId="15"/>
    <cellStyle name="М29 2" xfId="45"/>
    <cellStyle name="М29 3" xfId="53"/>
    <cellStyle name="М29 4" xfId="76"/>
    <cellStyle name="М29 5" xfId="62"/>
    <cellStyle name="М29 6" xfId="81"/>
    <cellStyle name="М29 7" xfId="88"/>
    <cellStyle name="М29 8" xfId="98"/>
    <cellStyle name="М29 9" xfId="106"/>
    <cellStyle name="ОбСмета" xfId="16"/>
    <cellStyle name="ОбСмета 2" xfId="46"/>
    <cellStyle name="ОбСмета 3" xfId="72"/>
    <cellStyle name="ОбСмета 4" xfId="77"/>
    <cellStyle name="ОбСмета 5" xfId="40"/>
    <cellStyle name="ОбСмета 6" xfId="85"/>
    <cellStyle name="ОбСмета 7" xfId="89"/>
    <cellStyle name="ОбСмета 8" xfId="33"/>
    <cellStyle name="ОбСмета 9" xfId="109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ВедРес 2" xfId="28"/>
    <cellStyle name="СводкаСтоимРаб" xfId="21"/>
    <cellStyle name="СводРасч" xfId="22"/>
    <cellStyle name="СводРасч 2" xfId="49"/>
    <cellStyle name="СводРасч 3" xfId="75"/>
    <cellStyle name="СводРасч 4" xfId="78"/>
    <cellStyle name="СводРасч 5" xfId="34"/>
    <cellStyle name="СводРасч 6" xfId="43"/>
    <cellStyle name="СводРасч 7" xfId="92"/>
    <cellStyle name="СводРасч 8" xfId="96"/>
    <cellStyle name="СводРасч 9" xfId="104"/>
    <cellStyle name="Титул" xfId="23"/>
    <cellStyle name="Финансовый" xfId="27" builtinId="3"/>
    <cellStyle name="Хвост" xfId="24"/>
    <cellStyle name="Ценник" xfId="25"/>
    <cellStyle name="Ценник 2" xfId="29"/>
    <cellStyle name="Экспертиза" xfId="26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K65"/>
  <sheetViews>
    <sheetView showGridLines="0" topLeftCell="A25" workbookViewId="0">
      <selection activeCell="B27" sqref="B27"/>
    </sheetView>
  </sheetViews>
  <sheetFormatPr defaultRowHeight="12.75" x14ac:dyDescent="0.2"/>
  <cols>
    <col min="1" max="1" width="4.28515625" customWidth="1"/>
    <col min="2" max="2" width="17" customWidth="1"/>
    <col min="3" max="3" width="37.5703125" customWidth="1"/>
    <col min="4" max="4" width="12.85546875" customWidth="1"/>
    <col min="5" max="5" width="14.28515625" customWidth="1"/>
    <col min="6" max="6" width="13.85546875" customWidth="1"/>
    <col min="7" max="7" width="12" customWidth="1"/>
    <col min="8" max="8" width="12.42578125" customWidth="1"/>
    <col min="9" max="9" width="11.7109375" customWidth="1"/>
    <col min="10" max="10" width="13.7109375" customWidth="1"/>
    <col min="11" max="11" width="11.140625" bestFit="1" customWidth="1"/>
  </cols>
  <sheetData>
    <row r="1" spans="1:10" x14ac:dyDescent="0.2">
      <c r="A1" s="1"/>
      <c r="B1" s="2"/>
      <c r="C1" s="2"/>
      <c r="D1" s="3"/>
      <c r="E1" s="3"/>
      <c r="F1" s="3"/>
      <c r="G1" s="3"/>
      <c r="H1" s="3"/>
      <c r="I1" s="3"/>
      <c r="J1" s="13" t="s">
        <v>0</v>
      </c>
    </row>
    <row r="2" spans="1:10" ht="30.75" customHeight="1" x14ac:dyDescent="0.2">
      <c r="A2" s="4"/>
      <c r="B2" s="5"/>
      <c r="C2" s="45" t="s">
        <v>15</v>
      </c>
      <c r="D2" s="45"/>
      <c r="E2" s="45"/>
      <c r="F2" s="45"/>
      <c r="G2" s="45"/>
      <c r="H2" s="45"/>
      <c r="I2" s="45"/>
      <c r="J2" s="12"/>
    </row>
    <row r="3" spans="1:10" ht="7.5" customHeight="1" x14ac:dyDescent="0.2">
      <c r="A3" s="1"/>
      <c r="B3" s="2"/>
      <c r="C3" s="2"/>
      <c r="D3" s="3"/>
      <c r="E3" s="6" t="s">
        <v>1</v>
      </c>
      <c r="F3" s="3"/>
      <c r="G3" s="3"/>
      <c r="H3" s="3"/>
      <c r="I3" s="3"/>
      <c r="J3" s="12"/>
    </row>
    <row r="4" spans="1:10" x14ac:dyDescent="0.2">
      <c r="A4" s="1"/>
      <c r="B4" s="2"/>
      <c r="C4" s="2"/>
      <c r="D4" s="3"/>
      <c r="E4" s="3"/>
      <c r="F4" s="3"/>
      <c r="G4" s="3"/>
      <c r="H4" s="3"/>
      <c r="I4" s="3"/>
      <c r="J4" s="12"/>
    </row>
    <row r="5" spans="1:10" x14ac:dyDescent="0.2">
      <c r="A5" s="1"/>
      <c r="B5" s="2"/>
      <c r="C5" s="2"/>
      <c r="D5" s="3"/>
      <c r="E5" s="7" t="s">
        <v>85</v>
      </c>
      <c r="F5" s="3"/>
      <c r="G5" s="8"/>
      <c r="H5" s="3"/>
      <c r="I5" s="3"/>
      <c r="J5" s="12"/>
    </row>
    <row r="6" spans="1:10" x14ac:dyDescent="0.2">
      <c r="A6" s="1"/>
      <c r="B6" s="2"/>
      <c r="C6" s="2"/>
      <c r="D6" s="3"/>
      <c r="E6" s="3" t="s">
        <v>16</v>
      </c>
      <c r="F6" s="3"/>
      <c r="G6" s="3"/>
      <c r="H6" s="3"/>
      <c r="I6" s="3"/>
      <c r="J6" s="12"/>
    </row>
    <row r="7" spans="1:10" x14ac:dyDescent="0.2">
      <c r="A7" s="1"/>
      <c r="B7" s="2"/>
      <c r="C7" s="2"/>
      <c r="D7" s="3"/>
      <c r="E7" s="3"/>
      <c r="F7" s="3"/>
      <c r="G7" s="3"/>
      <c r="H7" s="3"/>
      <c r="I7" s="3"/>
      <c r="J7" s="12"/>
    </row>
    <row r="8" spans="1:10" ht="30" customHeight="1" x14ac:dyDescent="0.2">
      <c r="A8" s="9"/>
      <c r="B8" s="9"/>
      <c r="C8" s="45" t="s">
        <v>17</v>
      </c>
      <c r="D8" s="45" t="s">
        <v>17</v>
      </c>
      <c r="E8" s="45" t="s">
        <v>17</v>
      </c>
      <c r="F8" s="45" t="s">
        <v>17</v>
      </c>
      <c r="G8" s="45" t="s">
        <v>17</v>
      </c>
      <c r="H8" s="45" t="s">
        <v>17</v>
      </c>
      <c r="I8" s="45" t="s">
        <v>17</v>
      </c>
      <c r="J8" s="12"/>
    </row>
    <row r="9" spans="1:10" ht="9" customHeight="1" x14ac:dyDescent="0.2">
      <c r="A9" s="1"/>
      <c r="B9" s="2"/>
      <c r="C9" s="2"/>
      <c r="D9" s="3"/>
      <c r="E9" s="6" t="s">
        <v>2</v>
      </c>
      <c r="F9" s="3"/>
      <c r="G9" s="3"/>
      <c r="H9" s="3"/>
      <c r="I9" s="3"/>
      <c r="J9" s="12"/>
    </row>
    <row r="10" spans="1:10" ht="6.75" customHeight="1" x14ac:dyDescent="0.2">
      <c r="A10" s="1"/>
      <c r="B10" s="2"/>
      <c r="C10" s="14"/>
      <c r="D10" s="3"/>
      <c r="E10" s="3"/>
      <c r="F10" s="3"/>
      <c r="G10" s="3"/>
      <c r="H10" s="3"/>
      <c r="I10" s="3"/>
      <c r="J10" s="12"/>
    </row>
    <row r="11" spans="1:10" x14ac:dyDescent="0.2">
      <c r="A11" s="1"/>
      <c r="B11" s="2"/>
      <c r="C11" s="35" t="s">
        <v>87</v>
      </c>
      <c r="D11" s="16"/>
      <c r="E11" s="3"/>
      <c r="F11" s="3"/>
      <c r="G11" s="3"/>
      <c r="H11" s="3"/>
      <c r="I11" s="3"/>
      <c r="J11" s="12"/>
    </row>
    <row r="12" spans="1:10" x14ac:dyDescent="0.2">
      <c r="A12" s="1"/>
      <c r="B12" s="2"/>
      <c r="C12" s="15" t="s">
        <v>86</v>
      </c>
      <c r="D12" s="16"/>
      <c r="E12" s="3"/>
      <c r="F12" s="3"/>
      <c r="G12" s="3"/>
      <c r="H12" s="3"/>
      <c r="I12" s="3"/>
      <c r="J12" s="12"/>
    </row>
    <row r="13" spans="1:10" x14ac:dyDescent="0.2">
      <c r="A13" s="1"/>
      <c r="B13" s="2"/>
      <c r="C13" s="10" t="s">
        <v>55</v>
      </c>
      <c r="D13" s="16"/>
      <c r="E13" s="3"/>
      <c r="F13" s="3"/>
      <c r="G13" s="3"/>
      <c r="H13" s="3"/>
      <c r="I13" s="3"/>
      <c r="J13" s="12"/>
    </row>
    <row r="14" spans="1:10" x14ac:dyDescent="0.2">
      <c r="A14" s="1"/>
      <c r="B14" s="2"/>
      <c r="C14" s="11" t="s">
        <v>18</v>
      </c>
      <c r="D14" s="16"/>
      <c r="E14" s="3"/>
      <c r="F14" s="3"/>
      <c r="G14" s="3"/>
      <c r="H14" s="3"/>
      <c r="I14" s="3"/>
      <c r="J14" s="12"/>
    </row>
    <row r="15" spans="1:10" ht="4.5" customHeight="1" x14ac:dyDescent="0.2">
      <c r="A15" s="1"/>
      <c r="B15" s="2"/>
      <c r="C15" s="14"/>
      <c r="D15" s="3"/>
      <c r="E15" s="3"/>
      <c r="F15" s="3"/>
      <c r="G15" s="3"/>
      <c r="H15" s="3"/>
      <c r="I15" s="3"/>
      <c r="J15" s="12"/>
    </row>
    <row r="16" spans="1:10" ht="12.75" customHeight="1" x14ac:dyDescent="0.2">
      <c r="A16" s="46" t="s">
        <v>3</v>
      </c>
      <c r="B16" s="47" t="s">
        <v>4</v>
      </c>
      <c r="C16" s="46" t="s">
        <v>5</v>
      </c>
      <c r="D16" s="48" t="s">
        <v>34</v>
      </c>
      <c r="E16" s="48"/>
      <c r="F16" s="48"/>
      <c r="G16" s="48"/>
      <c r="H16" s="48"/>
      <c r="I16" s="46" t="s">
        <v>35</v>
      </c>
      <c r="J16" s="46" t="s">
        <v>36</v>
      </c>
    </row>
    <row r="17" spans="1:10" ht="9" customHeight="1" x14ac:dyDescent="0.2">
      <c r="A17" s="46"/>
      <c r="B17" s="47"/>
      <c r="C17" s="46"/>
      <c r="D17" s="46" t="s">
        <v>6</v>
      </c>
      <c r="E17" s="46" t="s">
        <v>7</v>
      </c>
      <c r="F17" s="46" t="s">
        <v>8</v>
      </c>
      <c r="G17" s="46" t="s">
        <v>9</v>
      </c>
      <c r="H17" s="46" t="s">
        <v>10</v>
      </c>
      <c r="I17" s="46"/>
      <c r="J17" s="46"/>
    </row>
    <row r="18" spans="1:10" ht="15" customHeight="1" x14ac:dyDescent="0.2">
      <c r="A18" s="46"/>
      <c r="B18" s="47"/>
      <c r="C18" s="46"/>
      <c r="D18" s="46"/>
      <c r="E18" s="46"/>
      <c r="F18" s="46"/>
      <c r="G18" s="46"/>
      <c r="H18" s="46"/>
      <c r="I18" s="46"/>
      <c r="J18" s="46"/>
    </row>
    <row r="19" spans="1:10" ht="15.75" customHeight="1" x14ac:dyDescent="0.2">
      <c r="A19" s="46"/>
      <c r="B19" s="47"/>
      <c r="C19" s="46"/>
      <c r="D19" s="46"/>
      <c r="E19" s="46"/>
      <c r="F19" s="46"/>
      <c r="G19" s="46"/>
      <c r="H19" s="46"/>
      <c r="I19" s="46"/>
      <c r="J19" s="46"/>
    </row>
    <row r="20" spans="1:10" x14ac:dyDescent="0.2">
      <c r="A20" s="17">
        <v>1</v>
      </c>
      <c r="B20" s="17">
        <v>2</v>
      </c>
      <c r="C20" s="17">
        <v>3</v>
      </c>
      <c r="D20" s="17">
        <v>4</v>
      </c>
      <c r="E20" s="17">
        <v>5</v>
      </c>
      <c r="F20" s="17">
        <v>6</v>
      </c>
      <c r="G20" s="17">
        <v>7</v>
      </c>
      <c r="H20" s="17">
        <v>8</v>
      </c>
      <c r="I20" s="17">
        <v>9</v>
      </c>
      <c r="J20" s="17">
        <v>10</v>
      </c>
    </row>
    <row r="21" spans="1:10" ht="13.5" customHeight="1" x14ac:dyDescent="0.2">
      <c r="A21" s="38" t="s">
        <v>11</v>
      </c>
      <c r="B21" s="38"/>
      <c r="C21" s="38"/>
      <c r="D21" s="38"/>
      <c r="E21" s="38"/>
      <c r="F21" s="38"/>
      <c r="G21" s="38"/>
      <c r="H21" s="38"/>
      <c r="I21" s="38"/>
      <c r="J21" s="38"/>
    </row>
    <row r="22" spans="1:10" ht="25.5" x14ac:dyDescent="0.2">
      <c r="A22" s="29">
        <v>1</v>
      </c>
      <c r="B22" s="30" t="s">
        <v>56</v>
      </c>
      <c r="C22" s="31" t="s">
        <v>21</v>
      </c>
      <c r="D22" s="32">
        <v>1725.5350000000001</v>
      </c>
      <c r="E22" s="27"/>
      <c r="F22" s="27"/>
      <c r="G22" s="27"/>
      <c r="H22" s="27">
        <f>D22+E22+F22+G22</f>
        <v>1725.5350000000001</v>
      </c>
      <c r="I22" s="50">
        <v>586.33399999999995</v>
      </c>
      <c r="J22" s="21">
        <f>H22/643.7</f>
        <v>2.6806509243436385</v>
      </c>
    </row>
    <row r="23" spans="1:10" ht="25.5" x14ac:dyDescent="0.2">
      <c r="A23" s="29">
        <v>2</v>
      </c>
      <c r="B23" s="30" t="s">
        <v>57</v>
      </c>
      <c r="C23" s="31" t="s">
        <v>22</v>
      </c>
      <c r="D23" s="27">
        <v>831.625</v>
      </c>
      <c r="E23" s="27"/>
      <c r="F23" s="27"/>
      <c r="G23" s="27"/>
      <c r="H23" s="27">
        <f t="shared" ref="H23:H47" si="0">D23+E23+F23+G23</f>
        <v>831.625</v>
      </c>
      <c r="I23" s="29">
        <v>322.86700000000002</v>
      </c>
      <c r="J23" s="21">
        <f>H23/643.7</f>
        <v>1.2919450054373154</v>
      </c>
    </row>
    <row r="24" spans="1:10" ht="25.5" x14ac:dyDescent="0.2">
      <c r="A24" s="29">
        <v>3</v>
      </c>
      <c r="B24" s="30" t="s">
        <v>58</v>
      </c>
      <c r="C24" s="31" t="s">
        <v>40</v>
      </c>
      <c r="D24" s="27">
        <v>17.212</v>
      </c>
      <c r="E24" s="27"/>
      <c r="F24" s="27"/>
      <c r="G24" s="27"/>
      <c r="H24" s="27">
        <f t="shared" si="0"/>
        <v>17.212</v>
      </c>
      <c r="I24" s="29">
        <v>6.4610000000000003</v>
      </c>
      <c r="J24" s="21">
        <f>H24/643.7</f>
        <v>2.6739164206928692E-2</v>
      </c>
    </row>
    <row r="25" spans="1:10" ht="25.5" x14ac:dyDescent="0.2">
      <c r="A25" s="29">
        <v>4</v>
      </c>
      <c r="B25" s="30" t="s">
        <v>59</v>
      </c>
      <c r="C25" s="31" t="s">
        <v>23</v>
      </c>
      <c r="D25" s="27">
        <v>636.327</v>
      </c>
      <c r="E25" s="27"/>
      <c r="F25" s="27"/>
      <c r="G25" s="27"/>
      <c r="H25" s="27">
        <f t="shared" si="0"/>
        <v>636.327</v>
      </c>
      <c r="I25" s="29">
        <v>123.178</v>
      </c>
      <c r="J25" s="21">
        <f t="shared" ref="J25:J32" si="1">H25/643.7</f>
        <v>0.98854590647817298</v>
      </c>
    </row>
    <row r="26" spans="1:10" ht="25.5" x14ac:dyDescent="0.2">
      <c r="A26" s="29">
        <v>5</v>
      </c>
      <c r="B26" s="30" t="s">
        <v>60</v>
      </c>
      <c r="C26" s="31" t="s">
        <v>24</v>
      </c>
      <c r="D26" s="27">
        <v>2824.7069999999999</v>
      </c>
      <c r="E26" s="27"/>
      <c r="F26" s="27"/>
      <c r="G26" s="27"/>
      <c r="H26" s="27">
        <f t="shared" si="0"/>
        <v>2824.7069999999999</v>
      </c>
      <c r="I26" s="29">
        <v>643.67499999999995</v>
      </c>
      <c r="J26" s="21">
        <f t="shared" si="1"/>
        <v>4.3882352027341929</v>
      </c>
    </row>
    <row r="27" spans="1:10" ht="25.5" x14ac:dyDescent="0.2">
      <c r="A27" s="29">
        <v>6</v>
      </c>
      <c r="B27" s="30" t="s">
        <v>61</v>
      </c>
      <c r="C27" s="31" t="s">
        <v>25</v>
      </c>
      <c r="D27" s="32">
        <v>2241.62</v>
      </c>
      <c r="E27" s="27"/>
      <c r="F27" s="27"/>
      <c r="G27" s="27"/>
      <c r="H27" s="27">
        <f t="shared" si="0"/>
        <v>2241.62</v>
      </c>
      <c r="I27" s="49">
        <v>360.27199999999999</v>
      </c>
      <c r="J27" s="21">
        <f t="shared" si="1"/>
        <v>3.4823986329035259</v>
      </c>
    </row>
    <row r="28" spans="1:10" ht="25.5" x14ac:dyDescent="0.2">
      <c r="A28" s="29">
        <v>7</v>
      </c>
      <c r="B28" s="30" t="s">
        <v>62</v>
      </c>
      <c r="C28" s="31" t="s">
        <v>26</v>
      </c>
      <c r="D28" s="27">
        <v>1352.34</v>
      </c>
      <c r="E28" s="27"/>
      <c r="F28" s="27"/>
      <c r="G28" s="27"/>
      <c r="H28" s="27">
        <f t="shared" si="0"/>
        <v>1352.34</v>
      </c>
      <c r="I28" s="29">
        <v>92.477000000000004</v>
      </c>
      <c r="J28" s="21">
        <f t="shared" si="1"/>
        <v>2.1008855056703433</v>
      </c>
    </row>
    <row r="29" spans="1:10" ht="25.5" x14ac:dyDescent="0.2">
      <c r="A29" s="29">
        <v>8</v>
      </c>
      <c r="B29" s="30" t="s">
        <v>63</v>
      </c>
      <c r="C29" s="31" t="s">
        <v>41</v>
      </c>
      <c r="D29" s="27">
        <v>1240.3510000000001</v>
      </c>
      <c r="E29" s="27"/>
      <c r="F29" s="27"/>
      <c r="G29" s="27"/>
      <c r="H29" s="27">
        <f t="shared" si="0"/>
        <v>1240.3510000000001</v>
      </c>
      <c r="I29" s="29">
        <v>322.51100000000002</v>
      </c>
      <c r="J29" s="21">
        <f t="shared" si="1"/>
        <v>1.9269084977473978</v>
      </c>
    </row>
    <row r="30" spans="1:10" ht="25.5" x14ac:dyDescent="0.2">
      <c r="A30" s="29">
        <v>9</v>
      </c>
      <c r="B30" s="30" t="s">
        <v>64</v>
      </c>
      <c r="C30" s="31" t="s">
        <v>42</v>
      </c>
      <c r="D30" s="27">
        <v>3155.116</v>
      </c>
      <c r="E30" s="27"/>
      <c r="F30" s="27"/>
      <c r="G30" s="27"/>
      <c r="H30" s="27">
        <f t="shared" si="0"/>
        <v>3155.116</v>
      </c>
      <c r="I30" s="29">
        <v>950.923</v>
      </c>
      <c r="J30" s="21">
        <f t="shared" si="1"/>
        <v>4.9015317694578213</v>
      </c>
    </row>
    <row r="31" spans="1:10" ht="25.5" x14ac:dyDescent="0.2">
      <c r="A31" s="29">
        <v>10</v>
      </c>
      <c r="B31" s="30" t="s">
        <v>65</v>
      </c>
      <c r="C31" s="31" t="s">
        <v>27</v>
      </c>
      <c r="D31" s="27">
        <v>432.22399999999999</v>
      </c>
      <c r="E31" s="27">
        <v>152.654</v>
      </c>
      <c r="F31" s="27">
        <v>77.998999999999995</v>
      </c>
      <c r="G31" s="27"/>
      <c r="H31" s="27">
        <f t="shared" si="0"/>
        <v>662.87699999999995</v>
      </c>
      <c r="I31" s="29">
        <v>93.287999999999997</v>
      </c>
      <c r="J31" s="21">
        <f t="shared" si="1"/>
        <v>1.0297918284915333</v>
      </c>
    </row>
    <row r="32" spans="1:10" ht="25.5" x14ac:dyDescent="0.2">
      <c r="A32" s="29">
        <v>11</v>
      </c>
      <c r="B32" s="30" t="s">
        <v>66</v>
      </c>
      <c r="C32" s="31" t="s">
        <v>43</v>
      </c>
      <c r="D32" s="27"/>
      <c r="E32" s="27">
        <v>265.20600000000002</v>
      </c>
      <c r="F32" s="27">
        <v>7478.1530000000002</v>
      </c>
      <c r="G32" s="27"/>
      <c r="H32" s="27">
        <f t="shared" si="0"/>
        <v>7743.3590000000004</v>
      </c>
      <c r="I32" s="29">
        <v>111.71299999999999</v>
      </c>
      <c r="J32" s="21">
        <f t="shared" si="1"/>
        <v>12.029453161410595</v>
      </c>
    </row>
    <row r="33" spans="1:11" ht="25.5" x14ac:dyDescent="0.2">
      <c r="A33" s="29">
        <v>12</v>
      </c>
      <c r="B33" s="30" t="s">
        <v>67</v>
      </c>
      <c r="C33" s="31" t="s">
        <v>28</v>
      </c>
      <c r="D33" s="27">
        <v>12799.009</v>
      </c>
      <c r="E33" s="27"/>
      <c r="F33" s="27"/>
      <c r="G33" s="27"/>
      <c r="H33" s="27">
        <f t="shared" si="0"/>
        <v>12799.009</v>
      </c>
      <c r="I33" s="29">
        <v>395.49299999999999</v>
      </c>
      <c r="J33" s="21">
        <f>H33/1084</f>
        <v>11.807203874538745</v>
      </c>
    </row>
    <row r="34" spans="1:11" ht="25.5" x14ac:dyDescent="0.2">
      <c r="A34" s="29">
        <v>13</v>
      </c>
      <c r="B34" s="30" t="s">
        <v>68</v>
      </c>
      <c r="C34" s="31" t="s">
        <v>44</v>
      </c>
      <c r="D34" s="27">
        <v>5216.4539999999997</v>
      </c>
      <c r="E34" s="27"/>
      <c r="F34" s="27"/>
      <c r="G34" s="27"/>
      <c r="H34" s="27">
        <f t="shared" si="0"/>
        <v>5216.4539999999997</v>
      </c>
      <c r="I34" s="29">
        <v>245.494</v>
      </c>
      <c r="J34" s="21">
        <f t="shared" ref="J34:J43" si="2">H34/1084</f>
        <v>4.8122269372693722</v>
      </c>
    </row>
    <row r="35" spans="1:11" ht="25.5" x14ac:dyDescent="0.2">
      <c r="A35" s="29">
        <v>14</v>
      </c>
      <c r="B35" s="30" t="s">
        <v>69</v>
      </c>
      <c r="C35" s="31" t="s">
        <v>45</v>
      </c>
      <c r="D35" s="27">
        <v>14579.540999999999</v>
      </c>
      <c r="E35" s="27"/>
      <c r="F35" s="27"/>
      <c r="G35" s="27"/>
      <c r="H35" s="27">
        <f t="shared" si="0"/>
        <v>14579.540999999999</v>
      </c>
      <c r="I35" s="29">
        <v>1513.0550000000001</v>
      </c>
      <c r="J35" s="21">
        <f t="shared" si="2"/>
        <v>13.4497610701107</v>
      </c>
    </row>
    <row r="36" spans="1:11" ht="25.5" x14ac:dyDescent="0.2">
      <c r="A36" s="29">
        <v>15</v>
      </c>
      <c r="B36" s="30" t="s">
        <v>70</v>
      </c>
      <c r="C36" s="31" t="s">
        <v>46</v>
      </c>
      <c r="D36" s="27">
        <v>9145.3209999999999</v>
      </c>
      <c r="E36" s="27"/>
      <c r="F36" s="27"/>
      <c r="G36" s="27"/>
      <c r="H36" s="27">
        <f t="shared" si="0"/>
        <v>9145.3209999999999</v>
      </c>
      <c r="I36" s="29">
        <v>936.45500000000004</v>
      </c>
      <c r="J36" s="21">
        <f t="shared" si="2"/>
        <v>8.43664298892989</v>
      </c>
    </row>
    <row r="37" spans="1:11" ht="25.5" x14ac:dyDescent="0.2">
      <c r="A37" s="29">
        <v>16</v>
      </c>
      <c r="B37" s="30" t="s">
        <v>71</v>
      </c>
      <c r="C37" s="31" t="s">
        <v>47</v>
      </c>
      <c r="D37" s="27">
        <v>133.518</v>
      </c>
      <c r="E37" s="27"/>
      <c r="F37" s="27"/>
      <c r="G37" s="27"/>
      <c r="H37" s="27">
        <f t="shared" si="0"/>
        <v>133.518</v>
      </c>
      <c r="I37" s="29">
        <v>14.786</v>
      </c>
      <c r="J37" s="21">
        <f t="shared" si="2"/>
        <v>0.12317158671586716</v>
      </c>
    </row>
    <row r="38" spans="1:11" ht="25.5" x14ac:dyDescent="0.2">
      <c r="A38" s="29">
        <v>17</v>
      </c>
      <c r="B38" s="30" t="s">
        <v>72</v>
      </c>
      <c r="C38" s="31" t="s">
        <v>48</v>
      </c>
      <c r="D38" s="27">
        <v>434.673</v>
      </c>
      <c r="E38" s="27"/>
      <c r="F38" s="27"/>
      <c r="G38" s="27"/>
      <c r="H38" s="27">
        <f t="shared" si="0"/>
        <v>434.673</v>
      </c>
      <c r="I38" s="29">
        <v>86.433000000000007</v>
      </c>
      <c r="J38" s="21">
        <f t="shared" si="2"/>
        <v>0.40098985239852397</v>
      </c>
    </row>
    <row r="39" spans="1:11" ht="25.5" x14ac:dyDescent="0.2">
      <c r="A39" s="29">
        <v>18</v>
      </c>
      <c r="B39" s="30" t="s">
        <v>73</v>
      </c>
      <c r="C39" s="31" t="s">
        <v>49</v>
      </c>
      <c r="D39" s="32">
        <v>1071.5129999999999</v>
      </c>
      <c r="E39" s="27"/>
      <c r="F39" s="27"/>
      <c r="G39" s="27"/>
      <c r="H39" s="32">
        <f t="shared" si="0"/>
        <v>1071.5129999999999</v>
      </c>
      <c r="I39" s="49">
        <v>210.40700000000001</v>
      </c>
      <c r="J39" s="21">
        <f t="shared" si="2"/>
        <v>0.98848062730627295</v>
      </c>
    </row>
    <row r="40" spans="1:11" ht="25.5" x14ac:dyDescent="0.2">
      <c r="A40" s="29">
        <v>19</v>
      </c>
      <c r="B40" s="30" t="s">
        <v>74</v>
      </c>
      <c r="C40" s="31" t="s">
        <v>39</v>
      </c>
      <c r="D40" s="27">
        <v>4686.0240000000003</v>
      </c>
      <c r="E40" s="27"/>
      <c r="F40" s="27"/>
      <c r="G40" s="27"/>
      <c r="H40" s="27">
        <f t="shared" si="0"/>
        <v>4686.0240000000003</v>
      </c>
      <c r="I40" s="29">
        <v>195.327</v>
      </c>
      <c r="J40" s="21">
        <f t="shared" si="2"/>
        <v>4.3229003690036905</v>
      </c>
    </row>
    <row r="41" spans="1:11" ht="25.5" x14ac:dyDescent="0.2">
      <c r="A41" s="29">
        <v>20</v>
      </c>
      <c r="B41" s="30" t="s">
        <v>75</v>
      </c>
      <c r="C41" s="31" t="s">
        <v>29</v>
      </c>
      <c r="D41" s="27">
        <v>2442.2979999999998</v>
      </c>
      <c r="E41" s="27"/>
      <c r="F41" s="27"/>
      <c r="G41" s="27"/>
      <c r="H41" s="27">
        <f t="shared" si="0"/>
        <v>2442.2979999999998</v>
      </c>
      <c r="I41" s="29">
        <v>482.44200000000001</v>
      </c>
      <c r="J41" s="21">
        <f t="shared" si="2"/>
        <v>2.2530424354243541</v>
      </c>
    </row>
    <row r="42" spans="1:11" ht="25.5" x14ac:dyDescent="0.2">
      <c r="A42" s="29">
        <v>21</v>
      </c>
      <c r="B42" s="30" t="s">
        <v>76</v>
      </c>
      <c r="C42" s="31" t="s">
        <v>30</v>
      </c>
      <c r="D42" s="27">
        <v>9055.2729999999992</v>
      </c>
      <c r="E42" s="27"/>
      <c r="F42" s="27"/>
      <c r="G42" s="27"/>
      <c r="H42" s="27">
        <f t="shared" si="0"/>
        <v>9055.2729999999992</v>
      </c>
      <c r="I42" s="29">
        <v>2186.1280000000002</v>
      </c>
      <c r="J42" s="21">
        <f t="shared" si="2"/>
        <v>8.3535728782287819</v>
      </c>
    </row>
    <row r="43" spans="1:11" ht="25.5" x14ac:dyDescent="0.2">
      <c r="A43" s="29">
        <v>22</v>
      </c>
      <c r="B43" s="30" t="s">
        <v>77</v>
      </c>
      <c r="C43" s="31" t="s">
        <v>31</v>
      </c>
      <c r="D43" s="27">
        <v>43.424999999999997</v>
      </c>
      <c r="E43" s="27">
        <v>1796.83</v>
      </c>
      <c r="F43" s="27">
        <v>21662.311000000002</v>
      </c>
      <c r="G43" s="27"/>
      <c r="H43" s="27">
        <f t="shared" si="0"/>
        <v>23502.566000000003</v>
      </c>
      <c r="I43" s="29">
        <v>579.98400000000004</v>
      </c>
      <c r="J43" s="21">
        <f t="shared" si="2"/>
        <v>21.681333948339486</v>
      </c>
    </row>
    <row r="44" spans="1:11" ht="25.5" x14ac:dyDescent="0.2">
      <c r="A44" s="29">
        <v>23</v>
      </c>
      <c r="B44" s="30" t="s">
        <v>78</v>
      </c>
      <c r="C44" s="31" t="s">
        <v>32</v>
      </c>
      <c r="D44" s="27">
        <v>1081.5119999999999</v>
      </c>
      <c r="E44" s="27">
        <v>19.66</v>
      </c>
      <c r="F44" s="27">
        <v>182.24100000000001</v>
      </c>
      <c r="G44" s="27"/>
      <c r="H44" s="27">
        <f t="shared" si="0"/>
        <v>1283.413</v>
      </c>
      <c r="I44" s="29">
        <v>144.50899999999999</v>
      </c>
      <c r="J44" s="21">
        <f>H44/(1084+643.7)</f>
        <v>0.74284482259651563</v>
      </c>
    </row>
    <row r="45" spans="1:11" ht="25.5" x14ac:dyDescent="0.2">
      <c r="A45" s="29">
        <v>24</v>
      </c>
      <c r="B45" s="30" t="s">
        <v>79</v>
      </c>
      <c r="C45" s="31" t="s">
        <v>33</v>
      </c>
      <c r="D45" s="27">
        <v>1203.0429999999999</v>
      </c>
      <c r="E45" s="27">
        <v>1.859</v>
      </c>
      <c r="F45" s="27"/>
      <c r="G45" s="27"/>
      <c r="H45" s="27">
        <f t="shared" si="0"/>
        <v>1204.9019999999998</v>
      </c>
      <c r="I45" s="29">
        <v>114.27500000000001</v>
      </c>
      <c r="J45" s="21">
        <f t="shared" ref="J45:J47" si="3">H45/(1084+643.7)</f>
        <v>0.69740232679284586</v>
      </c>
    </row>
    <row r="46" spans="1:11" ht="25.5" x14ac:dyDescent="0.2">
      <c r="A46" s="29">
        <v>25</v>
      </c>
      <c r="B46" s="30" t="s">
        <v>80</v>
      </c>
      <c r="C46" s="31" t="s">
        <v>38</v>
      </c>
      <c r="D46" s="27">
        <v>4537.9769999999999</v>
      </c>
      <c r="E46" s="27">
        <v>32.622</v>
      </c>
      <c r="F46" s="27">
        <v>4775.8329999999996</v>
      </c>
      <c r="G46" s="27"/>
      <c r="H46" s="27">
        <f t="shared" si="0"/>
        <v>9346.4320000000007</v>
      </c>
      <c r="I46" s="29">
        <v>546.601</v>
      </c>
      <c r="J46" s="21">
        <f t="shared" si="3"/>
        <v>5.4097540082190196</v>
      </c>
    </row>
    <row r="47" spans="1:11" ht="25.5" x14ac:dyDescent="0.2">
      <c r="A47" s="29">
        <v>26</v>
      </c>
      <c r="B47" s="30" t="s">
        <v>81</v>
      </c>
      <c r="C47" s="31" t="s">
        <v>37</v>
      </c>
      <c r="D47" s="27"/>
      <c r="E47" s="27">
        <v>5513.625</v>
      </c>
      <c r="F47" s="27">
        <v>3475.8719999999998</v>
      </c>
      <c r="G47" s="27"/>
      <c r="H47" s="27">
        <f t="shared" si="0"/>
        <v>8989.4969999999994</v>
      </c>
      <c r="I47" s="29">
        <v>491.39299999999997</v>
      </c>
      <c r="J47" s="21">
        <f t="shared" si="3"/>
        <v>5.2031585344677893</v>
      </c>
    </row>
    <row r="48" spans="1:11" x14ac:dyDescent="0.2">
      <c r="A48" s="18"/>
      <c r="B48" s="19" t="s">
        <v>12</v>
      </c>
      <c r="C48" s="20" t="s">
        <v>13</v>
      </c>
      <c r="D48" s="51">
        <f>SUM(D22:D47)</f>
        <v>80886.638000000006</v>
      </c>
      <c r="E48" s="52">
        <f t="shared" ref="E48:I48" si="4">SUM(E22:E47)</f>
        <v>7782.4560000000001</v>
      </c>
      <c r="F48" s="52">
        <f t="shared" si="4"/>
        <v>37652.409000000007</v>
      </c>
      <c r="G48" s="52"/>
      <c r="H48" s="51">
        <f>SUM(H22:H47)+0</f>
        <v>126321.50300000001</v>
      </c>
      <c r="I48" s="53">
        <f t="shared" si="4"/>
        <v>11756.481000000002</v>
      </c>
      <c r="J48" s="28"/>
      <c r="K48" s="54"/>
    </row>
    <row r="49" spans="1:11" x14ac:dyDescent="0.2">
      <c r="A49" s="18"/>
      <c r="B49" s="19" t="s">
        <v>12</v>
      </c>
      <c r="C49" s="20" t="s">
        <v>14</v>
      </c>
      <c r="D49" s="52">
        <f>D48</f>
        <v>80886.638000000006</v>
      </c>
      <c r="E49" s="52">
        <v>7782.4560000000001</v>
      </c>
      <c r="F49" s="52">
        <v>37652.409000000007</v>
      </c>
      <c r="G49" s="52"/>
      <c r="H49" s="52">
        <f>H48</f>
        <v>126321.50300000001</v>
      </c>
      <c r="I49" s="52">
        <v>11756.481</v>
      </c>
      <c r="J49" s="18"/>
    </row>
    <row r="50" spans="1:11" x14ac:dyDescent="0.2">
      <c r="A50" s="41"/>
      <c r="B50" s="22" t="s">
        <v>50</v>
      </c>
      <c r="C50" s="22"/>
      <c r="D50" s="41"/>
      <c r="E50" s="41"/>
      <c r="F50" s="41"/>
      <c r="G50" s="41"/>
      <c r="H50" s="24"/>
      <c r="I50" s="41"/>
      <c r="J50" s="41"/>
    </row>
    <row r="51" spans="1:11" x14ac:dyDescent="0.2">
      <c r="A51" s="1"/>
      <c r="B51" s="1"/>
      <c r="C51" s="23" t="s">
        <v>51</v>
      </c>
      <c r="D51" s="1"/>
      <c r="E51" s="1"/>
      <c r="F51" s="1"/>
      <c r="G51" s="1"/>
      <c r="H51" s="25">
        <v>8936.27</v>
      </c>
      <c r="I51" s="1"/>
      <c r="J51" s="1"/>
    </row>
    <row r="52" spans="1:11" x14ac:dyDescent="0.2">
      <c r="A52" s="1"/>
      <c r="B52" s="1"/>
      <c r="C52" s="23" t="s">
        <v>52</v>
      </c>
      <c r="D52" s="1"/>
      <c r="E52" s="1"/>
      <c r="F52" s="1"/>
      <c r="G52" s="1"/>
      <c r="H52" s="25">
        <v>36122.050000000003</v>
      </c>
      <c r="I52" s="1"/>
      <c r="J52" s="1"/>
      <c r="K52" s="34"/>
    </row>
    <row r="53" spans="1:11" ht="5.25" customHeight="1" x14ac:dyDescent="0.2">
      <c r="A53" s="1"/>
      <c r="B53" s="1"/>
      <c r="C53" s="23"/>
      <c r="D53" s="1"/>
      <c r="E53" s="1"/>
      <c r="F53" s="1"/>
      <c r="G53" s="1"/>
      <c r="H53" s="1"/>
      <c r="I53" s="1"/>
      <c r="J53" s="1"/>
    </row>
    <row r="54" spans="1:11" ht="3.75" customHeight="1" x14ac:dyDescent="0.2">
      <c r="A54" s="1"/>
      <c r="B54" s="1"/>
      <c r="C54" s="23"/>
      <c r="D54" s="1"/>
      <c r="E54" s="1"/>
      <c r="F54" s="1"/>
      <c r="G54" s="1"/>
      <c r="H54" s="1"/>
      <c r="I54" s="1"/>
      <c r="J54" s="1"/>
    </row>
    <row r="55" spans="1:11" ht="12.75" customHeight="1" x14ac:dyDescent="0.2">
      <c r="A55" s="39" t="s">
        <v>19</v>
      </c>
      <c r="B55" s="40"/>
      <c r="C55" s="40"/>
      <c r="D55" s="41"/>
      <c r="E55" s="41"/>
      <c r="F55" s="41"/>
      <c r="G55" s="41"/>
      <c r="H55" s="41"/>
      <c r="I55" s="41"/>
      <c r="J55" s="41"/>
    </row>
    <row r="56" spans="1:11" ht="12.75" customHeight="1" x14ac:dyDescent="0.2">
      <c r="A56" s="42" t="s">
        <v>20</v>
      </c>
      <c r="B56" s="43"/>
      <c r="C56" s="43"/>
      <c r="D56" s="43"/>
      <c r="E56" s="43"/>
      <c r="F56" s="43"/>
      <c r="G56" s="43"/>
      <c r="H56" s="43"/>
      <c r="I56" s="43"/>
      <c r="J56" s="43"/>
    </row>
    <row r="57" spans="1:11" ht="6" customHeight="1" x14ac:dyDescent="0.2">
      <c r="A57" s="1"/>
      <c r="B57" s="2"/>
      <c r="C57" s="2"/>
      <c r="D57" s="12"/>
      <c r="E57" s="12"/>
      <c r="F57" s="12"/>
      <c r="G57" s="12"/>
      <c r="H57" s="12"/>
      <c r="I57" s="12"/>
      <c r="J57" s="12"/>
    </row>
    <row r="58" spans="1:11" ht="12.75" customHeight="1" x14ac:dyDescent="0.2">
      <c r="A58" s="39" t="s">
        <v>53</v>
      </c>
      <c r="B58" s="44"/>
      <c r="C58" s="44"/>
      <c r="D58" s="44"/>
      <c r="E58" s="44"/>
      <c r="F58" s="44"/>
      <c r="G58" s="44"/>
      <c r="H58" s="44"/>
      <c r="I58" s="44"/>
      <c r="J58" s="44"/>
    </row>
    <row r="59" spans="1:11" ht="12.75" customHeight="1" x14ac:dyDescent="0.2">
      <c r="A59" s="42" t="s">
        <v>54</v>
      </c>
      <c r="B59" s="43"/>
      <c r="C59" s="43"/>
      <c r="D59" s="43"/>
      <c r="E59" s="43"/>
      <c r="F59" s="43"/>
      <c r="G59" s="43"/>
      <c r="H59" s="43"/>
      <c r="I59" s="43"/>
      <c r="J59" s="43"/>
    </row>
    <row r="60" spans="1:11" x14ac:dyDescent="0.2">
      <c r="A60" s="1"/>
      <c r="B60" s="1"/>
      <c r="C60" s="26" t="s">
        <v>82</v>
      </c>
      <c r="D60" s="1"/>
      <c r="E60" s="1"/>
      <c r="F60" s="1"/>
      <c r="G60" s="1"/>
      <c r="H60" s="1"/>
      <c r="I60" s="1"/>
      <c r="J60" s="1"/>
    </row>
    <row r="61" spans="1:11" ht="6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1" x14ac:dyDescent="0.2">
      <c r="A62" s="36" t="s">
        <v>83</v>
      </c>
      <c r="B62" s="36"/>
      <c r="C62" s="36"/>
      <c r="D62" s="36"/>
      <c r="E62" s="36"/>
      <c r="F62" s="36"/>
      <c r="G62" s="36"/>
      <c r="H62" s="36"/>
      <c r="I62" s="36"/>
      <c r="J62" s="36"/>
    </row>
    <row r="63" spans="1:11" x14ac:dyDescent="0.2">
      <c r="A63" s="37" t="s">
        <v>84</v>
      </c>
      <c r="B63" s="37"/>
      <c r="C63" s="37"/>
      <c r="D63" s="37"/>
      <c r="E63" s="37"/>
      <c r="F63" s="37"/>
      <c r="G63" s="37"/>
      <c r="H63" s="37"/>
      <c r="I63" s="37"/>
      <c r="J63" s="37"/>
    </row>
    <row r="65" spans="4:8" x14ac:dyDescent="0.2">
      <c r="D65" s="33"/>
      <c r="H65" s="33"/>
    </row>
  </sheetData>
  <phoneticPr fontId="2" type="noConversion"/>
  <printOptions horizontalCentered="1"/>
  <pageMargins left="0.35433070866141736" right="0.35433070866141736" top="0.59055118110236227" bottom="0.39370078740157483" header="0.11811023622047245" footer="0.11811023622047245"/>
  <pageSetup paperSize="9" scale="9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view="pageBreakPreview" zoomScale="75" zoomScaleNormal="100" zoomScaleSheetLayoutView="75" workbookViewId="0">
      <selection activeCell="F31" sqref="F31"/>
    </sheetView>
  </sheetViews>
  <sheetFormatPr defaultColWidth="16.85546875" defaultRowHeight="15.75" x14ac:dyDescent="0.2"/>
  <cols>
    <col min="1" max="1" width="6.140625" style="130" customWidth="1"/>
    <col min="2" max="2" width="26" style="130" customWidth="1"/>
    <col min="3" max="3" width="28.85546875" style="130" customWidth="1"/>
    <col min="4" max="4" width="19.7109375" style="132" customWidth="1"/>
    <col min="5" max="5" width="16.140625" style="133" customWidth="1"/>
    <col min="6" max="6" width="18.28515625" style="133" customWidth="1"/>
    <col min="7" max="7" width="15.42578125" style="133" customWidth="1"/>
    <col min="8" max="8" width="20.140625" style="133" customWidth="1"/>
    <col min="9" max="10" width="16.85546875" style="132"/>
    <col min="11" max="11" width="18.5703125" style="134" customWidth="1"/>
    <col min="12" max="12" width="20.140625" style="132" customWidth="1"/>
    <col min="13" max="13" width="20" style="132" customWidth="1"/>
    <col min="14" max="14" width="32.5703125" style="132" customWidth="1"/>
    <col min="15" max="15" width="18.28515625" style="132" customWidth="1"/>
    <col min="16" max="16" width="15.85546875" style="132" hidden="1" customWidth="1"/>
    <col min="17" max="17" width="17" style="132" hidden="1" customWidth="1"/>
    <col min="18" max="18" width="25.85546875" style="132" customWidth="1"/>
    <col min="19" max="19" width="21.140625" style="132" customWidth="1"/>
    <col min="20" max="20" width="0" style="130" hidden="1" customWidth="1"/>
    <col min="21" max="22" width="18" style="130" hidden="1" customWidth="1"/>
    <col min="23" max="23" width="18" style="130" bestFit="1" customWidth="1"/>
    <col min="24" max="16384" width="16.85546875" style="130"/>
  </cols>
  <sheetData>
    <row r="1" spans="1:21" x14ac:dyDescent="0.2">
      <c r="B1" s="131"/>
      <c r="C1" s="131"/>
      <c r="O1" s="177" t="s">
        <v>136</v>
      </c>
      <c r="P1" s="176"/>
      <c r="Q1" s="176"/>
      <c r="R1" s="176"/>
      <c r="S1" s="176"/>
      <c r="T1" s="176"/>
      <c r="U1" s="176"/>
    </row>
    <row r="2" spans="1:21" x14ac:dyDescent="0.2">
      <c r="A2" s="135"/>
      <c r="B2" s="136"/>
      <c r="C2" s="183" t="s">
        <v>140</v>
      </c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21" x14ac:dyDescent="0.2">
      <c r="B3" s="131"/>
      <c r="C3" s="131"/>
      <c r="E3" s="175" t="s">
        <v>139</v>
      </c>
      <c r="F3" s="176"/>
      <c r="G3" s="176"/>
      <c r="H3" s="176"/>
      <c r="I3" s="176"/>
      <c r="J3" s="176"/>
      <c r="K3" s="176"/>
      <c r="L3" s="176"/>
      <c r="M3" s="176"/>
      <c r="N3" s="176"/>
    </row>
    <row r="4" spans="1:21" x14ac:dyDescent="0.2">
      <c r="B4" s="131"/>
      <c r="C4" s="131"/>
    </row>
    <row r="5" spans="1:21" x14ac:dyDescent="0.2">
      <c r="A5" s="138"/>
      <c r="B5" s="138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</row>
    <row r="6" spans="1:21" x14ac:dyDescent="0.25">
      <c r="B6" s="131"/>
      <c r="C6" s="131"/>
      <c r="E6" s="137"/>
      <c r="G6" s="156"/>
      <c r="H6" s="159" t="s">
        <v>125</v>
      </c>
      <c r="I6" s="157"/>
    </row>
    <row r="7" spans="1:21" x14ac:dyDescent="0.2">
      <c r="B7" s="131"/>
      <c r="C7" s="126"/>
      <c r="D7" s="139"/>
    </row>
    <row r="8" spans="1:21" hidden="1" x14ac:dyDescent="0.2">
      <c r="B8" s="131"/>
      <c r="C8" s="151" t="s">
        <v>87</v>
      </c>
    </row>
    <row r="9" spans="1:21" hidden="1" x14ac:dyDescent="0.2">
      <c r="B9" s="131"/>
      <c r="C9" s="140" t="s">
        <v>123</v>
      </c>
    </row>
    <row r="10" spans="1:21" hidden="1" x14ac:dyDescent="0.2">
      <c r="B10" s="131"/>
      <c r="C10" s="141" t="s">
        <v>55</v>
      </c>
    </row>
    <row r="11" spans="1:21" x14ac:dyDescent="0.2">
      <c r="B11" s="131"/>
      <c r="C11" s="142" t="s">
        <v>18</v>
      </c>
    </row>
    <row r="12" spans="1:21" x14ac:dyDescent="0.2">
      <c r="B12" s="131"/>
      <c r="C12" s="126"/>
    </row>
    <row r="13" spans="1:21" ht="15.75" customHeight="1" x14ac:dyDescent="0.2">
      <c r="A13" s="189" t="s">
        <v>3</v>
      </c>
      <c r="B13" s="192" t="s">
        <v>4</v>
      </c>
      <c r="C13" s="189" t="s">
        <v>5</v>
      </c>
      <c r="D13" s="178" t="s">
        <v>128</v>
      </c>
      <c r="E13" s="179"/>
      <c r="F13" s="179"/>
      <c r="G13" s="179"/>
      <c r="H13" s="179"/>
      <c r="I13" s="180"/>
      <c r="J13" s="180"/>
      <c r="K13" s="180"/>
      <c r="L13" s="180"/>
      <c r="M13" s="181"/>
      <c r="N13" s="189" t="s">
        <v>137</v>
      </c>
      <c r="O13" s="189" t="s">
        <v>129</v>
      </c>
      <c r="P13" s="185" t="s">
        <v>130</v>
      </c>
      <c r="Q13" s="185" t="s">
        <v>131</v>
      </c>
      <c r="R13" s="188" t="s">
        <v>138</v>
      </c>
      <c r="S13" s="185" t="s">
        <v>126</v>
      </c>
    </row>
    <row r="14" spans="1:21" x14ac:dyDescent="0.2">
      <c r="A14" s="189"/>
      <c r="B14" s="192"/>
      <c r="C14" s="189"/>
      <c r="D14" s="189" t="s">
        <v>6</v>
      </c>
      <c r="E14" s="182" t="s">
        <v>7</v>
      </c>
      <c r="F14" s="182" t="s">
        <v>8</v>
      </c>
      <c r="G14" s="182" t="s">
        <v>9</v>
      </c>
      <c r="H14" s="182" t="s">
        <v>10</v>
      </c>
      <c r="I14" s="189" t="s">
        <v>133</v>
      </c>
      <c r="J14" s="189" t="s">
        <v>134</v>
      </c>
      <c r="K14" s="190" t="s">
        <v>92</v>
      </c>
      <c r="L14" s="189" t="s">
        <v>135</v>
      </c>
      <c r="M14" s="189" t="s">
        <v>108</v>
      </c>
      <c r="N14" s="189"/>
      <c r="O14" s="189"/>
      <c r="P14" s="186"/>
      <c r="Q14" s="186"/>
      <c r="R14" s="188"/>
      <c r="S14" s="186"/>
    </row>
    <row r="15" spans="1:21" x14ac:dyDescent="0.2">
      <c r="A15" s="189"/>
      <c r="B15" s="192"/>
      <c r="C15" s="189"/>
      <c r="D15" s="189"/>
      <c r="E15" s="182"/>
      <c r="F15" s="182"/>
      <c r="G15" s="182"/>
      <c r="H15" s="182"/>
      <c r="I15" s="189"/>
      <c r="J15" s="189"/>
      <c r="K15" s="190"/>
      <c r="L15" s="189"/>
      <c r="M15" s="189"/>
      <c r="N15" s="189"/>
      <c r="O15" s="189"/>
      <c r="P15" s="186"/>
      <c r="Q15" s="186"/>
      <c r="R15" s="188"/>
      <c r="S15" s="186"/>
    </row>
    <row r="16" spans="1:21" ht="150" customHeight="1" x14ac:dyDescent="0.2">
      <c r="A16" s="189"/>
      <c r="B16" s="192"/>
      <c r="C16" s="189"/>
      <c r="D16" s="189"/>
      <c r="E16" s="182"/>
      <c r="F16" s="182"/>
      <c r="G16" s="182"/>
      <c r="H16" s="182"/>
      <c r="I16" s="189"/>
      <c r="J16" s="189"/>
      <c r="K16" s="190"/>
      <c r="L16" s="189"/>
      <c r="M16" s="189"/>
      <c r="N16" s="189"/>
      <c r="O16" s="189"/>
      <c r="P16" s="187"/>
      <c r="Q16" s="187"/>
      <c r="R16" s="188"/>
      <c r="S16" s="187"/>
      <c r="T16" s="130" t="s">
        <v>117</v>
      </c>
    </row>
    <row r="17" spans="1:23" x14ac:dyDescent="0.2">
      <c r="A17" s="144">
        <v>1</v>
      </c>
      <c r="B17" s="144">
        <v>2</v>
      </c>
      <c r="C17" s="144">
        <v>3</v>
      </c>
      <c r="D17" s="144">
        <v>4</v>
      </c>
      <c r="E17" s="145" t="s">
        <v>94</v>
      </c>
      <c r="F17" s="145" t="s">
        <v>95</v>
      </c>
      <c r="G17" s="145" t="s">
        <v>96</v>
      </c>
      <c r="H17" s="145" t="s">
        <v>97</v>
      </c>
      <c r="I17" s="146" t="s">
        <v>98</v>
      </c>
      <c r="J17" s="146" t="s">
        <v>99</v>
      </c>
      <c r="K17" s="145" t="s">
        <v>100</v>
      </c>
      <c r="L17" s="146" t="s">
        <v>88</v>
      </c>
      <c r="M17" s="146" t="s">
        <v>101</v>
      </c>
      <c r="N17" s="146" t="s">
        <v>102</v>
      </c>
      <c r="O17" s="146" t="s">
        <v>103</v>
      </c>
      <c r="P17" s="147"/>
      <c r="Q17" s="147"/>
      <c r="R17" s="100" t="s">
        <v>104</v>
      </c>
      <c r="S17" s="147" t="s">
        <v>105</v>
      </c>
    </row>
    <row r="18" spans="1:23" x14ac:dyDescent="0.2">
      <c r="A18" s="191" t="s">
        <v>11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43"/>
      <c r="Q18" s="143"/>
      <c r="R18" s="143"/>
      <c r="S18" s="143"/>
    </row>
    <row r="19" spans="1:23" ht="31.5" x14ac:dyDescent="0.2">
      <c r="A19" s="75">
        <v>1</v>
      </c>
      <c r="B19" s="76" t="s">
        <v>56</v>
      </c>
      <c r="C19" s="174" t="s">
        <v>141</v>
      </c>
      <c r="D19" s="160">
        <f>1725.535*1000</f>
        <v>1725535</v>
      </c>
      <c r="E19" s="160"/>
      <c r="F19" s="160"/>
      <c r="G19" s="160"/>
      <c r="H19" s="160">
        <f>D19+E19+F19+G19</f>
        <v>1725535</v>
      </c>
      <c r="I19" s="160">
        <f>ROUND(1.44*(D19+E19)/100,2)</f>
        <v>24847.7</v>
      </c>
      <c r="J19" s="172">
        <f>ROUND(-I19*0.15,)</f>
        <v>-3727</v>
      </c>
      <c r="K19" s="162">
        <f>H19+I19+J19</f>
        <v>1746655.7</v>
      </c>
      <c r="L19" s="161">
        <f>ROUND(K19*2.07/100,)</f>
        <v>36156</v>
      </c>
      <c r="M19" s="162">
        <f>K19+L19</f>
        <v>1782811.7</v>
      </c>
      <c r="N19" s="160">
        <f>(65021.97*1.01224 )*1.0207</f>
        <v>67180.268178294951</v>
      </c>
      <c r="O19" s="160"/>
      <c r="P19" s="143"/>
      <c r="Q19" s="143"/>
      <c r="R19" s="163">
        <f t="shared" ref="R19:R24" si="0">N19+O19+Q19</f>
        <v>67180.268178294951</v>
      </c>
      <c r="S19" s="163">
        <f t="shared" ref="S19:S31" si="1">M19+R19</f>
        <v>1849991.9681782948</v>
      </c>
      <c r="T19" s="148">
        <f>R19</f>
        <v>67180.268178294951</v>
      </c>
    </row>
    <row r="20" spans="1:23" ht="31.5" x14ac:dyDescent="0.2">
      <c r="A20" s="75">
        <v>2</v>
      </c>
      <c r="B20" s="76" t="s">
        <v>57</v>
      </c>
      <c r="C20" s="174" t="s">
        <v>141</v>
      </c>
      <c r="D20" s="160">
        <f>831.625*1000</f>
        <v>831625</v>
      </c>
      <c r="E20" s="160"/>
      <c r="F20" s="160"/>
      <c r="G20" s="160"/>
      <c r="H20" s="160">
        <f t="shared" ref="H20:H29" si="2">D20+E20+F20+G20</f>
        <v>831625</v>
      </c>
      <c r="I20" s="160">
        <f t="shared" ref="I20:I30" si="3">ROUND(1.44*(D20+E20)/100,2)</f>
        <v>11975.4</v>
      </c>
      <c r="J20" s="172">
        <f t="shared" ref="J20:J30" si="4">ROUND(-I20*0.15,)</f>
        <v>-1796</v>
      </c>
      <c r="K20" s="162">
        <f t="shared" ref="K20:K29" si="5">H20+I20+J20</f>
        <v>841804.4</v>
      </c>
      <c r="L20" s="161">
        <f t="shared" ref="L20:L27" si="6">ROUND(K20*2.07/100,)</f>
        <v>17425</v>
      </c>
      <c r="M20" s="162">
        <f t="shared" ref="M20:M29" si="7">K20+L20</f>
        <v>859229.4</v>
      </c>
      <c r="N20" s="160">
        <f>( 18628.98*1.01224 )*1.0207</f>
        <v>19247.338588604638</v>
      </c>
      <c r="O20" s="160"/>
      <c r="P20" s="143"/>
      <c r="Q20" s="143"/>
      <c r="R20" s="163">
        <f t="shared" si="0"/>
        <v>19247.338588604638</v>
      </c>
      <c r="S20" s="163">
        <f t="shared" si="1"/>
        <v>878476.73858860461</v>
      </c>
      <c r="T20" s="148">
        <f t="shared" ref="T20:T30" si="8">R20</f>
        <v>19247.338588604638</v>
      </c>
    </row>
    <row r="21" spans="1:23" x14ac:dyDescent="0.2">
      <c r="A21" s="75">
        <v>3</v>
      </c>
      <c r="B21" s="76" t="s">
        <v>58</v>
      </c>
      <c r="C21" s="174" t="s">
        <v>141</v>
      </c>
      <c r="D21" s="160">
        <f>17.212*1000</f>
        <v>17212</v>
      </c>
      <c r="E21" s="160"/>
      <c r="F21" s="160"/>
      <c r="G21" s="160"/>
      <c r="H21" s="160">
        <f t="shared" si="2"/>
        <v>17212</v>
      </c>
      <c r="I21" s="160">
        <f t="shared" si="3"/>
        <v>247.85</v>
      </c>
      <c r="J21" s="173">
        <f t="shared" si="4"/>
        <v>-37</v>
      </c>
      <c r="K21" s="160">
        <f t="shared" si="5"/>
        <v>17422.849999999999</v>
      </c>
      <c r="L21" s="160">
        <f t="shared" si="6"/>
        <v>361</v>
      </c>
      <c r="M21" s="160">
        <f t="shared" si="7"/>
        <v>17783.849999999999</v>
      </c>
      <c r="N21" s="160">
        <f>(864.05*1.01224 )*1.0207</f>
        <v>892.73072962039987</v>
      </c>
      <c r="O21" s="160"/>
      <c r="P21" s="143"/>
      <c r="Q21" s="143"/>
      <c r="R21" s="163">
        <f t="shared" si="0"/>
        <v>892.73072962039987</v>
      </c>
      <c r="S21" s="163">
        <f t="shared" si="1"/>
        <v>18676.5807296204</v>
      </c>
      <c r="T21" s="148">
        <f t="shared" si="8"/>
        <v>892.73072962039987</v>
      </c>
    </row>
    <row r="22" spans="1:23" x14ac:dyDescent="0.2">
      <c r="A22" s="75">
        <v>4</v>
      </c>
      <c r="B22" s="76" t="s">
        <v>59</v>
      </c>
      <c r="C22" s="174" t="s">
        <v>141</v>
      </c>
      <c r="D22" s="160">
        <f>636.327*1000</f>
        <v>636327</v>
      </c>
      <c r="E22" s="160"/>
      <c r="F22" s="160"/>
      <c r="G22" s="160"/>
      <c r="H22" s="160">
        <f t="shared" si="2"/>
        <v>636327</v>
      </c>
      <c r="I22" s="160">
        <f t="shared" si="3"/>
        <v>9163.11</v>
      </c>
      <c r="J22" s="173">
        <f t="shared" si="4"/>
        <v>-1374</v>
      </c>
      <c r="K22" s="160">
        <f t="shared" si="5"/>
        <v>644116.11</v>
      </c>
      <c r="L22" s="160">
        <f t="shared" si="6"/>
        <v>13333</v>
      </c>
      <c r="M22" s="160">
        <f t="shared" si="7"/>
        <v>657449.11</v>
      </c>
      <c r="N22" s="160">
        <f>(65595.22*1.01224 )*1.0207</f>
        <v>67772.546276500958</v>
      </c>
      <c r="O22" s="160"/>
      <c r="P22" s="143"/>
      <c r="Q22" s="143"/>
      <c r="R22" s="163">
        <f t="shared" si="0"/>
        <v>67772.546276500958</v>
      </c>
      <c r="S22" s="163">
        <f t="shared" si="1"/>
        <v>725221.6562765009</v>
      </c>
      <c r="T22" s="148">
        <f t="shared" si="8"/>
        <v>67772.546276500958</v>
      </c>
    </row>
    <row r="23" spans="1:23" ht="31.5" x14ac:dyDescent="0.2">
      <c r="A23" s="75">
        <v>5</v>
      </c>
      <c r="B23" s="76" t="s">
        <v>60</v>
      </c>
      <c r="C23" s="174" t="s">
        <v>141</v>
      </c>
      <c r="D23" s="160">
        <f>2824.707*1000</f>
        <v>2824707</v>
      </c>
      <c r="E23" s="160"/>
      <c r="F23" s="160"/>
      <c r="G23" s="160"/>
      <c r="H23" s="160">
        <f t="shared" si="2"/>
        <v>2824707</v>
      </c>
      <c r="I23" s="160">
        <f t="shared" si="3"/>
        <v>40675.78</v>
      </c>
      <c r="J23" s="173">
        <f t="shared" si="4"/>
        <v>-6101</v>
      </c>
      <c r="K23" s="160">
        <f t="shared" si="5"/>
        <v>2859281.78</v>
      </c>
      <c r="L23" s="160">
        <f t="shared" si="6"/>
        <v>59187</v>
      </c>
      <c r="M23" s="160">
        <f t="shared" si="7"/>
        <v>2918468.78</v>
      </c>
      <c r="N23" s="160">
        <f>(253108.99*1.01224 )*1.0207</f>
        <v>261510.5298491783</v>
      </c>
      <c r="O23" s="160"/>
      <c r="P23" s="143"/>
      <c r="Q23" s="143"/>
      <c r="R23" s="163">
        <f t="shared" si="0"/>
        <v>261510.5298491783</v>
      </c>
      <c r="S23" s="163">
        <f t="shared" si="1"/>
        <v>3179979.309849178</v>
      </c>
      <c r="T23" s="148">
        <f t="shared" si="8"/>
        <v>261510.5298491783</v>
      </c>
    </row>
    <row r="24" spans="1:23" ht="31.5" x14ac:dyDescent="0.2">
      <c r="A24" s="75">
        <v>6</v>
      </c>
      <c r="B24" s="76" t="s">
        <v>61</v>
      </c>
      <c r="C24" s="174" t="s">
        <v>141</v>
      </c>
      <c r="D24" s="160">
        <f>2241.62*1000</f>
        <v>2241620</v>
      </c>
      <c r="E24" s="160"/>
      <c r="F24" s="160"/>
      <c r="G24" s="160"/>
      <c r="H24" s="160">
        <f t="shared" si="2"/>
        <v>2241620</v>
      </c>
      <c r="I24" s="160">
        <f t="shared" si="3"/>
        <v>32279.33</v>
      </c>
      <c r="J24" s="173">
        <f t="shared" si="4"/>
        <v>-4842</v>
      </c>
      <c r="K24" s="160">
        <f t="shared" si="5"/>
        <v>2269057.33</v>
      </c>
      <c r="L24" s="160">
        <f t="shared" si="6"/>
        <v>46969</v>
      </c>
      <c r="M24" s="160">
        <f t="shared" si="7"/>
        <v>2316026.33</v>
      </c>
      <c r="N24" s="160">
        <f>(259712.91*1.01224 )*1.0207</f>
        <v>268333.65619598085</v>
      </c>
      <c r="O24" s="160"/>
      <c r="P24" s="143"/>
      <c r="Q24" s="143"/>
      <c r="R24" s="163">
        <f t="shared" si="0"/>
        <v>268333.65619598085</v>
      </c>
      <c r="S24" s="163">
        <f t="shared" si="1"/>
        <v>2584359.986195981</v>
      </c>
      <c r="T24" s="148">
        <f t="shared" si="8"/>
        <v>268333.65619598085</v>
      </c>
    </row>
    <row r="25" spans="1:23" ht="31.5" x14ac:dyDescent="0.2">
      <c r="A25" s="75">
        <v>7</v>
      </c>
      <c r="B25" s="76" t="s">
        <v>62</v>
      </c>
      <c r="C25" s="174" t="s">
        <v>141</v>
      </c>
      <c r="D25" s="160">
        <f>1352.34*1000</f>
        <v>1352340</v>
      </c>
      <c r="E25" s="160"/>
      <c r="F25" s="160"/>
      <c r="G25" s="160"/>
      <c r="H25" s="160">
        <f t="shared" si="2"/>
        <v>1352340</v>
      </c>
      <c r="I25" s="160">
        <f t="shared" si="3"/>
        <v>19473.7</v>
      </c>
      <c r="J25" s="173">
        <f t="shared" si="4"/>
        <v>-2921</v>
      </c>
      <c r="K25" s="160">
        <f t="shared" si="5"/>
        <v>1368892.7</v>
      </c>
      <c r="L25" s="160">
        <f t="shared" si="6"/>
        <v>28336</v>
      </c>
      <c r="M25" s="160">
        <f t="shared" si="7"/>
        <v>1397228.7</v>
      </c>
      <c r="N25" s="160">
        <f>(206340.77*1.01224 )*1.0207</f>
        <v>213189.91511201335</v>
      </c>
      <c r="O25" s="160"/>
      <c r="P25" s="164"/>
      <c r="Q25" s="163">
        <f>P25*0.18</f>
        <v>0</v>
      </c>
      <c r="R25" s="163">
        <f>N25+Q25</f>
        <v>213189.91511201335</v>
      </c>
      <c r="S25" s="163">
        <f t="shared" si="1"/>
        <v>1610418.6151120132</v>
      </c>
      <c r="T25" s="148">
        <f t="shared" si="8"/>
        <v>213189.91511201335</v>
      </c>
    </row>
    <row r="26" spans="1:23" x14ac:dyDescent="0.2">
      <c r="A26" s="75">
        <v>8</v>
      </c>
      <c r="B26" s="76" t="s">
        <v>63</v>
      </c>
      <c r="C26" s="174" t="s">
        <v>141</v>
      </c>
      <c r="D26" s="160">
        <f>1240.351*1000</f>
        <v>1240351</v>
      </c>
      <c r="E26" s="160"/>
      <c r="F26" s="160"/>
      <c r="G26" s="160"/>
      <c r="H26" s="160">
        <f t="shared" si="2"/>
        <v>1240351</v>
      </c>
      <c r="I26" s="160">
        <f t="shared" si="3"/>
        <v>17861.05</v>
      </c>
      <c r="J26" s="173">
        <f t="shared" si="4"/>
        <v>-2679</v>
      </c>
      <c r="K26" s="160">
        <f t="shared" si="5"/>
        <v>1255533.05</v>
      </c>
      <c r="L26" s="160">
        <f t="shared" si="6"/>
        <v>25990</v>
      </c>
      <c r="M26" s="160">
        <f t="shared" si="7"/>
        <v>1281523.05</v>
      </c>
      <c r="N26" s="160">
        <f>(88359.02*1.01224 )*1.0207</f>
        <v>91291.953466979365</v>
      </c>
      <c r="O26" s="160"/>
      <c r="P26" s="143"/>
      <c r="Q26" s="143"/>
      <c r="R26" s="163">
        <f>N26+O26+Q26</f>
        <v>91291.953466979365</v>
      </c>
      <c r="S26" s="163">
        <f t="shared" si="1"/>
        <v>1372815.0034669794</v>
      </c>
      <c r="T26" s="148">
        <f t="shared" si="8"/>
        <v>91291.953466979365</v>
      </c>
    </row>
    <row r="27" spans="1:23" x14ac:dyDescent="0.2">
      <c r="A27" s="75">
        <v>9</v>
      </c>
      <c r="B27" s="76" t="s">
        <v>64</v>
      </c>
      <c r="C27" s="174" t="s">
        <v>141</v>
      </c>
      <c r="D27" s="160">
        <f>3155.116*1000</f>
        <v>3155116</v>
      </c>
      <c r="E27" s="160"/>
      <c r="F27" s="160"/>
      <c r="G27" s="160"/>
      <c r="H27" s="160">
        <f t="shared" si="2"/>
        <v>3155116</v>
      </c>
      <c r="I27" s="160">
        <f t="shared" si="3"/>
        <v>45433.67</v>
      </c>
      <c r="J27" s="173">
        <f t="shared" si="4"/>
        <v>-6815</v>
      </c>
      <c r="K27" s="160">
        <f t="shared" si="5"/>
        <v>3193734.67</v>
      </c>
      <c r="L27" s="160">
        <f t="shared" si="6"/>
        <v>66110</v>
      </c>
      <c r="M27" s="160">
        <f t="shared" si="7"/>
        <v>3259844.67</v>
      </c>
      <c r="N27" s="160">
        <f>(204914.15*1.01224 )*1.0207</f>
        <v>211715.94078935721</v>
      </c>
      <c r="O27" s="160"/>
      <c r="P27" s="143"/>
      <c r="Q27" s="143"/>
      <c r="R27" s="163">
        <f>N27+O27+Q27</f>
        <v>211715.94078935721</v>
      </c>
      <c r="S27" s="163">
        <f t="shared" si="1"/>
        <v>3471560.6107893572</v>
      </c>
      <c r="T27" s="148">
        <f t="shared" si="8"/>
        <v>211715.94078935721</v>
      </c>
    </row>
    <row r="28" spans="1:23" x14ac:dyDescent="0.2">
      <c r="A28" s="75">
        <v>10</v>
      </c>
      <c r="B28" s="76" t="s">
        <v>65</v>
      </c>
      <c r="C28" s="174" t="s">
        <v>141</v>
      </c>
      <c r="D28" s="160">
        <f>432.224*1000</f>
        <v>432224</v>
      </c>
      <c r="E28" s="160">
        <f>152.654*1000</f>
        <v>152654</v>
      </c>
      <c r="F28" s="165">
        <f>77.999*1000</f>
        <v>77999</v>
      </c>
      <c r="G28" s="160"/>
      <c r="H28" s="160">
        <f t="shared" si="2"/>
        <v>662877</v>
      </c>
      <c r="I28" s="160">
        <f t="shared" si="3"/>
        <v>8422.24</v>
      </c>
      <c r="J28" s="173">
        <f t="shared" si="4"/>
        <v>-1263</v>
      </c>
      <c r="K28" s="160">
        <f t="shared" si="5"/>
        <v>670036.24</v>
      </c>
      <c r="L28" s="160">
        <v>12255.17</v>
      </c>
      <c r="M28" s="160">
        <f>K28+L28-0.01</f>
        <v>682291.4</v>
      </c>
      <c r="N28" s="160">
        <f>(67177.85*1.01224 )*1.0207</f>
        <v>69407.709096498802</v>
      </c>
      <c r="O28" s="160">
        <f>F28*0.18</f>
        <v>14039.82</v>
      </c>
      <c r="P28" s="163"/>
      <c r="Q28" s="163">
        <f>P28*0.18</f>
        <v>0</v>
      </c>
      <c r="R28" s="163">
        <f>N28+O28+Q28</f>
        <v>83447.529096498794</v>
      </c>
      <c r="S28" s="163">
        <f t="shared" si="1"/>
        <v>765738.92909649876</v>
      </c>
      <c r="T28" s="148">
        <f t="shared" si="8"/>
        <v>83447.529096498794</v>
      </c>
    </row>
    <row r="29" spans="1:23" x14ac:dyDescent="0.2">
      <c r="A29" s="75">
        <v>11</v>
      </c>
      <c r="B29" s="76" t="s">
        <v>66</v>
      </c>
      <c r="C29" s="174" t="s">
        <v>141</v>
      </c>
      <c r="D29" s="160"/>
      <c r="E29" s="160">
        <f>265.206*1000</f>
        <v>265206</v>
      </c>
      <c r="F29" s="165">
        <f>7478.153*1000</f>
        <v>7478153</v>
      </c>
      <c r="G29" s="160"/>
      <c r="H29" s="160">
        <f t="shared" si="2"/>
        <v>7743359</v>
      </c>
      <c r="I29" s="160">
        <f t="shared" si="3"/>
        <v>3818.97</v>
      </c>
      <c r="J29" s="173">
        <f>ROUND(-I29*0.15,)-1.82</f>
        <v>-574.82000000000005</v>
      </c>
      <c r="K29" s="160">
        <f t="shared" si="5"/>
        <v>7746603.1499999994</v>
      </c>
      <c r="L29" s="160">
        <v>5557.44</v>
      </c>
      <c r="M29" s="160">
        <f t="shared" si="7"/>
        <v>7752160.5899999999</v>
      </c>
      <c r="N29" s="160">
        <f>(8091.84*1.01224 )*1.0207</f>
        <v>8360.4354229171204</v>
      </c>
      <c r="O29" s="160">
        <f>F29*0.18</f>
        <v>1346067.54</v>
      </c>
      <c r="P29" s="163"/>
      <c r="Q29" s="143"/>
      <c r="R29" s="163">
        <f>N29+O29+Q29</f>
        <v>1354427.9754229172</v>
      </c>
      <c r="S29" s="163">
        <f t="shared" si="1"/>
        <v>9106588.5654229168</v>
      </c>
      <c r="T29" s="148">
        <f t="shared" si="8"/>
        <v>1354427.9754229172</v>
      </c>
    </row>
    <row r="30" spans="1:23" x14ac:dyDescent="0.2">
      <c r="A30" s="75" t="s">
        <v>132</v>
      </c>
      <c r="B30" s="76" t="s">
        <v>89</v>
      </c>
      <c r="C30" s="174" t="s">
        <v>141</v>
      </c>
      <c r="D30" s="160"/>
      <c r="E30" s="160"/>
      <c r="F30" s="160"/>
      <c r="G30" s="160">
        <f>34.472*1000</f>
        <v>34472</v>
      </c>
      <c r="H30" s="160">
        <f>1000*34.472</f>
        <v>34472</v>
      </c>
      <c r="I30" s="160">
        <f t="shared" si="3"/>
        <v>0</v>
      </c>
      <c r="J30" s="160">
        <f t="shared" si="4"/>
        <v>0</v>
      </c>
      <c r="K30" s="160">
        <v>0</v>
      </c>
      <c r="L30" s="161"/>
      <c r="M30" s="160">
        <f>H30</f>
        <v>34472</v>
      </c>
      <c r="N30" s="160">
        <v>0</v>
      </c>
      <c r="O30" s="160">
        <v>0</v>
      </c>
      <c r="P30" s="143"/>
      <c r="Q30" s="143"/>
      <c r="R30" s="163">
        <f>N30+O30+Q30</f>
        <v>0</v>
      </c>
      <c r="S30" s="163">
        <f t="shared" si="1"/>
        <v>34472</v>
      </c>
      <c r="T30" s="148">
        <f t="shared" si="8"/>
        <v>0</v>
      </c>
      <c r="U30" s="135"/>
    </row>
    <row r="31" spans="1:23" ht="31.5" x14ac:dyDescent="0.2">
      <c r="A31" s="149"/>
      <c r="B31" s="150" t="s">
        <v>12</v>
      </c>
      <c r="C31" s="167" t="s">
        <v>127</v>
      </c>
      <c r="D31" s="166">
        <f>SUM(D19:D30)</f>
        <v>14457057</v>
      </c>
      <c r="E31" s="166">
        <f t="shared" ref="E31:R31" si="9">SUM(E19:E30)</f>
        <v>417860</v>
      </c>
      <c r="F31" s="166">
        <f t="shared" si="9"/>
        <v>7556152</v>
      </c>
      <c r="G31" s="166">
        <f t="shared" si="9"/>
        <v>34472</v>
      </c>
      <c r="H31" s="166">
        <f t="shared" si="9"/>
        <v>22465541</v>
      </c>
      <c r="I31" s="166">
        <f t="shared" si="9"/>
        <v>214198.79999999996</v>
      </c>
      <c r="J31" s="166">
        <f t="shared" si="9"/>
        <v>-32129.82</v>
      </c>
      <c r="K31" s="166">
        <f t="shared" si="9"/>
        <v>22613137.98</v>
      </c>
      <c r="L31" s="166">
        <f t="shared" si="9"/>
        <v>311679.61</v>
      </c>
      <c r="M31" s="166">
        <f>SUM(M19:M30)</f>
        <v>22959289.579999998</v>
      </c>
      <c r="N31" s="166">
        <f t="shared" si="9"/>
        <v>1278903.0237059458</v>
      </c>
      <c r="O31" s="166">
        <f t="shared" si="9"/>
        <v>1360107.36</v>
      </c>
      <c r="P31" s="166">
        <f t="shared" si="9"/>
        <v>0</v>
      </c>
      <c r="Q31" s="166">
        <f t="shared" si="9"/>
        <v>0</v>
      </c>
      <c r="R31" s="166">
        <f t="shared" si="9"/>
        <v>2639010.3837059457</v>
      </c>
      <c r="S31" s="163">
        <f t="shared" si="1"/>
        <v>25598299.963705942</v>
      </c>
      <c r="T31" s="152">
        <f t="shared" ref="T31" si="10">SUM(T19:T29)+0</f>
        <v>2639010.3837059457</v>
      </c>
      <c r="U31" s="158">
        <f>S19+S20+S21+S22+S23+S24+S25+S26+S27+S28+S29+S30</f>
        <v>25598299.963705942</v>
      </c>
      <c r="V31" s="148">
        <f>S19+S20+S21+S22+S23+S24+S25+S26+S27+S28+S29+S30</f>
        <v>25598299.963705942</v>
      </c>
      <c r="W31" s="148"/>
    </row>
    <row r="32" spans="1:23" s="153" customFormat="1" x14ac:dyDescent="0.2">
      <c r="A32" s="169"/>
      <c r="B32" s="170" t="s">
        <v>124</v>
      </c>
      <c r="C32" s="171"/>
      <c r="D32" s="168">
        <f t="shared" ref="D32:T32" si="11">D19+D20+D21+D22+D23+D24+D25+D26+D27+D28+D29+D30</f>
        <v>14457057</v>
      </c>
      <c r="E32" s="168">
        <f t="shared" si="11"/>
        <v>417860</v>
      </c>
      <c r="F32" s="168">
        <f>F19+F20+F21+F22+F23+F24+F25+F26+F27+F28+F29+F30</f>
        <v>7556152</v>
      </c>
      <c r="G32" s="168">
        <f t="shared" si="11"/>
        <v>34472</v>
      </c>
      <c r="H32" s="168">
        <f t="shared" si="11"/>
        <v>22465541</v>
      </c>
      <c r="I32" s="168">
        <f>I19+I20+I21+I22+I23+I24+I25+I26+I27+I28+I29+I30</f>
        <v>214198.79999999996</v>
      </c>
      <c r="J32" s="168">
        <f t="shared" si="11"/>
        <v>-32129.82</v>
      </c>
      <c r="K32" s="168">
        <f t="shared" si="11"/>
        <v>22613137.98</v>
      </c>
      <c r="L32" s="168">
        <f t="shared" si="11"/>
        <v>311679.61</v>
      </c>
      <c r="M32" s="168">
        <f t="shared" si="11"/>
        <v>22959289.579999998</v>
      </c>
      <c r="N32" s="168">
        <f t="shared" si="11"/>
        <v>1278903.0237059458</v>
      </c>
      <c r="O32" s="168">
        <f t="shared" si="11"/>
        <v>1360107.36</v>
      </c>
      <c r="P32" s="168">
        <f t="shared" si="11"/>
        <v>0</v>
      </c>
      <c r="Q32" s="168">
        <f t="shared" si="11"/>
        <v>0</v>
      </c>
      <c r="R32" s="168">
        <f t="shared" si="11"/>
        <v>2639010.3837059457</v>
      </c>
      <c r="S32" s="168">
        <f t="shared" si="11"/>
        <v>25598299.963705942</v>
      </c>
      <c r="T32" s="154">
        <f t="shared" si="11"/>
        <v>2639010.3837059457</v>
      </c>
      <c r="U32" s="155"/>
    </row>
  </sheetData>
  <mergeCells count="25">
    <mergeCell ref="A18:O18"/>
    <mergeCell ref="O13:O16"/>
    <mergeCell ref="D14:D16"/>
    <mergeCell ref="E14:E16"/>
    <mergeCell ref="F14:F16"/>
    <mergeCell ref="A13:A16"/>
    <mergeCell ref="B13:B16"/>
    <mergeCell ref="C13:C16"/>
    <mergeCell ref="N13:N16"/>
    <mergeCell ref="E3:N3"/>
    <mergeCell ref="O1:U1"/>
    <mergeCell ref="D13:M13"/>
    <mergeCell ref="G14:G16"/>
    <mergeCell ref="H14:H16"/>
    <mergeCell ref="C2:N2"/>
    <mergeCell ref="C5:N5"/>
    <mergeCell ref="P13:P16"/>
    <mergeCell ref="Q13:Q16"/>
    <mergeCell ref="R13:R16"/>
    <mergeCell ref="S13:S16"/>
    <mergeCell ref="I14:I16"/>
    <mergeCell ref="J14:J16"/>
    <mergeCell ref="K14:K16"/>
    <mergeCell ref="L14:L16"/>
    <mergeCell ref="M14:M16"/>
  </mergeCells>
  <pageMargins left="0.19685039370078741" right="0.19685039370078741" top="0.39370078740157483" bottom="0.19685039370078741" header="0.31496062992125984" footer="0.31496062992125984"/>
  <pageSetup paperSize="8" scale="61" fitToHeight="0" orientation="landscape" r:id="rId1"/>
  <colBreaks count="1" manualBreakCount="1">
    <brk id="19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7"/>
  <sheetViews>
    <sheetView view="pageBreakPreview" topLeftCell="F29" zoomScale="60" zoomScaleNormal="100" workbookViewId="0">
      <selection activeCell="K35" sqref="K35"/>
    </sheetView>
  </sheetViews>
  <sheetFormatPr defaultColWidth="16.85546875" defaultRowHeight="15.75" x14ac:dyDescent="0.2"/>
  <cols>
    <col min="1" max="1" width="6.140625" style="85" customWidth="1"/>
    <col min="2" max="3" width="16.85546875" style="85"/>
    <col min="4" max="4" width="19.7109375" style="85" customWidth="1"/>
    <col min="5" max="5" width="16.140625" style="68" customWidth="1"/>
    <col min="6" max="6" width="18.28515625" style="68" customWidth="1"/>
    <col min="7" max="7" width="15.42578125" style="68" customWidth="1"/>
    <col min="8" max="8" width="20.140625" style="68" customWidth="1"/>
    <col min="9" max="10" width="16.85546875" style="85"/>
    <col min="11" max="11" width="18.5703125" style="70" customWidth="1"/>
    <col min="12" max="12" width="16.85546875" style="85"/>
    <col min="13" max="13" width="20" style="85" customWidth="1"/>
    <col min="14" max="14" width="17.5703125" style="85" customWidth="1"/>
    <col min="15" max="15" width="18.28515625" style="85" customWidth="1"/>
    <col min="16" max="16" width="15.85546875" style="85" customWidth="1"/>
    <col min="17" max="17" width="17" style="85" customWidth="1"/>
    <col min="18" max="18" width="18.7109375" style="85" customWidth="1"/>
    <col min="19" max="19" width="21.140625" style="85" customWidth="1"/>
    <col min="20" max="20" width="20.85546875" style="85" customWidth="1"/>
    <col min="21" max="16384" width="16.85546875" style="85"/>
  </cols>
  <sheetData>
    <row r="1" spans="1:19" x14ac:dyDescent="0.2">
      <c r="B1" s="87"/>
      <c r="C1" s="87"/>
      <c r="D1" s="55"/>
      <c r="E1" s="56"/>
      <c r="F1" s="56"/>
      <c r="G1" s="56"/>
      <c r="H1" s="56"/>
      <c r="I1" s="55"/>
      <c r="J1" s="55"/>
      <c r="K1" s="57"/>
      <c r="L1" s="55"/>
      <c r="M1" s="55"/>
      <c r="N1" s="55"/>
      <c r="O1" s="88" t="s">
        <v>0</v>
      </c>
    </row>
    <row r="2" spans="1:19" x14ac:dyDescent="0.2">
      <c r="A2" s="89"/>
      <c r="B2" s="90"/>
      <c r="C2" s="205" t="s">
        <v>15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63"/>
    </row>
    <row r="3" spans="1:19" x14ac:dyDescent="0.2">
      <c r="B3" s="87"/>
      <c r="C3" s="87"/>
      <c r="D3" s="55"/>
      <c r="E3" s="58" t="s">
        <v>1</v>
      </c>
      <c r="F3" s="56"/>
      <c r="G3" s="56"/>
      <c r="H3" s="56"/>
      <c r="I3" s="55"/>
      <c r="J3" s="55"/>
      <c r="K3" s="57"/>
      <c r="L3" s="55"/>
      <c r="M3" s="55"/>
      <c r="N3" s="55"/>
      <c r="O3" s="63"/>
    </row>
    <row r="4" spans="1:19" x14ac:dyDescent="0.2">
      <c r="B4" s="87"/>
      <c r="C4" s="87"/>
      <c r="D4" s="55"/>
      <c r="E4" s="56"/>
      <c r="F4" s="56"/>
      <c r="G4" s="56"/>
      <c r="H4" s="56"/>
      <c r="I4" s="55"/>
      <c r="J4" s="55"/>
      <c r="K4" s="57"/>
      <c r="L4" s="55"/>
      <c r="M4" s="55"/>
      <c r="N4" s="55"/>
      <c r="O4" s="63"/>
    </row>
    <row r="5" spans="1:19" x14ac:dyDescent="0.2">
      <c r="B5" s="87"/>
      <c r="C5" s="87"/>
      <c r="D5" s="55"/>
      <c r="E5" s="59" t="s">
        <v>116</v>
      </c>
      <c r="F5" s="56"/>
      <c r="G5" s="60"/>
      <c r="H5" s="56"/>
      <c r="I5" s="55"/>
      <c r="J5" s="55"/>
      <c r="K5" s="57"/>
      <c r="L5" s="55"/>
      <c r="M5" s="55"/>
      <c r="N5" s="55"/>
      <c r="O5" s="63"/>
    </row>
    <row r="6" spans="1:19" x14ac:dyDescent="0.2">
      <c r="B6" s="87"/>
      <c r="C6" s="87"/>
      <c r="D6" s="55"/>
      <c r="E6" s="56" t="s">
        <v>16</v>
      </c>
      <c r="F6" s="56"/>
      <c r="G6" s="56"/>
      <c r="H6" s="56"/>
      <c r="I6" s="55"/>
      <c r="J6" s="55"/>
      <c r="K6" s="57"/>
      <c r="L6" s="55"/>
      <c r="M6" s="55"/>
      <c r="N6" s="55"/>
      <c r="O6" s="63"/>
    </row>
    <row r="7" spans="1:19" x14ac:dyDescent="0.2">
      <c r="B7" s="87"/>
      <c r="C7" s="87"/>
      <c r="D7" s="55"/>
      <c r="E7" s="56"/>
      <c r="F7" s="56"/>
      <c r="G7" s="56"/>
      <c r="H7" s="56"/>
      <c r="I7" s="55"/>
      <c r="J7" s="55"/>
      <c r="K7" s="57"/>
      <c r="L7" s="55"/>
      <c r="M7" s="55"/>
      <c r="N7" s="55"/>
      <c r="O7" s="63"/>
    </row>
    <row r="8" spans="1:19" x14ac:dyDescent="0.2">
      <c r="A8" s="61"/>
      <c r="B8" s="61"/>
      <c r="C8" s="205" t="s">
        <v>17</v>
      </c>
      <c r="D8" s="205" t="s">
        <v>17</v>
      </c>
      <c r="E8" s="205" t="s">
        <v>17</v>
      </c>
      <c r="F8" s="205" t="s">
        <v>17</v>
      </c>
      <c r="G8" s="205" t="s">
        <v>17</v>
      </c>
      <c r="H8" s="205" t="s">
        <v>17</v>
      </c>
      <c r="I8" s="205"/>
      <c r="J8" s="205"/>
      <c r="K8" s="205"/>
      <c r="L8" s="205"/>
      <c r="M8" s="205"/>
      <c r="N8" s="205" t="s">
        <v>17</v>
      </c>
      <c r="O8" s="63"/>
    </row>
    <row r="9" spans="1:19" x14ac:dyDescent="0.2">
      <c r="B9" s="87"/>
      <c r="C9" s="87"/>
      <c r="D9" s="55"/>
      <c r="E9" s="58" t="s">
        <v>2</v>
      </c>
      <c r="F9" s="56"/>
      <c r="G9" s="56"/>
      <c r="H9" s="56"/>
      <c r="I9" s="55"/>
      <c r="J9" s="55"/>
      <c r="K9" s="57"/>
      <c r="L9" s="55"/>
      <c r="M9" s="55"/>
      <c r="N9" s="55"/>
      <c r="O9" s="63"/>
    </row>
    <row r="10" spans="1:19" x14ac:dyDescent="0.2">
      <c r="B10" s="87"/>
      <c r="C10" s="91"/>
      <c r="D10" s="62"/>
      <c r="E10" s="56"/>
      <c r="F10" s="56"/>
      <c r="G10" s="56"/>
      <c r="H10" s="56"/>
      <c r="I10" s="55"/>
      <c r="J10" s="55"/>
      <c r="K10" s="57"/>
      <c r="L10" s="55"/>
      <c r="M10" s="55"/>
      <c r="N10" s="55"/>
      <c r="O10" s="63"/>
    </row>
    <row r="11" spans="1:19" x14ac:dyDescent="0.2">
      <c r="B11" s="87"/>
      <c r="C11" s="92" t="s">
        <v>87</v>
      </c>
      <c r="D11" s="63"/>
      <c r="E11" s="56"/>
      <c r="F11" s="56"/>
      <c r="G11" s="56"/>
      <c r="H11" s="56"/>
      <c r="I11" s="55"/>
      <c r="J11" s="55"/>
      <c r="K11" s="57"/>
      <c r="L11" s="55"/>
      <c r="M11" s="55"/>
      <c r="N11" s="55"/>
      <c r="O11" s="63"/>
    </row>
    <row r="12" spans="1:19" x14ac:dyDescent="0.2">
      <c r="B12" s="87"/>
      <c r="C12" s="93" t="s">
        <v>114</v>
      </c>
      <c r="D12" s="63"/>
      <c r="E12" s="56"/>
      <c r="F12" s="56"/>
      <c r="G12" s="56"/>
      <c r="H12" s="56"/>
      <c r="I12" s="55"/>
      <c r="J12" s="55"/>
      <c r="K12" s="57"/>
      <c r="L12" s="55"/>
      <c r="M12" s="55"/>
      <c r="N12" s="55"/>
      <c r="O12" s="63"/>
    </row>
    <row r="13" spans="1:19" x14ac:dyDescent="0.2">
      <c r="B13" s="87"/>
      <c r="C13" s="94" t="s">
        <v>55</v>
      </c>
      <c r="D13" s="63"/>
      <c r="E13" s="56"/>
      <c r="F13" s="56"/>
      <c r="G13" s="56"/>
      <c r="H13" s="56"/>
      <c r="I13" s="55"/>
      <c r="J13" s="55"/>
      <c r="K13" s="57"/>
      <c r="L13" s="55"/>
      <c r="M13" s="55"/>
      <c r="N13" s="55"/>
      <c r="O13" s="63"/>
    </row>
    <row r="14" spans="1:19" x14ac:dyDescent="0.2">
      <c r="B14" s="87"/>
      <c r="C14" s="95" t="s">
        <v>18</v>
      </c>
      <c r="D14" s="63"/>
      <c r="E14" s="56"/>
      <c r="F14" s="56"/>
      <c r="G14" s="56"/>
      <c r="H14" s="56"/>
      <c r="I14" s="55"/>
      <c r="J14" s="55"/>
      <c r="K14" s="57"/>
      <c r="L14" s="55"/>
      <c r="M14" s="55"/>
      <c r="N14" s="55"/>
      <c r="O14" s="63"/>
    </row>
    <row r="15" spans="1:19" x14ac:dyDescent="0.2">
      <c r="B15" s="87"/>
      <c r="C15" s="91"/>
      <c r="D15" s="55"/>
      <c r="E15" s="56"/>
      <c r="F15" s="56"/>
      <c r="G15" s="56"/>
      <c r="H15" s="56"/>
      <c r="I15" s="55"/>
      <c r="J15" s="55"/>
      <c r="K15" s="57"/>
      <c r="L15" s="55"/>
      <c r="M15" s="55"/>
      <c r="N15" s="55"/>
      <c r="O15" s="63"/>
    </row>
    <row r="16" spans="1:19" x14ac:dyDescent="0.2">
      <c r="A16" s="203" t="s">
        <v>3</v>
      </c>
      <c r="B16" s="206" t="s">
        <v>4</v>
      </c>
      <c r="C16" s="203" t="s">
        <v>5</v>
      </c>
      <c r="D16" s="207" t="s">
        <v>34</v>
      </c>
      <c r="E16" s="207"/>
      <c r="F16" s="207"/>
      <c r="G16" s="207"/>
      <c r="H16" s="207"/>
      <c r="I16" s="125"/>
      <c r="J16" s="125"/>
      <c r="K16" s="64"/>
      <c r="L16" s="125"/>
      <c r="M16" s="125"/>
      <c r="N16" s="203" t="s">
        <v>110</v>
      </c>
      <c r="O16" s="196" t="s">
        <v>111</v>
      </c>
      <c r="P16" s="197" t="s">
        <v>112</v>
      </c>
      <c r="Q16" s="198" t="s">
        <v>113</v>
      </c>
      <c r="R16" s="199" t="s">
        <v>118</v>
      </c>
      <c r="S16" s="200" t="s">
        <v>109</v>
      </c>
    </row>
    <row r="17" spans="1:20" x14ac:dyDescent="0.2">
      <c r="A17" s="203"/>
      <c r="B17" s="206"/>
      <c r="C17" s="203"/>
      <c r="D17" s="203" t="s">
        <v>6</v>
      </c>
      <c r="E17" s="204" t="s">
        <v>7</v>
      </c>
      <c r="F17" s="204" t="s">
        <v>8</v>
      </c>
      <c r="G17" s="204" t="s">
        <v>9</v>
      </c>
      <c r="H17" s="204" t="s">
        <v>10</v>
      </c>
      <c r="I17" s="203" t="s">
        <v>91</v>
      </c>
      <c r="J17" s="203" t="s">
        <v>115</v>
      </c>
      <c r="K17" s="208" t="s">
        <v>92</v>
      </c>
      <c r="L17" s="203" t="s">
        <v>93</v>
      </c>
      <c r="M17" s="203" t="s">
        <v>108</v>
      </c>
      <c r="N17" s="203"/>
      <c r="O17" s="196"/>
      <c r="P17" s="197"/>
      <c r="Q17" s="198"/>
      <c r="R17" s="199"/>
      <c r="S17" s="201"/>
    </row>
    <row r="18" spans="1:20" x14ac:dyDescent="0.2">
      <c r="A18" s="203"/>
      <c r="B18" s="206"/>
      <c r="C18" s="203"/>
      <c r="D18" s="203"/>
      <c r="E18" s="204"/>
      <c r="F18" s="204"/>
      <c r="G18" s="204"/>
      <c r="H18" s="204"/>
      <c r="I18" s="203"/>
      <c r="J18" s="203"/>
      <c r="K18" s="208"/>
      <c r="L18" s="203"/>
      <c r="M18" s="203"/>
      <c r="N18" s="203"/>
      <c r="O18" s="196"/>
      <c r="P18" s="197"/>
      <c r="Q18" s="198"/>
      <c r="R18" s="199"/>
      <c r="S18" s="201"/>
    </row>
    <row r="19" spans="1:20" x14ac:dyDescent="0.2">
      <c r="A19" s="203"/>
      <c r="B19" s="206"/>
      <c r="C19" s="203"/>
      <c r="D19" s="203"/>
      <c r="E19" s="204"/>
      <c r="F19" s="204"/>
      <c r="G19" s="204"/>
      <c r="H19" s="204"/>
      <c r="I19" s="203"/>
      <c r="J19" s="203"/>
      <c r="K19" s="208"/>
      <c r="L19" s="203"/>
      <c r="M19" s="203"/>
      <c r="N19" s="203"/>
      <c r="O19" s="196"/>
      <c r="P19" s="197"/>
      <c r="Q19" s="198"/>
      <c r="R19" s="199"/>
      <c r="S19" s="202"/>
      <c r="T19" s="85" t="s">
        <v>117</v>
      </c>
    </row>
    <row r="20" spans="1:20" x14ac:dyDescent="0.2">
      <c r="A20" s="96">
        <v>1</v>
      </c>
      <c r="B20" s="96">
        <v>2</v>
      </c>
      <c r="C20" s="96">
        <v>3</v>
      </c>
      <c r="D20" s="96">
        <v>4</v>
      </c>
      <c r="E20" s="97" t="s">
        <v>94</v>
      </c>
      <c r="F20" s="97" t="s">
        <v>95</v>
      </c>
      <c r="G20" s="97" t="s">
        <v>96</v>
      </c>
      <c r="H20" s="97" t="s">
        <v>97</v>
      </c>
      <c r="I20" s="98" t="s">
        <v>98</v>
      </c>
      <c r="J20" s="98" t="s">
        <v>99</v>
      </c>
      <c r="K20" s="97" t="s">
        <v>100</v>
      </c>
      <c r="L20" s="98" t="s">
        <v>88</v>
      </c>
      <c r="M20" s="98" t="s">
        <v>101</v>
      </c>
      <c r="N20" s="98" t="s">
        <v>102</v>
      </c>
      <c r="O20" s="98" t="s">
        <v>103</v>
      </c>
      <c r="P20" s="99" t="s">
        <v>104</v>
      </c>
      <c r="Q20" s="99" t="s">
        <v>105</v>
      </c>
      <c r="R20" s="100" t="s">
        <v>106</v>
      </c>
      <c r="S20" s="101" t="s">
        <v>107</v>
      </c>
    </row>
    <row r="21" spans="1:20" x14ac:dyDescent="0.2">
      <c r="A21" s="193" t="s">
        <v>11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02"/>
      <c r="Q21" s="102"/>
      <c r="R21" s="103"/>
      <c r="S21" s="104"/>
    </row>
    <row r="22" spans="1:20" ht="31.5" x14ac:dyDescent="0.2">
      <c r="A22" s="75">
        <v>1</v>
      </c>
      <c r="B22" s="76" t="s">
        <v>56</v>
      </c>
      <c r="C22" s="77" t="s">
        <v>21</v>
      </c>
      <c r="D22" s="105">
        <f>1725.535*1000</f>
        <v>1725535</v>
      </c>
      <c r="E22" s="78"/>
      <c r="F22" s="78"/>
      <c r="G22" s="78"/>
      <c r="H22" s="78">
        <f>D22+E22+F22+G22</f>
        <v>1725535</v>
      </c>
      <c r="I22" s="78">
        <f>ROUND(1.44*(D22+E22)/100,2)</f>
        <v>24847.7</v>
      </c>
      <c r="J22" s="106">
        <f>ROUND(-I22*0.15,)</f>
        <v>-3727</v>
      </c>
      <c r="K22" s="107">
        <f>H22+I22+J22</f>
        <v>1746655.7</v>
      </c>
      <c r="L22" s="106">
        <f>ROUND(K22*2.07/100,)</f>
        <v>36156</v>
      </c>
      <c r="M22" s="107">
        <f>K22+L22</f>
        <v>1782811.7</v>
      </c>
      <c r="N22" s="80">
        <v>65021.97</v>
      </c>
      <c r="O22" s="80">
        <v>0</v>
      </c>
      <c r="P22" s="102"/>
      <c r="Q22" s="86"/>
      <c r="R22" s="83">
        <f>N22+O22+Q22</f>
        <v>65021.97</v>
      </c>
      <c r="S22" s="84">
        <f>M22+R22</f>
        <v>1847833.67</v>
      </c>
      <c r="T22" s="117">
        <f>R22</f>
        <v>65021.97</v>
      </c>
    </row>
    <row r="23" spans="1:20" ht="63" x14ac:dyDescent="0.2">
      <c r="A23" s="75">
        <v>2</v>
      </c>
      <c r="B23" s="76" t="s">
        <v>57</v>
      </c>
      <c r="C23" s="77" t="s">
        <v>22</v>
      </c>
      <c r="D23" s="78">
        <f>831.625*1000</f>
        <v>831625</v>
      </c>
      <c r="E23" s="78"/>
      <c r="F23" s="78"/>
      <c r="G23" s="78"/>
      <c r="H23" s="78">
        <f t="shared" ref="H23:H32" si="0">D23+E23+F23+G23</f>
        <v>831625</v>
      </c>
      <c r="I23" s="78">
        <f t="shared" ref="I23:I33" si="1">ROUND(1.44*(D23+E23)/100,2)</f>
        <v>11975.4</v>
      </c>
      <c r="J23" s="106">
        <f t="shared" ref="J23:J33" si="2">ROUND(-I23*0.15,)</f>
        <v>-1796</v>
      </c>
      <c r="K23" s="107">
        <f t="shared" ref="K23:K32" si="3">H23+I23+J23</f>
        <v>841804.4</v>
      </c>
      <c r="L23" s="106">
        <f t="shared" ref="L23:L30" si="4">ROUND(K23*2.07/100,)</f>
        <v>17425</v>
      </c>
      <c r="M23" s="107">
        <f t="shared" ref="M23:M32" si="5">K23+L23</f>
        <v>859229.4</v>
      </c>
      <c r="N23" s="80">
        <v>18628.98</v>
      </c>
      <c r="O23" s="80"/>
      <c r="P23" s="102"/>
      <c r="Q23" s="86"/>
      <c r="R23" s="83">
        <f t="shared" ref="R23:R33" si="6">N23+O23+Q23</f>
        <v>18628.98</v>
      </c>
      <c r="S23" s="84">
        <f t="shared" ref="S23:S34" si="7">M23+R23</f>
        <v>877858.38</v>
      </c>
      <c r="T23" s="117">
        <f t="shared" ref="T23:T33" si="8">R23</f>
        <v>18628.98</v>
      </c>
    </row>
    <row r="24" spans="1:20" ht="31.5" x14ac:dyDescent="0.2">
      <c r="A24" s="75">
        <v>3</v>
      </c>
      <c r="B24" s="76" t="s">
        <v>58</v>
      </c>
      <c r="C24" s="77" t="s">
        <v>40</v>
      </c>
      <c r="D24" s="78">
        <f>17.212*1000</f>
        <v>17212</v>
      </c>
      <c r="E24" s="78"/>
      <c r="F24" s="78"/>
      <c r="G24" s="78"/>
      <c r="H24" s="78">
        <f t="shared" si="0"/>
        <v>17212</v>
      </c>
      <c r="I24" s="78">
        <f t="shared" si="1"/>
        <v>247.85</v>
      </c>
      <c r="J24" s="78">
        <f t="shared" si="2"/>
        <v>-37</v>
      </c>
      <c r="K24" s="78">
        <f t="shared" si="3"/>
        <v>17422.849999999999</v>
      </c>
      <c r="L24" s="78">
        <f t="shared" si="4"/>
        <v>361</v>
      </c>
      <c r="M24" s="78">
        <f t="shared" si="5"/>
        <v>17783.849999999999</v>
      </c>
      <c r="N24" s="80">
        <v>864.05</v>
      </c>
      <c r="O24" s="80"/>
      <c r="P24" s="102"/>
      <c r="Q24" s="86"/>
      <c r="R24" s="83">
        <f t="shared" si="6"/>
        <v>864.05</v>
      </c>
      <c r="S24" s="84">
        <f t="shared" si="7"/>
        <v>18647.899999999998</v>
      </c>
      <c r="T24" s="117">
        <f t="shared" si="8"/>
        <v>864.05</v>
      </c>
    </row>
    <row r="25" spans="1:20" ht="31.5" x14ac:dyDescent="0.2">
      <c r="A25" s="75">
        <v>4</v>
      </c>
      <c r="B25" s="76" t="s">
        <v>59</v>
      </c>
      <c r="C25" s="77" t="s">
        <v>23</v>
      </c>
      <c r="D25" s="78">
        <f>636.327*1000</f>
        <v>636327</v>
      </c>
      <c r="E25" s="78"/>
      <c r="F25" s="78"/>
      <c r="G25" s="78"/>
      <c r="H25" s="78">
        <f t="shared" si="0"/>
        <v>636327</v>
      </c>
      <c r="I25" s="78">
        <f t="shared" si="1"/>
        <v>9163.11</v>
      </c>
      <c r="J25" s="78">
        <f t="shared" si="2"/>
        <v>-1374</v>
      </c>
      <c r="K25" s="78">
        <f t="shared" si="3"/>
        <v>644116.11</v>
      </c>
      <c r="L25" s="78">
        <f t="shared" si="4"/>
        <v>13333</v>
      </c>
      <c r="M25" s="78">
        <f t="shared" si="5"/>
        <v>657449.11</v>
      </c>
      <c r="N25" s="80">
        <v>65595.22</v>
      </c>
      <c r="O25" s="80"/>
      <c r="P25" s="102"/>
      <c r="Q25" s="86"/>
      <c r="R25" s="83">
        <f t="shared" si="6"/>
        <v>65595.22</v>
      </c>
      <c r="S25" s="84">
        <f t="shared" si="7"/>
        <v>723044.33</v>
      </c>
      <c r="T25" s="117">
        <f t="shared" si="8"/>
        <v>65595.22</v>
      </c>
    </row>
    <row r="26" spans="1:20" ht="47.25" x14ac:dyDescent="0.2">
      <c r="A26" s="75">
        <v>5</v>
      </c>
      <c r="B26" s="76" t="s">
        <v>60</v>
      </c>
      <c r="C26" s="77" t="s">
        <v>24</v>
      </c>
      <c r="D26" s="78">
        <f>2824.707*1000</f>
        <v>2824707</v>
      </c>
      <c r="E26" s="78"/>
      <c r="F26" s="78"/>
      <c r="G26" s="78"/>
      <c r="H26" s="78">
        <f t="shared" si="0"/>
        <v>2824707</v>
      </c>
      <c r="I26" s="78">
        <f t="shared" si="1"/>
        <v>40675.78</v>
      </c>
      <c r="J26" s="78">
        <f t="shared" si="2"/>
        <v>-6101</v>
      </c>
      <c r="K26" s="78">
        <f t="shared" si="3"/>
        <v>2859281.78</v>
      </c>
      <c r="L26" s="78">
        <f t="shared" si="4"/>
        <v>59187</v>
      </c>
      <c r="M26" s="78">
        <f t="shared" si="5"/>
        <v>2918468.78</v>
      </c>
      <c r="N26" s="80">
        <v>253108.99</v>
      </c>
      <c r="O26" s="80"/>
      <c r="P26" s="102"/>
      <c r="Q26" s="86"/>
      <c r="R26" s="83">
        <f t="shared" si="6"/>
        <v>253108.99</v>
      </c>
      <c r="S26" s="84">
        <f t="shared" si="7"/>
        <v>3171577.7699999996</v>
      </c>
      <c r="T26" s="117">
        <f t="shared" si="8"/>
        <v>253108.99</v>
      </c>
    </row>
    <row r="27" spans="1:20" ht="47.25" x14ac:dyDescent="0.2">
      <c r="A27" s="75">
        <v>6</v>
      </c>
      <c r="B27" s="76" t="s">
        <v>61</v>
      </c>
      <c r="C27" s="77" t="s">
        <v>25</v>
      </c>
      <c r="D27" s="105">
        <f>2241.62*1000</f>
        <v>2241620</v>
      </c>
      <c r="E27" s="78"/>
      <c r="F27" s="78"/>
      <c r="G27" s="78"/>
      <c r="H27" s="78">
        <f t="shared" si="0"/>
        <v>2241620</v>
      </c>
      <c r="I27" s="78">
        <f t="shared" si="1"/>
        <v>32279.33</v>
      </c>
      <c r="J27" s="78">
        <f t="shared" si="2"/>
        <v>-4842</v>
      </c>
      <c r="K27" s="78">
        <f t="shared" si="3"/>
        <v>2269057.33</v>
      </c>
      <c r="L27" s="78">
        <f t="shared" si="4"/>
        <v>46969</v>
      </c>
      <c r="M27" s="78">
        <f t="shared" si="5"/>
        <v>2316026.33</v>
      </c>
      <c r="N27" s="80">
        <v>259712.91</v>
      </c>
      <c r="O27" s="80"/>
      <c r="P27" s="102"/>
      <c r="Q27" s="86"/>
      <c r="R27" s="83">
        <f t="shared" si="6"/>
        <v>259712.91</v>
      </c>
      <c r="S27" s="84">
        <f t="shared" si="7"/>
        <v>2575739.2400000002</v>
      </c>
      <c r="T27" s="117">
        <f t="shared" si="8"/>
        <v>259712.91</v>
      </c>
    </row>
    <row r="28" spans="1:20" ht="31.5" x14ac:dyDescent="0.2">
      <c r="A28" s="75">
        <v>7</v>
      </c>
      <c r="B28" s="76" t="s">
        <v>62</v>
      </c>
      <c r="C28" s="77" t="s">
        <v>26</v>
      </c>
      <c r="D28" s="78">
        <f>1352.34*1000</f>
        <v>1352340</v>
      </c>
      <c r="E28" s="78"/>
      <c r="F28" s="78"/>
      <c r="G28" s="78"/>
      <c r="H28" s="78">
        <f t="shared" si="0"/>
        <v>1352340</v>
      </c>
      <c r="I28" s="78">
        <f t="shared" si="1"/>
        <v>19473.7</v>
      </c>
      <c r="J28" s="78">
        <f t="shared" si="2"/>
        <v>-2921</v>
      </c>
      <c r="K28" s="78">
        <f t="shared" si="3"/>
        <v>1368892.7</v>
      </c>
      <c r="L28" s="78">
        <f t="shared" si="4"/>
        <v>28336</v>
      </c>
      <c r="M28" s="78">
        <f t="shared" si="5"/>
        <v>1397228.7</v>
      </c>
      <c r="N28" s="80">
        <v>206340.77</v>
      </c>
      <c r="O28" s="80"/>
      <c r="P28" s="108">
        <v>655815.36</v>
      </c>
      <c r="Q28" s="83">
        <f>P28*0.18</f>
        <v>118046.76479999999</v>
      </c>
      <c r="R28" s="83">
        <f>N28+Q28</f>
        <v>324387.53479999996</v>
      </c>
      <c r="S28" s="84">
        <f t="shared" si="7"/>
        <v>1721616.2348</v>
      </c>
      <c r="T28" s="117">
        <f t="shared" si="8"/>
        <v>324387.53479999996</v>
      </c>
    </row>
    <row r="29" spans="1:20" ht="31.5" x14ac:dyDescent="0.2">
      <c r="A29" s="75">
        <v>8</v>
      </c>
      <c r="B29" s="76" t="s">
        <v>63</v>
      </c>
      <c r="C29" s="77" t="s">
        <v>41</v>
      </c>
      <c r="D29" s="78">
        <f>1240.351*1000</f>
        <v>1240351</v>
      </c>
      <c r="E29" s="78"/>
      <c r="F29" s="78"/>
      <c r="G29" s="78"/>
      <c r="H29" s="78">
        <f t="shared" si="0"/>
        <v>1240351</v>
      </c>
      <c r="I29" s="78">
        <f t="shared" si="1"/>
        <v>17861.05</v>
      </c>
      <c r="J29" s="78">
        <f t="shared" si="2"/>
        <v>-2679</v>
      </c>
      <c r="K29" s="78">
        <f t="shared" si="3"/>
        <v>1255533.05</v>
      </c>
      <c r="L29" s="78">
        <f t="shared" si="4"/>
        <v>25990</v>
      </c>
      <c r="M29" s="78">
        <f t="shared" si="5"/>
        <v>1281523.05</v>
      </c>
      <c r="N29" s="80">
        <v>88359.02</v>
      </c>
      <c r="O29" s="80"/>
      <c r="P29" s="102"/>
      <c r="Q29" s="86"/>
      <c r="R29" s="83">
        <f t="shared" si="6"/>
        <v>88359.02</v>
      </c>
      <c r="S29" s="84">
        <f t="shared" si="7"/>
        <v>1369882.07</v>
      </c>
      <c r="T29" s="117">
        <f t="shared" si="8"/>
        <v>88359.02</v>
      </c>
    </row>
    <row r="30" spans="1:20" ht="31.5" x14ac:dyDescent="0.2">
      <c r="A30" s="75">
        <v>9</v>
      </c>
      <c r="B30" s="76" t="s">
        <v>64</v>
      </c>
      <c r="C30" s="77" t="s">
        <v>42</v>
      </c>
      <c r="D30" s="78">
        <f>3155.116*1000</f>
        <v>3155116</v>
      </c>
      <c r="E30" s="78"/>
      <c r="F30" s="78"/>
      <c r="G30" s="78"/>
      <c r="H30" s="78">
        <f t="shared" si="0"/>
        <v>3155116</v>
      </c>
      <c r="I30" s="78">
        <f t="shared" si="1"/>
        <v>45433.67</v>
      </c>
      <c r="J30" s="78">
        <f t="shared" si="2"/>
        <v>-6815</v>
      </c>
      <c r="K30" s="78">
        <f t="shared" si="3"/>
        <v>3193734.67</v>
      </c>
      <c r="L30" s="78">
        <f t="shared" si="4"/>
        <v>66110</v>
      </c>
      <c r="M30" s="78">
        <f t="shared" si="5"/>
        <v>3259844.67</v>
      </c>
      <c r="N30" s="80">
        <v>204914.15</v>
      </c>
      <c r="O30" s="80"/>
      <c r="P30" s="102"/>
      <c r="Q30" s="86"/>
      <c r="R30" s="83">
        <f t="shared" si="6"/>
        <v>204914.15</v>
      </c>
      <c r="S30" s="84">
        <f t="shared" si="7"/>
        <v>3464758.82</v>
      </c>
      <c r="T30" s="117">
        <f t="shared" si="8"/>
        <v>204914.15</v>
      </c>
    </row>
    <row r="31" spans="1:20" ht="47.25" x14ac:dyDescent="0.2">
      <c r="A31" s="75">
        <v>10</v>
      </c>
      <c r="B31" s="76" t="s">
        <v>65</v>
      </c>
      <c r="C31" s="77" t="s">
        <v>27</v>
      </c>
      <c r="D31" s="78">
        <f>432.224*1000</f>
        <v>432224</v>
      </c>
      <c r="E31" s="78">
        <f>152.654*1000</f>
        <v>152654</v>
      </c>
      <c r="F31" s="79">
        <f>77.999*1000</f>
        <v>77999</v>
      </c>
      <c r="G31" s="78"/>
      <c r="H31" s="78">
        <f t="shared" si="0"/>
        <v>662877</v>
      </c>
      <c r="I31" s="78">
        <f t="shared" si="1"/>
        <v>8422.24</v>
      </c>
      <c r="J31" s="78">
        <f t="shared" si="2"/>
        <v>-1263</v>
      </c>
      <c r="K31" s="78">
        <f t="shared" si="3"/>
        <v>670036.24</v>
      </c>
      <c r="L31" s="105">
        <v>12255.17</v>
      </c>
      <c r="M31" s="78">
        <f t="shared" si="5"/>
        <v>682291.41</v>
      </c>
      <c r="N31" s="80">
        <v>67177.850000000006</v>
      </c>
      <c r="O31" s="81">
        <f>F31*0.18</f>
        <v>14039.82</v>
      </c>
      <c r="P31" s="82">
        <f>P47</f>
        <v>57965.247524903993</v>
      </c>
      <c r="Q31" s="83">
        <f>P31*0.18</f>
        <v>10433.744554482719</v>
      </c>
      <c r="R31" s="83">
        <f>N31+O31+Q31</f>
        <v>91651.414554482733</v>
      </c>
      <c r="S31" s="84">
        <f t="shared" si="7"/>
        <v>773942.82455448271</v>
      </c>
      <c r="T31" s="117">
        <f t="shared" si="8"/>
        <v>91651.414554482733</v>
      </c>
    </row>
    <row r="32" spans="1:20" ht="31.5" x14ac:dyDescent="0.2">
      <c r="A32" s="75">
        <v>11</v>
      </c>
      <c r="B32" s="76" t="s">
        <v>66</v>
      </c>
      <c r="C32" s="77" t="s">
        <v>43</v>
      </c>
      <c r="D32" s="78"/>
      <c r="E32" s="78">
        <f>265.206*1000</f>
        <v>265206</v>
      </c>
      <c r="F32" s="79">
        <f>7478.153*1000</f>
        <v>7478153</v>
      </c>
      <c r="G32" s="78"/>
      <c r="H32" s="78">
        <f t="shared" si="0"/>
        <v>7743359</v>
      </c>
      <c r="I32" s="78">
        <f t="shared" si="1"/>
        <v>3818.97</v>
      </c>
      <c r="J32" s="128">
        <f>ROUND(-I32*0.15,)-1.82</f>
        <v>-574.82000000000005</v>
      </c>
      <c r="K32" s="128">
        <f t="shared" si="3"/>
        <v>7746603.1499999994</v>
      </c>
      <c r="L32" s="129">
        <v>5557.44</v>
      </c>
      <c r="M32" s="78">
        <f t="shared" si="5"/>
        <v>7752160.5899999999</v>
      </c>
      <c r="N32" s="80">
        <v>8091.84</v>
      </c>
      <c r="O32" s="81">
        <f>F32*0.18</f>
        <v>1346067.54</v>
      </c>
      <c r="P32" s="82"/>
      <c r="Q32" s="86"/>
      <c r="R32" s="83">
        <f t="shared" si="6"/>
        <v>1354159.3800000001</v>
      </c>
      <c r="S32" s="84">
        <f t="shared" si="7"/>
        <v>9106319.9700000007</v>
      </c>
      <c r="T32" s="117">
        <f t="shared" si="8"/>
        <v>1354159.3800000001</v>
      </c>
    </row>
    <row r="33" spans="1:21" ht="36.75" customHeight="1" x14ac:dyDescent="0.2">
      <c r="A33" s="109">
        <v>1</v>
      </c>
      <c r="B33" s="110" t="s">
        <v>89</v>
      </c>
      <c r="C33" s="111" t="s">
        <v>90</v>
      </c>
      <c r="D33" s="112"/>
      <c r="E33" s="112"/>
      <c r="F33" s="112"/>
      <c r="G33" s="78">
        <f>34.472*1000</f>
        <v>34472</v>
      </c>
      <c r="H33" s="112">
        <f>1000*34.472</f>
        <v>34472</v>
      </c>
      <c r="I33" s="78">
        <f t="shared" si="1"/>
        <v>0</v>
      </c>
      <c r="J33" s="78">
        <f t="shared" si="2"/>
        <v>0</v>
      </c>
      <c r="K33" s="105">
        <v>0</v>
      </c>
      <c r="L33" s="113">
        <v>0</v>
      </c>
      <c r="M33" s="78">
        <f>H33</f>
        <v>34472</v>
      </c>
      <c r="N33" s="80">
        <v>0</v>
      </c>
      <c r="O33" s="80">
        <v>0</v>
      </c>
      <c r="P33" s="102"/>
      <c r="Q33" s="86"/>
      <c r="R33" s="83">
        <f t="shared" si="6"/>
        <v>0</v>
      </c>
      <c r="S33" s="84">
        <f t="shared" si="7"/>
        <v>34472</v>
      </c>
      <c r="T33" s="117">
        <f t="shared" si="8"/>
        <v>0</v>
      </c>
      <c r="U33" s="89"/>
    </row>
    <row r="34" spans="1:21" ht="72" customHeight="1" x14ac:dyDescent="0.2">
      <c r="A34" s="71"/>
      <c r="B34" s="72" t="s">
        <v>12</v>
      </c>
      <c r="C34" s="73" t="s">
        <v>13</v>
      </c>
      <c r="D34" s="74">
        <f>SUM(D22:D33)</f>
        <v>14457057</v>
      </c>
      <c r="E34" s="74">
        <f t="shared" ref="E34:R34" si="9">SUM(E22:E33)</f>
        <v>417860</v>
      </c>
      <c r="F34" s="74">
        <f t="shared" si="9"/>
        <v>7556152</v>
      </c>
      <c r="G34" s="74">
        <f t="shared" si="9"/>
        <v>34472</v>
      </c>
      <c r="H34" s="74">
        <f t="shared" si="9"/>
        <v>22465541</v>
      </c>
      <c r="I34" s="74">
        <f t="shared" si="9"/>
        <v>214198.79999999996</v>
      </c>
      <c r="J34" s="74">
        <f t="shared" si="9"/>
        <v>-32129.82</v>
      </c>
      <c r="K34" s="74">
        <f t="shared" si="9"/>
        <v>22613137.98</v>
      </c>
      <c r="L34" s="74">
        <f t="shared" si="9"/>
        <v>311679.61</v>
      </c>
      <c r="M34" s="74">
        <f>SUM(M22:M33)-0.01</f>
        <v>22959289.579999998</v>
      </c>
      <c r="N34" s="74">
        <f t="shared" si="9"/>
        <v>1237815.7500000002</v>
      </c>
      <c r="O34" s="74">
        <f t="shared" si="9"/>
        <v>1360107.36</v>
      </c>
      <c r="P34" s="74">
        <f t="shared" si="9"/>
        <v>713780.60752490396</v>
      </c>
      <c r="Q34" s="74">
        <f t="shared" si="9"/>
        <v>128480.50935448271</v>
      </c>
      <c r="R34" s="74">
        <f t="shared" si="9"/>
        <v>2726403.6193544827</v>
      </c>
      <c r="S34" s="84">
        <f t="shared" si="7"/>
        <v>25685693.199354481</v>
      </c>
      <c r="T34" s="114">
        <f t="shared" ref="T34" si="10">SUM(T22:T32)+0</f>
        <v>2726403.6193544827</v>
      </c>
      <c r="U34" s="89"/>
    </row>
    <row r="35" spans="1:21" s="124" customFormat="1" x14ac:dyDescent="0.2">
      <c r="A35" s="119"/>
      <c r="B35" s="120"/>
      <c r="C35" s="121"/>
      <c r="D35" s="122">
        <f t="shared" ref="D35:T35" si="11">D22+D23+D24+D25+D26+D27+D28+D29+D30+D31+D32+D33</f>
        <v>14457057</v>
      </c>
      <c r="E35" s="122">
        <f t="shared" si="11"/>
        <v>417860</v>
      </c>
      <c r="F35" s="122">
        <f>F22+F23+F24+F25+F26+F27+F28+F29+F30+F31+F32+F33</f>
        <v>7556152</v>
      </c>
      <c r="G35" s="122">
        <f t="shared" si="11"/>
        <v>34472</v>
      </c>
      <c r="H35" s="122">
        <f t="shared" si="11"/>
        <v>22465541</v>
      </c>
      <c r="I35" s="122">
        <f>I22+I23+I24+I25+I26+I27+I28+I29+I30+I31+I32+I33</f>
        <v>214198.79999999996</v>
      </c>
      <c r="J35" s="122">
        <f t="shared" si="11"/>
        <v>-32129.82</v>
      </c>
      <c r="K35" s="122">
        <f t="shared" si="11"/>
        <v>22613137.98</v>
      </c>
      <c r="L35" s="122">
        <f t="shared" si="11"/>
        <v>311679.61</v>
      </c>
      <c r="M35" s="122">
        <f>M22+M23+M24+M25+M26+M27+M28+M29+M30+M31+M32+M33-0.01</f>
        <v>22959289.579999998</v>
      </c>
      <c r="N35" s="122">
        <f t="shared" si="11"/>
        <v>1237815.7500000002</v>
      </c>
      <c r="O35" s="122">
        <f t="shared" si="11"/>
        <v>1360107.36</v>
      </c>
      <c r="P35" s="122">
        <f t="shared" si="11"/>
        <v>713780.60752490396</v>
      </c>
      <c r="Q35" s="122">
        <f t="shared" si="11"/>
        <v>128480.50935448271</v>
      </c>
      <c r="R35" s="122">
        <f t="shared" si="11"/>
        <v>2726403.6193544827</v>
      </c>
      <c r="S35" s="122">
        <f>S22+S23+S24+S25+S26+S27+S28+S29+S30+S31+S32+S33-0.01</f>
        <v>25685693.199354481</v>
      </c>
      <c r="T35" s="122">
        <f t="shared" si="11"/>
        <v>2726403.6193544827</v>
      </c>
      <c r="U35" s="123"/>
    </row>
    <row r="36" spans="1:21" x14ac:dyDescent="0.2">
      <c r="A36" s="115"/>
      <c r="B36" s="116" t="s">
        <v>50</v>
      </c>
      <c r="C36" s="116"/>
      <c r="D36" s="115"/>
      <c r="E36" s="65"/>
      <c r="F36" s="65"/>
      <c r="G36" s="65"/>
      <c r="H36" s="65"/>
      <c r="I36" s="66"/>
      <c r="J36" s="66"/>
      <c r="K36" s="67"/>
      <c r="L36" s="66"/>
      <c r="M36" s="66"/>
      <c r="N36" s="115"/>
      <c r="O36" s="115"/>
      <c r="P36" s="108">
        <f>(634.746*1000)</f>
        <v>634746</v>
      </c>
      <c r="R36" s="117">
        <f>N35+O35+Q35</f>
        <v>2726403.6193544832</v>
      </c>
      <c r="S36" s="117">
        <f>M35+R35</f>
        <v>25685693.199354481</v>
      </c>
    </row>
    <row r="37" spans="1:21" x14ac:dyDescent="0.2">
      <c r="C37" s="87"/>
      <c r="D37" s="117">
        <f>D35+E35+I35+J35</f>
        <v>15056985.98</v>
      </c>
      <c r="I37" s="69"/>
      <c r="J37" s="69"/>
      <c r="L37" s="69"/>
      <c r="M37" s="69"/>
      <c r="O37" s="117"/>
      <c r="P37" s="117">
        <f>P36*1.44/100</f>
        <v>9140.3423999999995</v>
      </c>
      <c r="Q37" s="117">
        <f>J37+P37</f>
        <v>9140.3423999999995</v>
      </c>
      <c r="T37" s="127">
        <f>S36-S35</f>
        <v>0</v>
      </c>
    </row>
    <row r="38" spans="1:21" ht="30" customHeight="1" x14ac:dyDescent="0.2">
      <c r="C38" s="91"/>
      <c r="P38" s="117">
        <f>-P37*0.15</f>
        <v>-1371.0513599999999</v>
      </c>
      <c r="Q38" s="85" t="s">
        <v>119</v>
      </c>
      <c r="R38" s="117">
        <f>R22+R23+R24+R25++R26+R27+N28+R29+R30+N31+N32</f>
        <v>1237815.7500000002</v>
      </c>
    </row>
    <row r="39" spans="1:21" ht="20.25" customHeight="1" x14ac:dyDescent="0.2">
      <c r="P39" s="117">
        <f>P28+P37+P38</f>
        <v>663584.65103999991</v>
      </c>
      <c r="Q39" s="85" t="s">
        <v>120</v>
      </c>
      <c r="R39" s="117">
        <f>Q28+Q31</f>
        <v>128480.50935448271</v>
      </c>
    </row>
    <row r="40" spans="1:21" x14ac:dyDescent="0.2">
      <c r="A40" s="194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17">
        <f>P39*2.07/100</f>
        <v>13736.202276527998</v>
      </c>
    </row>
    <row r="41" spans="1:21" x14ac:dyDescent="0.2">
      <c r="A41" s="195"/>
      <c r="B41" s="195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17">
        <f>P39+P40</f>
        <v>677320.85331652791</v>
      </c>
      <c r="Q41" s="85" t="s">
        <v>121</v>
      </c>
      <c r="R41" s="117">
        <f>O31+O32</f>
        <v>1360107.36</v>
      </c>
    </row>
    <row r="42" spans="1:21" x14ac:dyDescent="0.2">
      <c r="P42" s="56">
        <f>56.103*1000</f>
        <v>56103</v>
      </c>
    </row>
    <row r="43" spans="1:21" x14ac:dyDescent="0.2">
      <c r="D43" s="118"/>
      <c r="I43" s="118"/>
      <c r="J43" s="118"/>
      <c r="L43" s="118"/>
      <c r="M43" s="118"/>
      <c r="P43" s="117">
        <f>P42*1.44/100</f>
        <v>807.88319999999987</v>
      </c>
      <c r="Q43" s="85" t="s">
        <v>122</v>
      </c>
      <c r="R43" s="117">
        <f>R38+R39+R41</f>
        <v>2726403.6193544827</v>
      </c>
    </row>
    <row r="44" spans="1:21" x14ac:dyDescent="0.2">
      <c r="P44" s="117">
        <f>-P43*0.15</f>
        <v>-121.18247999999997</v>
      </c>
    </row>
    <row r="45" spans="1:21" x14ac:dyDescent="0.2">
      <c r="P45" s="117">
        <f>P42+P43+P44</f>
        <v>56789.700719999993</v>
      </c>
    </row>
    <row r="46" spans="1:21" x14ac:dyDescent="0.2">
      <c r="P46" s="117">
        <f>P45*2.07/100</f>
        <v>1175.5468049039998</v>
      </c>
    </row>
    <row r="47" spans="1:21" x14ac:dyDescent="0.2">
      <c r="P47" s="117">
        <f>P45+P46</f>
        <v>57965.247524903993</v>
      </c>
    </row>
  </sheetData>
  <mergeCells count="25">
    <mergeCell ref="C2:N2"/>
    <mergeCell ref="C8:N8"/>
    <mergeCell ref="A16:A19"/>
    <mergeCell ref="B16:B19"/>
    <mergeCell ref="C16:C19"/>
    <mergeCell ref="D16:H16"/>
    <mergeCell ref="N16:N19"/>
    <mergeCell ref="I17:I19"/>
    <mergeCell ref="J17:J19"/>
    <mergeCell ref="K17:K19"/>
    <mergeCell ref="Q16:Q19"/>
    <mergeCell ref="R16:R19"/>
    <mergeCell ref="S16:S19"/>
    <mergeCell ref="D17:D19"/>
    <mergeCell ref="E17:E19"/>
    <mergeCell ref="F17:F19"/>
    <mergeCell ref="G17:G19"/>
    <mergeCell ref="H17:H19"/>
    <mergeCell ref="L17:L19"/>
    <mergeCell ref="M17:M19"/>
    <mergeCell ref="A21:O21"/>
    <mergeCell ref="A40:O40"/>
    <mergeCell ref="A41:O41"/>
    <mergeCell ref="O16:O19"/>
    <mergeCell ref="P16:P19"/>
  </mergeCells>
  <pageMargins left="0.7" right="0.7" top="0.75" bottom="0.75" header="0.3" footer="0.3"/>
  <pageSetup paperSize="8" scale="55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  ОБЩ</vt:lpstr>
      <vt:lpstr> Лит.А  Расчет НДС </vt:lpstr>
      <vt:lpstr>Лист1</vt:lpstr>
      <vt:lpstr>' Лит.А  Расчет НДС '!Область_печати</vt:lpstr>
      <vt:lpstr>Лист1!Область_печати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Соседко А.Н.</dc:creator>
  <cp:lastModifiedBy>Логинова Ирина</cp:lastModifiedBy>
  <cp:lastPrinted>2017-10-09T08:08:27Z</cp:lastPrinted>
  <dcterms:created xsi:type="dcterms:W3CDTF">2003-01-28T12:33:10Z</dcterms:created>
  <dcterms:modified xsi:type="dcterms:W3CDTF">2019-03-01T13:32:51Z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