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" yWindow="90" windowWidth="15480" windowHeight="7500"/>
  </bookViews>
  <sheets>
    <sheet name="БАЗА+ТЕК 2013г. МАЙ  (5)" sheetId="49" r:id="rId1"/>
  </sheets>
  <definedNames>
    <definedName name="_xlnm.Print_Titles" localSheetId="0">'БАЗА+ТЕК 2013г. МАЙ  (5)'!$13:$13</definedName>
    <definedName name="_xlnm.Print_Area" localSheetId="0">'БАЗА+ТЕК 2013г. МАЙ  (5)'!$A$1:$V$187</definedName>
  </definedNames>
  <calcPr calcId="145621" refMode="R1C1" fullPrecision="0"/>
</workbook>
</file>

<file path=xl/calcChain.xml><?xml version="1.0" encoding="utf-8"?>
<calcChain xmlns="http://schemas.openxmlformats.org/spreadsheetml/2006/main">
  <c r="U172" i="49" l="1"/>
  <c r="S116" i="49" l="1"/>
  <c r="R116" i="49"/>
  <c r="U116" i="49"/>
  <c r="U110" i="49"/>
  <c r="T141" i="49"/>
  <c r="T172" i="49"/>
  <c r="S100" i="49"/>
  <c r="S98" i="49"/>
  <c r="U102" i="49"/>
  <c r="S84" i="49"/>
  <c r="V160" i="49" l="1"/>
  <c r="V165" i="49"/>
  <c r="R167" i="49"/>
  <c r="U167" i="49"/>
  <c r="V167" i="49" s="1"/>
  <c r="R168" i="49"/>
  <c r="T40" i="49"/>
  <c r="T50" i="49"/>
  <c r="T52" i="49" s="1"/>
  <c r="R34" i="49"/>
  <c r="V34" i="49" s="1"/>
  <c r="R35" i="49"/>
  <c r="V35" i="49" s="1"/>
  <c r="R36" i="49"/>
  <c r="R37" i="49"/>
  <c r="R38" i="49"/>
  <c r="V38" i="49" s="1"/>
  <c r="R39" i="49"/>
  <c r="R40" i="49"/>
  <c r="R41" i="49"/>
  <c r="V41" i="49" s="1"/>
  <c r="R42" i="49"/>
  <c r="R43" i="49"/>
  <c r="R45" i="49"/>
  <c r="R46" i="49"/>
  <c r="S36" i="49"/>
  <c r="S52" i="49" s="1"/>
  <c r="S37" i="49"/>
  <c r="S39" i="49"/>
  <c r="S40" i="49"/>
  <c r="S42" i="49"/>
  <c r="S44" i="49"/>
  <c r="V44" i="49" s="1"/>
  <c r="S45" i="49"/>
  <c r="S46" i="49"/>
  <c r="S47" i="49"/>
  <c r="V47" i="49" s="1"/>
  <c r="S48" i="49"/>
  <c r="S49" i="49"/>
  <c r="S50" i="49"/>
  <c r="V50" i="49" s="1"/>
  <c r="U52" i="49"/>
  <c r="V51" i="49"/>
  <c r="R20" i="49"/>
  <c r="R28" i="49"/>
  <c r="R58" i="49"/>
  <c r="R60" i="49" s="1"/>
  <c r="R64" i="49"/>
  <c r="R65" i="49"/>
  <c r="R70" i="49" s="1"/>
  <c r="R66" i="49"/>
  <c r="V66" i="49" s="1"/>
  <c r="R67" i="49"/>
  <c r="V67" i="49" s="1"/>
  <c r="R74" i="49"/>
  <c r="R76" i="49"/>
  <c r="R86" i="49"/>
  <c r="R96" i="49" s="1"/>
  <c r="S20" i="49"/>
  <c r="S28" i="49"/>
  <c r="S58" i="49"/>
  <c r="S60" i="49" s="1"/>
  <c r="S64" i="49"/>
  <c r="S70" i="49" s="1"/>
  <c r="S66" i="49"/>
  <c r="S67" i="49"/>
  <c r="S78" i="49"/>
  <c r="S86" i="49"/>
  <c r="S96" i="49" s="1"/>
  <c r="V16" i="49"/>
  <c r="V18" i="49"/>
  <c r="V19" i="49"/>
  <c r="V23" i="49"/>
  <c r="V24" i="49"/>
  <c r="V65" i="49"/>
  <c r="V74" i="49"/>
  <c r="V78" i="49" s="1"/>
  <c r="V76" i="49"/>
  <c r="V104" i="49"/>
  <c r="V108" i="49"/>
  <c r="V110" i="49"/>
  <c r="U114" i="49"/>
  <c r="V114" i="49" s="1"/>
  <c r="U136" i="49"/>
  <c r="T116" i="49"/>
  <c r="T20" i="49"/>
  <c r="T30" i="49" s="1"/>
  <c r="T28" i="49"/>
  <c r="T60" i="49"/>
  <c r="T70" i="49"/>
  <c r="T78" i="49"/>
  <c r="T88" i="49"/>
  <c r="T124" i="49"/>
  <c r="V132" i="49"/>
  <c r="V130" i="49"/>
  <c r="V138" i="49" s="1"/>
  <c r="D116" i="49"/>
  <c r="D130" i="49" s="1"/>
  <c r="U20" i="49"/>
  <c r="U28" i="49"/>
  <c r="U30" i="49" s="1"/>
  <c r="U54" i="49" s="1"/>
  <c r="U80" i="49" s="1"/>
  <c r="U90" i="49" s="1"/>
  <c r="V37" i="49"/>
  <c r="V39" i="49"/>
  <c r="V43" i="49"/>
  <c r="V45" i="49"/>
  <c r="V46" i="49"/>
  <c r="V48" i="49"/>
  <c r="V49" i="49"/>
  <c r="D52" i="49"/>
  <c r="I52" i="49" s="1"/>
  <c r="G54" i="49"/>
  <c r="U60" i="49"/>
  <c r="U70" i="49"/>
  <c r="U78" i="49"/>
  <c r="U88" i="49"/>
  <c r="D94" i="49"/>
  <c r="I94" i="49" s="1"/>
  <c r="D96" i="49"/>
  <c r="I96" i="49" s="1"/>
  <c r="G102" i="49"/>
  <c r="I102" i="49" s="1"/>
  <c r="G106" i="49"/>
  <c r="I106" i="49" s="1"/>
  <c r="G108" i="49"/>
  <c r="I108" i="49" s="1"/>
  <c r="G116" i="49"/>
  <c r="G118" i="49" s="1"/>
  <c r="I116" i="49"/>
  <c r="D122" i="49"/>
  <c r="I122" i="49" s="1"/>
  <c r="R124" i="49"/>
  <c r="S124" i="49"/>
  <c r="G126" i="49"/>
  <c r="D134" i="49"/>
  <c r="I134" i="49" s="1"/>
  <c r="D136" i="49"/>
  <c r="I136" i="49"/>
  <c r="V136" i="49"/>
  <c r="R138" i="49"/>
  <c r="S138" i="49"/>
  <c r="T138" i="49"/>
  <c r="D141" i="49"/>
  <c r="I141" i="49" s="1"/>
  <c r="G141" i="49"/>
  <c r="G143" i="49"/>
  <c r="V106" i="49"/>
  <c r="V122" i="49"/>
  <c r="V124" i="49" s="1"/>
  <c r="U124" i="49"/>
  <c r="V134" i="49"/>
  <c r="U138" i="49"/>
  <c r="R78" i="49"/>
  <c r="V28" i="49"/>
  <c r="D124" i="49"/>
  <c r="D126" i="49" s="1"/>
  <c r="I126" i="49" s="1"/>
  <c r="S54" i="49" l="1"/>
  <c r="S80" i="49" s="1"/>
  <c r="S88" i="49" s="1"/>
  <c r="S90" i="49" s="1"/>
  <c r="V20" i="49"/>
  <c r="V30" i="49" s="1"/>
  <c r="R100" i="49"/>
  <c r="D60" i="49"/>
  <c r="I60" i="49" s="1"/>
  <c r="D143" i="49"/>
  <c r="I143" i="49" s="1"/>
  <c r="S30" i="49"/>
  <c r="V64" i="49"/>
  <c r="U168" i="49"/>
  <c r="V168" i="49" s="1"/>
  <c r="V96" i="49"/>
  <c r="R52" i="49"/>
  <c r="D54" i="49"/>
  <c r="V58" i="49"/>
  <c r="V60" i="49" s="1"/>
  <c r="R30" i="49"/>
  <c r="R54" i="49" s="1"/>
  <c r="R80" i="49" s="1"/>
  <c r="V36" i="49"/>
  <c r="V86" i="49"/>
  <c r="V42" i="49"/>
  <c r="D138" i="49"/>
  <c r="I130" i="49"/>
  <c r="V52" i="49"/>
  <c r="V54" i="49" s="1"/>
  <c r="T54" i="49"/>
  <c r="T80" i="49" s="1"/>
  <c r="T90" i="49" s="1"/>
  <c r="T118" i="49" s="1"/>
  <c r="V70" i="49"/>
  <c r="I124" i="49"/>
  <c r="G140" i="49"/>
  <c r="D118" i="49"/>
  <c r="I118" i="49" s="1"/>
  <c r="V40" i="49"/>
  <c r="D70" i="49" l="1"/>
  <c r="I70" i="49" s="1"/>
  <c r="I54" i="49"/>
  <c r="V100" i="49"/>
  <c r="S94" i="49"/>
  <c r="D140" i="49"/>
  <c r="I140" i="49" s="1"/>
  <c r="I138" i="49"/>
  <c r="T126" i="49"/>
  <c r="T140" i="49" s="1"/>
  <c r="U112" i="49"/>
  <c r="R84" i="49"/>
  <c r="V80" i="49"/>
  <c r="R88" i="49" l="1"/>
  <c r="R90" i="49" s="1"/>
  <c r="V84" i="49"/>
  <c r="V88" i="49" s="1"/>
  <c r="U153" i="49"/>
  <c r="V153" i="49" s="1"/>
  <c r="V112" i="49"/>
  <c r="T143" i="49"/>
  <c r="S118" i="49"/>
  <c r="S126" i="49" s="1"/>
  <c r="S140" i="49" s="1"/>
  <c r="V90" i="49"/>
  <c r="T170" i="49" l="1"/>
  <c r="T151" i="49"/>
  <c r="S141" i="49"/>
  <c r="S143" i="49" s="1"/>
  <c r="S172" i="49" s="1"/>
  <c r="R94" i="49"/>
  <c r="R98" i="49"/>
  <c r="V98" i="49" s="1"/>
  <c r="R118" i="49" l="1"/>
  <c r="R126" i="49" s="1"/>
  <c r="R140" i="49" s="1"/>
  <c r="V94" i="49"/>
  <c r="V102" i="49"/>
  <c r="U118" i="49"/>
  <c r="U126" i="49" s="1"/>
  <c r="U140" i="49" s="1"/>
  <c r="S150" i="49"/>
  <c r="S156" i="49" s="1"/>
  <c r="S158" i="49" s="1"/>
  <c r="S170" i="49"/>
  <c r="T156" i="49"/>
  <c r="T158" i="49" s="1"/>
  <c r="V151" i="49"/>
  <c r="R141" i="49" l="1"/>
  <c r="R143" i="49" s="1"/>
  <c r="R172" i="49" s="1"/>
  <c r="U152" i="49"/>
  <c r="U141" i="49"/>
  <c r="V116" i="49"/>
  <c r="V118" i="49" s="1"/>
  <c r="V126" i="49" s="1"/>
  <c r="V140" i="49" s="1"/>
  <c r="U143" i="49" l="1"/>
  <c r="U170" i="49" s="1"/>
  <c r="V172" i="49"/>
  <c r="V180" i="49" s="1"/>
  <c r="R170" i="49"/>
  <c r="R150" i="49"/>
  <c r="V152" i="49"/>
  <c r="U156" i="49"/>
  <c r="U158" i="49" s="1"/>
  <c r="V141" i="49"/>
  <c r="V143" i="49" s="1"/>
  <c r="V170" i="49" l="1"/>
  <c r="V150" i="49"/>
  <c r="R156" i="49"/>
  <c r="R158" i="49" l="1"/>
  <c r="V158" i="49" s="1"/>
  <c r="V156" i="49"/>
</calcChain>
</file>

<file path=xl/comments1.xml><?xml version="1.0" encoding="utf-8"?>
<comments xmlns="http://schemas.openxmlformats.org/spreadsheetml/2006/main">
  <authors>
    <author>...</author>
  </authors>
  <commentList>
    <comment ref="F12" authorId="0">
      <text>
        <r>
          <rPr>
            <b/>
            <sz val="8"/>
            <color indexed="81"/>
            <rFont val="Tahoma"/>
            <family val="2"/>
            <charset val="204"/>
          </rPr>
          <t>...: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<sst xmlns="http://schemas.openxmlformats.org/spreadsheetml/2006/main" count="147" uniqueCount="134">
  <si>
    <t>Прочие затраты</t>
  </si>
  <si>
    <t>Всего</t>
  </si>
  <si>
    <t>№ п/п</t>
  </si>
  <si>
    <t xml:space="preserve"> </t>
  </si>
  <si>
    <t>Строите- льные работы</t>
  </si>
  <si>
    <t>Монта-жные работы</t>
  </si>
  <si>
    <t>Обору-дова-ние</t>
  </si>
  <si>
    <t>Строй-монтаж-  ные работы</t>
  </si>
  <si>
    <t>Строите-льные работы</t>
  </si>
  <si>
    <t>Наименование глав, работ и затрат</t>
  </si>
  <si>
    <t>Итого по главе II.</t>
  </si>
  <si>
    <t>Индекс перехода к 1991 г.</t>
  </si>
  <si>
    <t>Стоимость в ценах 2001 г. тыс.руб.</t>
  </si>
  <si>
    <t>Глава II.  Объекты основного назначения</t>
  </si>
  <si>
    <t>Итого по главе IX.</t>
  </si>
  <si>
    <t>Обору-дование</t>
  </si>
  <si>
    <t>Глава IX. Прочие работы и затраты</t>
  </si>
  <si>
    <t>Итого по главам I - IX.</t>
  </si>
  <si>
    <t>Итого по главе  X.</t>
  </si>
  <si>
    <t>Итого по главам I - X.</t>
  </si>
  <si>
    <t>Итого по главе  XII.</t>
  </si>
  <si>
    <t>Итого по главам I - XII.</t>
  </si>
  <si>
    <t>Авторский надзор 0,2%</t>
  </si>
  <si>
    <t>Постан. Госстроя               №1336-ВК/1-Д</t>
  </si>
  <si>
    <t>Итого по главе VII.</t>
  </si>
  <si>
    <t>Обоснование</t>
  </si>
  <si>
    <t>Глава I. Подготовка территории строительства</t>
  </si>
  <si>
    <t>Итого по главе I.</t>
  </si>
  <si>
    <t>Итого по главам I - II.</t>
  </si>
  <si>
    <t xml:space="preserve">Глава VII. Благоустройство и озеленение территории </t>
  </si>
  <si>
    <t>МДС81-35-2004 п.4.96</t>
  </si>
  <si>
    <t>Постановление  Госстроя России от 05.03.2007г.      № 145</t>
  </si>
  <si>
    <t>Итого по главам I - VII.</t>
  </si>
  <si>
    <t>Глава VIII. Временные здания и сооружения</t>
  </si>
  <si>
    <t>Итого по главе VIII.</t>
  </si>
  <si>
    <t>Итого по главам I - VIII.</t>
  </si>
  <si>
    <t>МДС 81.35.2004г.п.4.91</t>
  </si>
  <si>
    <t>Глава  XII.   Проектно-изыскательские работы, авторский надзор</t>
  </si>
  <si>
    <t>Стоимость в ценах 2001 г., тыс.руб.</t>
  </si>
  <si>
    <t>1.1 Разбивка осей сооружений</t>
  </si>
  <si>
    <t>Итого по п. 1.1</t>
  </si>
  <si>
    <t>1.2 Подготовительные работы</t>
  </si>
  <si>
    <t>Итого по п. 1.2</t>
  </si>
  <si>
    <t>Глава  X.   Содержание службы заказчика. Строительный контроль</t>
  </si>
  <si>
    <t>Итого по сводному сметному расчету в ценах 2001 г.</t>
  </si>
  <si>
    <t>Пост.№117-Ф3 от 07.02.2003г.</t>
  </si>
  <si>
    <t xml:space="preserve">Временные здания и сооружения ВЛ 3,3% </t>
  </si>
  <si>
    <t>ГСН 81-05-01-2001г. п.2.5</t>
  </si>
  <si>
    <t>ГСН-81-05-02-2007 г. тб.4 п.2.7</t>
  </si>
  <si>
    <t>Открытая часть</t>
  </si>
  <si>
    <t>Здание фильтра 5 гармоники</t>
  </si>
  <si>
    <t>Кабельное хозяйство</t>
  </si>
  <si>
    <t>Шунтирующий реактор</t>
  </si>
  <si>
    <t>Проходная</t>
  </si>
  <si>
    <t>Гибкие связи</t>
  </si>
  <si>
    <t>Промышленное телевидение</t>
  </si>
  <si>
    <t>Работы на ПС Надым</t>
  </si>
  <si>
    <t>Глава V. Объекты транспортного хозяйства и связи</t>
  </si>
  <si>
    <t>Антенная опора АО-50</t>
  </si>
  <si>
    <t>Итого по главе V.</t>
  </si>
  <si>
    <t>Насосная станция первого и второго подъема</t>
  </si>
  <si>
    <t>Наружные сети и сооружения</t>
  </si>
  <si>
    <t>Итого по главе VI.</t>
  </si>
  <si>
    <t>Средства связи, ВЧ каналы РЗ, телемеханика, АИИС КУЭ</t>
  </si>
  <si>
    <t xml:space="preserve">Временные здания и сооружения ПС 3,9% </t>
  </si>
  <si>
    <t>ГСН 81-05-01-2001г. прил.1 п.2.6</t>
  </si>
  <si>
    <t>Отвод земельного участка ПС</t>
  </si>
  <si>
    <t>Отвод земельного участка под временный поселок</t>
  </si>
  <si>
    <t>Геодезические разбивочные работы</t>
  </si>
  <si>
    <t>ГСН-81-05-02-2007 г. тб.4 п.2.4</t>
  </si>
  <si>
    <t>ГСН-81-05-02-2007 г. тб.2</t>
  </si>
  <si>
    <t>Затраты на снегоборьбу ПС 0,4%</t>
  </si>
  <si>
    <t>Затраты на снегоборьбу ВЛ 0,4%</t>
  </si>
  <si>
    <t>Дополнительные затраты на вахтовый метод строительства</t>
  </si>
  <si>
    <t>Расчет № 1, 2</t>
  </si>
  <si>
    <t>МДС 81-35.2004</t>
  </si>
  <si>
    <t>Письмо Министерства рег.развития РФ №32885-ИМ/08 от 10.12.2008г.</t>
  </si>
  <si>
    <t>Затраты связанные с премированием за ввод в действие построенных объектов для ПС 2,4%</t>
  </si>
  <si>
    <t>Здание ЗРУ 110 кВ, БСК, ОПУ</t>
  </si>
  <si>
    <t>Здание ЗРУ 220 кВ</t>
  </si>
  <si>
    <t>Телемеханика</t>
  </si>
  <si>
    <t>Маслосборник емкостью 100 м3 (2шт)</t>
  </si>
  <si>
    <t>Благоустройство</t>
  </si>
  <si>
    <t>Внутриплощадочные автопроезды и площадки</t>
  </si>
  <si>
    <t>Подготовительные работы</t>
  </si>
  <si>
    <t>Глава VI. Наружные сети и сооружения водоснабжения, канализации, теплоснабжения и газоснабжения</t>
  </si>
  <si>
    <t xml:space="preserve">Средства на организацию и проведение подрядных торгов </t>
  </si>
  <si>
    <t xml:space="preserve">МДС 81-11.2000 Расчет </t>
  </si>
  <si>
    <t>(177325/1,266/1000=140,07)</t>
  </si>
  <si>
    <t xml:space="preserve">Затраты при производстве строительно-монтажных работ в зимнее время ПС (Кз=4,3; Ктемп.=1,5; Кветер=1,05)         </t>
  </si>
  <si>
    <t xml:space="preserve">Затраты при производстве строительно-монтажных работ в зимнее время ВЛ (Кз=1,7; Ктемп.=1,5; Кветер=1,05) </t>
  </si>
  <si>
    <t>Затраты связанные с премированием за ввод в действие построенных объектов для ВЛ 2,13%</t>
  </si>
  <si>
    <t>ОРУ 110кВ</t>
  </si>
  <si>
    <t>Артскважина</t>
  </si>
  <si>
    <t>Каналы связи по ВОЛС</t>
  </si>
  <si>
    <t xml:space="preserve">Проектные работы </t>
  </si>
  <si>
    <t>Расчет №3</t>
  </si>
  <si>
    <t>Экспертиза проектов 2,01%</t>
  </si>
  <si>
    <t xml:space="preserve">Изыскательские работы </t>
  </si>
  <si>
    <t>Устройство насыпи под временный поселок</t>
  </si>
  <si>
    <t>ОРУ 220кВ</t>
  </si>
  <si>
    <t>Доставка оборудования</t>
  </si>
  <si>
    <t>Пусконаладочные работы (7%) с К=0,8</t>
  </si>
  <si>
    <t>Данные Заказчика</t>
  </si>
  <si>
    <t>Затраты на ввод объекта в эксплуатацию (техническая инвентаризация, изготовление документов кадастрового и технического учета)</t>
  </si>
  <si>
    <t xml:space="preserve">Непредвиденные работы и затраты 1,5%  </t>
  </si>
  <si>
    <t>Индекс пересчета ПНР =19,50*1,005</t>
  </si>
  <si>
    <t>Индекс пересчета  СМР - 6,83*1,005</t>
  </si>
  <si>
    <t>Индекс пересчета  "К"оборудования = 3,82</t>
  </si>
  <si>
    <t xml:space="preserve">НДС 18% </t>
  </si>
  <si>
    <t>Итого по сводному сметному расчету в текущих ценах на  4 квартал 2012 г.</t>
  </si>
  <si>
    <t xml:space="preserve">Итого в ценах 2001г на 2013г. </t>
  </si>
  <si>
    <t>Итого в текущих ценах на 2013г.(СМР 6,83*1,005 Проч.-7,53)</t>
  </si>
  <si>
    <t xml:space="preserve">Итого в ценах 2001г на 2014г </t>
  </si>
  <si>
    <t xml:space="preserve">Текущие цены на 4 кв. 2012 г. </t>
  </si>
  <si>
    <t>Приложение №1, 3,4,5 к письму Минрегиона России №2836-ИП/12/ГС от 03.12.2012г.</t>
  </si>
  <si>
    <t>Письмо Минрегиона России №2836-ИП/12/ГС от 03.12.2012г.</t>
  </si>
  <si>
    <t>Прогноз Минэкономразвития на 2013 год</t>
  </si>
  <si>
    <t>В текущих ценах на 2013г с учетом индекса дефлятора 1,072</t>
  </si>
  <si>
    <t>Прогноз Минэкономразвития на 2014 год</t>
  </si>
  <si>
    <t>В текущих ценах на 2014г с учетом индекса дефлятора 1,07</t>
  </si>
  <si>
    <t>НДС 18%</t>
  </si>
  <si>
    <t>Всего по объекту в текущих ценах без НДС</t>
  </si>
  <si>
    <t xml:space="preserve">Всего по объекту в текущих ценах с учетом НДС </t>
  </si>
  <si>
    <t>Индекс пересчета  "К" прочих = 7,53 (без ПИР)  "К" изыск.-3,64</t>
  </si>
  <si>
    <t>СВОДНАЯ ТАБЛИЦА СТОИМОСТИ РАБОТ</t>
  </si>
  <si>
    <t>Приложение №1</t>
  </si>
  <si>
    <t>к договору подряда №__________</t>
  </si>
  <si>
    <t>от"___" ______________201_ г.</t>
  </si>
  <si>
    <t>**Итоговая сумма затрат на страхование должна составлять не более  1% (одного процента) от полной стоимости работ по договору подряда.</t>
  </si>
  <si>
    <t>**Средства на покрытие затрат на страхование строительных рисков до 2%  от итогов по  графам 4 и 5  глав 1-8 ССР</t>
  </si>
  <si>
    <t>Итого по сводной таблице в текущих ценах: Ксмр=……; Кобор.=……..; Кпроч.=……..Кпнр=……</t>
  </si>
  <si>
    <t xml:space="preserve">ВЛ </t>
  </si>
  <si>
    <t xml:space="preserve">Установка оборудования ВЧ связи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</si>
</sst>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#,##0.0"/>
    <numFmt numFmtId="166" formatCode="#,##0.000_ ;\-#,##0.000\ "/>
    <numFmt numFmtId="167" formatCode="_-* #,##0.000_р_._-;\-* #,##0.000_р_._-;_-* &quot;-&quot;??_р_._-;_-@_-"/>
    <numFmt numFmtId="168" formatCode="#,##0.00_ ;\-#,##0.0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Fill="1"/>
    <xf numFmtId="167" fontId="4" fillId="0" borderId="0" xfId="2" applyNumberFormat="1" applyFont="1" applyFill="1"/>
    <xf numFmtId="164" fontId="4" fillId="0" borderId="0" xfId="0" applyNumberFormat="1" applyFont="1" applyFill="1"/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/>
    <xf numFmtId="0" fontId="0" fillId="0" borderId="0" xfId="0" applyFont="1" applyFill="1"/>
    <xf numFmtId="2" fontId="4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168" fontId="0" fillId="0" borderId="0" xfId="0" applyNumberFormat="1" applyFont="1" applyFill="1" applyAlignment="1">
      <alignment vertical="center"/>
    </xf>
    <xf numFmtId="2" fontId="0" fillId="0" borderId="0" xfId="0" applyNumberFormat="1" applyFont="1" applyFill="1" applyAlignment="1">
      <alignment horizontal="center" vertical="center"/>
    </xf>
    <xf numFmtId="43" fontId="1" fillId="0" borderId="0" xfId="2" applyFont="1" applyFill="1"/>
    <xf numFmtId="43" fontId="1" fillId="0" borderId="0" xfId="2" applyFont="1" applyFill="1" applyBorder="1" applyAlignment="1">
      <alignment horizontal="center"/>
    </xf>
    <xf numFmtId="167" fontId="1" fillId="0" borderId="0" xfId="2" applyNumberFormat="1" applyFont="1" applyFill="1" applyAlignment="1">
      <alignment horizontal="center" vertical="center"/>
    </xf>
    <xf numFmtId="167" fontId="1" fillId="0" borderId="0" xfId="2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left"/>
    </xf>
    <xf numFmtId="164" fontId="7" fillId="0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164" fontId="7" fillId="0" borderId="0" xfId="0" applyNumberFormat="1" applyFont="1" applyFill="1" applyAlignment="1">
      <alignment horizontal="left"/>
    </xf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68" fontId="7" fillId="0" borderId="1" xfId="2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168" fontId="7" fillId="0" borderId="1" xfId="2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/>
    </xf>
    <xf numFmtId="168" fontId="8" fillId="0" borderId="1" xfId="2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/>
    <xf numFmtId="164" fontId="9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left"/>
    </xf>
    <xf numFmtId="164" fontId="11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wrapText="1"/>
    </xf>
    <xf numFmtId="165" fontId="7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4" fontId="8" fillId="0" borderId="1" xfId="2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/>
    <xf numFmtId="4" fontId="7" fillId="0" borderId="1" xfId="0" applyNumberFormat="1" applyFont="1" applyFill="1" applyBorder="1" applyAlignment="1"/>
    <xf numFmtId="0" fontId="8" fillId="0" borderId="0" xfId="0" applyFont="1" applyFill="1" applyBorder="1"/>
    <xf numFmtId="0" fontId="7" fillId="0" borderId="0" xfId="0" applyFont="1" applyFill="1" applyBorder="1" applyAlignment="1">
      <alignment horizontal="right" vertical="top"/>
    </xf>
    <xf numFmtId="0" fontId="13" fillId="0" borderId="0" xfId="0" applyFont="1" applyAlignment="1"/>
    <xf numFmtId="0" fontId="13" fillId="0" borderId="0" xfId="0" applyFont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8" fillId="0" borderId="0" xfId="0" applyFont="1"/>
    <xf numFmtId="164" fontId="7" fillId="0" borderId="2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wrapText="1"/>
    </xf>
    <xf numFmtId="164" fontId="7" fillId="0" borderId="3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7" fillId="0" borderId="0" xfId="0" applyNumberFormat="1" applyFont="1" applyFill="1" applyAlignment="1">
      <alignment horizontal="center"/>
    </xf>
    <xf numFmtId="0" fontId="8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796"/>
  <sheetViews>
    <sheetView tabSelected="1" view="pageBreakPreview" topLeftCell="A114" zoomScale="115" zoomScaleNormal="100" zoomScaleSheetLayoutView="115" workbookViewId="0">
      <selection activeCell="R144" sqref="R144"/>
    </sheetView>
  </sheetViews>
  <sheetFormatPr defaultRowHeight="12.75" x14ac:dyDescent="0.2"/>
  <cols>
    <col min="1" max="1" width="3.28515625" style="7" customWidth="1"/>
    <col min="2" max="2" width="17.7109375" style="7" customWidth="1"/>
    <col min="3" max="3" width="57.5703125" style="7" customWidth="1"/>
    <col min="4" max="4" width="18.85546875" style="7" hidden="1" customWidth="1"/>
    <col min="5" max="5" width="7.85546875" style="7" hidden="1" customWidth="1"/>
    <col min="6" max="6" width="8.140625" style="7" hidden="1" customWidth="1"/>
    <col min="7" max="7" width="8.28515625" style="7" hidden="1" customWidth="1"/>
    <col min="8" max="8" width="9.140625" style="7" hidden="1" customWidth="1"/>
    <col min="9" max="9" width="10.42578125" style="7" hidden="1" customWidth="1"/>
    <col min="10" max="10" width="9.140625" style="7" hidden="1" customWidth="1"/>
    <col min="11" max="11" width="6.5703125" style="7" hidden="1" customWidth="1"/>
    <col min="12" max="12" width="0.140625" style="7" hidden="1" customWidth="1"/>
    <col min="13" max="16" width="9.140625" style="7" hidden="1" customWidth="1"/>
    <col min="17" max="17" width="0.28515625" style="7" hidden="1" customWidth="1"/>
    <col min="18" max="18" width="13" style="7" customWidth="1"/>
    <col min="19" max="19" width="12.28515625" style="7" customWidth="1"/>
    <col min="20" max="20" width="13" style="7" customWidth="1"/>
    <col min="21" max="21" width="11.7109375" style="7" customWidth="1"/>
    <col min="22" max="22" width="16.7109375" style="9" customWidth="1"/>
    <col min="23" max="23" width="14.42578125" style="7" customWidth="1"/>
    <col min="24" max="24" width="14" style="7" bestFit="1" customWidth="1"/>
    <col min="25" max="16384" width="9.140625" style="7"/>
  </cols>
  <sheetData>
    <row r="1" spans="1:24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12" t="s">
        <v>126</v>
      </c>
      <c r="V1" s="112"/>
      <c r="W1" s="112"/>
    </row>
    <row r="2" spans="1:24" x14ac:dyDescent="0.2">
      <c r="A2" s="96"/>
      <c r="B2" s="21"/>
      <c r="C2" s="96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12" t="s">
        <v>127</v>
      </c>
      <c r="V2" s="112"/>
      <c r="W2" s="112"/>
    </row>
    <row r="3" spans="1:24" ht="15.75" customHeight="1" x14ac:dyDescent="0.2">
      <c r="A3" s="23"/>
      <c r="B3" s="23"/>
      <c r="C3" s="97"/>
      <c r="D3" s="23"/>
      <c r="E3" s="23"/>
      <c r="F3" s="23"/>
      <c r="G3" s="23"/>
      <c r="H3" s="23"/>
      <c r="I3" s="2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13" t="s">
        <v>128</v>
      </c>
      <c r="V3" s="113"/>
      <c r="W3" s="113"/>
    </row>
    <row r="4" spans="1:24" ht="10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4" ht="9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4" s="10" customFormat="1" ht="21" customHeight="1" x14ac:dyDescent="0.2">
      <c r="A6" s="114" t="s">
        <v>125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15"/>
      <c r="S6" s="115"/>
      <c r="T6" s="115"/>
      <c r="U6" s="115"/>
      <c r="V6" s="115"/>
    </row>
    <row r="7" spans="1:24" s="10" customFormat="1" ht="16.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</row>
    <row r="8" spans="1:24" ht="28.5" customHeight="1" x14ac:dyDescent="0.2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24" ht="6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</row>
    <row r="10" spans="1:24" x14ac:dyDescent="0.2">
      <c r="A10" s="26"/>
      <c r="B10" s="24"/>
      <c r="C10" s="24"/>
      <c r="D10" s="24"/>
      <c r="E10" s="24"/>
      <c r="F10" s="24"/>
      <c r="G10" s="24"/>
      <c r="H10" s="24"/>
      <c r="I10" s="2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</row>
    <row r="11" spans="1:24" ht="15.75" customHeight="1" x14ac:dyDescent="0.2">
      <c r="A11" s="118" t="s">
        <v>2</v>
      </c>
      <c r="B11" s="118" t="s">
        <v>25</v>
      </c>
      <c r="C11" s="118" t="s">
        <v>9</v>
      </c>
      <c r="D11" s="117" t="s">
        <v>12</v>
      </c>
      <c r="E11" s="117"/>
      <c r="F11" s="117"/>
      <c r="G11" s="117"/>
      <c r="H11" s="117"/>
      <c r="I11" s="117"/>
      <c r="J11" s="117" t="s">
        <v>11</v>
      </c>
      <c r="K11" s="117"/>
      <c r="L11" s="117"/>
      <c r="M11" s="117"/>
      <c r="N11" s="117"/>
      <c r="O11" s="117"/>
      <c r="P11" s="117"/>
      <c r="Q11" s="117"/>
      <c r="R11" s="117" t="s">
        <v>38</v>
      </c>
      <c r="S11" s="117"/>
      <c r="T11" s="117"/>
      <c r="U11" s="117"/>
      <c r="V11" s="117"/>
    </row>
    <row r="12" spans="1:24" ht="40.5" customHeight="1" x14ac:dyDescent="0.2">
      <c r="A12" s="118"/>
      <c r="B12" s="118"/>
      <c r="C12" s="118"/>
      <c r="D12" s="27" t="s">
        <v>4</v>
      </c>
      <c r="E12" s="27" t="s">
        <v>5</v>
      </c>
      <c r="F12" s="27" t="s">
        <v>6</v>
      </c>
      <c r="G12" s="27" t="s">
        <v>0</v>
      </c>
      <c r="H12" s="29"/>
      <c r="I12" s="29" t="s">
        <v>1</v>
      </c>
      <c r="J12" s="27" t="s">
        <v>7</v>
      </c>
      <c r="K12" s="27" t="s">
        <v>6</v>
      </c>
      <c r="L12" s="28"/>
      <c r="M12" s="28"/>
      <c r="N12" s="28"/>
      <c r="O12" s="28"/>
      <c r="P12" s="28"/>
      <c r="Q12" s="27" t="s">
        <v>0</v>
      </c>
      <c r="R12" s="27" t="s">
        <v>8</v>
      </c>
      <c r="S12" s="27" t="s">
        <v>5</v>
      </c>
      <c r="T12" s="27" t="s">
        <v>15</v>
      </c>
      <c r="U12" s="27" t="s">
        <v>0</v>
      </c>
      <c r="V12" s="29" t="s">
        <v>1</v>
      </c>
    </row>
    <row r="13" spans="1:24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/>
      <c r="I13" s="28">
        <v>8</v>
      </c>
      <c r="J13" s="28">
        <v>9</v>
      </c>
      <c r="K13" s="28">
        <v>10</v>
      </c>
      <c r="L13" s="28"/>
      <c r="M13" s="28"/>
      <c r="N13" s="28"/>
      <c r="O13" s="28"/>
      <c r="P13" s="28"/>
      <c r="Q13" s="28">
        <v>11</v>
      </c>
      <c r="R13" s="28">
        <v>4</v>
      </c>
      <c r="S13" s="28">
        <v>5</v>
      </c>
      <c r="T13" s="28">
        <v>6</v>
      </c>
      <c r="U13" s="28">
        <v>7</v>
      </c>
      <c r="V13" s="28">
        <v>8</v>
      </c>
    </row>
    <row r="14" spans="1:24" x14ac:dyDescent="0.2">
      <c r="A14" s="28"/>
      <c r="B14" s="28"/>
      <c r="C14" s="39" t="s">
        <v>26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4" x14ac:dyDescent="0.2">
      <c r="A15" s="29"/>
      <c r="B15" s="28"/>
      <c r="C15" s="40" t="s">
        <v>39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4" ht="15" customHeight="1" x14ac:dyDescent="0.2">
      <c r="A16" s="29">
        <v>1</v>
      </c>
      <c r="B16" s="41"/>
      <c r="C16" s="42" t="s">
        <v>68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43"/>
      <c r="S16" s="43"/>
      <c r="T16" s="43"/>
      <c r="U16" s="28">
        <v>140.07</v>
      </c>
      <c r="V16" s="28">
        <f>SUM(R16:U16)</f>
        <v>140.07</v>
      </c>
      <c r="W16" s="15"/>
      <c r="X16" s="15"/>
    </row>
    <row r="17" spans="1:24" ht="15" customHeight="1" x14ac:dyDescent="0.2">
      <c r="A17" s="29"/>
      <c r="B17" s="41"/>
      <c r="C17" s="42" t="s">
        <v>88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15"/>
      <c r="X17" s="15"/>
    </row>
    <row r="18" spans="1:24" ht="15" customHeight="1" x14ac:dyDescent="0.2">
      <c r="A18" s="29">
        <v>2</v>
      </c>
      <c r="B18" s="41"/>
      <c r="C18" s="44" t="s">
        <v>66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>
        <v>20.66</v>
      </c>
      <c r="V18" s="28">
        <f>SUM(R18:U18)</f>
        <v>20.66</v>
      </c>
      <c r="W18" s="15"/>
      <c r="X18" s="15"/>
    </row>
    <row r="19" spans="1:24" ht="18.75" customHeight="1" x14ac:dyDescent="0.2">
      <c r="A19" s="29">
        <v>3</v>
      </c>
      <c r="B19" s="41"/>
      <c r="C19" s="44" t="s">
        <v>67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>
        <v>18.28</v>
      </c>
      <c r="V19" s="28">
        <f>SUM(R19:U19)</f>
        <v>18.28</v>
      </c>
      <c r="W19" s="15"/>
      <c r="X19" s="15"/>
    </row>
    <row r="20" spans="1:24" ht="15" customHeight="1" x14ac:dyDescent="0.2">
      <c r="A20" s="29"/>
      <c r="B20" s="41"/>
      <c r="C20" s="40" t="s">
        <v>40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45">
        <f>SUM(R17:R19)</f>
        <v>0</v>
      </c>
      <c r="S20" s="45">
        <f>SUM(S16:S19)</f>
        <v>0</v>
      </c>
      <c r="T20" s="45">
        <f>SUM(T16:T19)</f>
        <v>0</v>
      </c>
      <c r="U20" s="46">
        <f>SUM(U16:U19)</f>
        <v>179.01</v>
      </c>
      <c r="V20" s="46">
        <f>SUM(V16:V19)</f>
        <v>179.01</v>
      </c>
      <c r="W20" s="16"/>
      <c r="X20" s="15"/>
    </row>
    <row r="21" spans="1:24" ht="15" customHeight="1" x14ac:dyDescent="0.2">
      <c r="A21" s="29"/>
      <c r="B21" s="41"/>
      <c r="C21" s="40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45"/>
      <c r="S21" s="45"/>
      <c r="T21" s="45"/>
      <c r="U21" s="46"/>
      <c r="V21" s="46"/>
      <c r="W21" s="16"/>
      <c r="X21" s="15"/>
    </row>
    <row r="22" spans="1:24" ht="15" customHeight="1" x14ac:dyDescent="0.2">
      <c r="A22" s="29"/>
      <c r="B22" s="41"/>
      <c r="C22" s="40" t="s">
        <v>41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15"/>
      <c r="X22" s="15"/>
    </row>
    <row r="23" spans="1:24" ht="15" customHeight="1" x14ac:dyDescent="0.2">
      <c r="A23" s="29">
        <v>4</v>
      </c>
      <c r="B23" s="41"/>
      <c r="C23" s="42" t="s">
        <v>84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43">
        <v>7446.28</v>
      </c>
      <c r="S23" s="28"/>
      <c r="T23" s="28"/>
      <c r="U23" s="28"/>
      <c r="V23" s="43">
        <f>SUM(R23:U23)</f>
        <v>7446.28</v>
      </c>
      <c r="W23" s="15"/>
      <c r="X23" s="15"/>
    </row>
    <row r="24" spans="1:24" ht="15" customHeight="1" x14ac:dyDescent="0.2">
      <c r="A24" s="29">
        <v>5</v>
      </c>
      <c r="B24" s="41"/>
      <c r="C24" s="42" t="s">
        <v>99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43">
        <v>1426</v>
      </c>
      <c r="S24" s="28"/>
      <c r="T24" s="28"/>
      <c r="U24" s="28"/>
      <c r="V24" s="43">
        <f>R24</f>
        <v>1426</v>
      </c>
      <c r="W24" s="15"/>
      <c r="X24" s="15"/>
    </row>
    <row r="25" spans="1:24" ht="15" hidden="1" customHeight="1" x14ac:dyDescent="0.2">
      <c r="A25" s="29"/>
      <c r="B25" s="41"/>
      <c r="C25" s="42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43"/>
      <c r="S25" s="28"/>
      <c r="T25" s="28"/>
      <c r="U25" s="28"/>
      <c r="V25" s="43"/>
      <c r="W25" s="15"/>
      <c r="X25" s="15"/>
    </row>
    <row r="26" spans="1:24" ht="15" hidden="1" customHeight="1" x14ac:dyDescent="0.2">
      <c r="A26" s="29"/>
      <c r="B26" s="41"/>
      <c r="C26" s="4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43"/>
      <c r="S26" s="28"/>
      <c r="T26" s="28"/>
      <c r="U26" s="28"/>
      <c r="V26" s="43"/>
      <c r="W26" s="15"/>
      <c r="X26" s="15"/>
    </row>
    <row r="27" spans="1:24" ht="15" hidden="1" customHeight="1" x14ac:dyDescent="0.2">
      <c r="A27" s="29"/>
      <c r="B27" s="41"/>
      <c r="C27" s="42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43"/>
      <c r="S27" s="28"/>
      <c r="T27" s="28"/>
      <c r="U27" s="28"/>
      <c r="V27" s="43"/>
      <c r="W27" s="15"/>
      <c r="X27" s="15"/>
    </row>
    <row r="28" spans="1:24" ht="15" customHeight="1" x14ac:dyDescent="0.2">
      <c r="A28" s="29"/>
      <c r="B28" s="41"/>
      <c r="C28" s="40" t="s">
        <v>42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45">
        <f>SUM(R23:R27)</f>
        <v>8872.2800000000007</v>
      </c>
      <c r="S28" s="45">
        <f>SUM(S23:S27)</f>
        <v>0</v>
      </c>
      <c r="T28" s="45">
        <f>SUM(T23:T27)</f>
        <v>0</v>
      </c>
      <c r="U28" s="45">
        <f>SUM(U23:U27)</f>
        <v>0</v>
      </c>
      <c r="V28" s="45">
        <f>SUM(V23:V27)</f>
        <v>8872.2800000000007</v>
      </c>
      <c r="W28" s="15"/>
      <c r="X28" s="15"/>
    </row>
    <row r="29" spans="1:24" x14ac:dyDescent="0.2">
      <c r="A29" s="29"/>
      <c r="B29" s="47"/>
      <c r="C29" s="42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15"/>
      <c r="X29" s="15"/>
    </row>
    <row r="30" spans="1:24" s="1" customFormat="1" x14ac:dyDescent="0.2">
      <c r="A30" s="48"/>
      <c r="B30" s="49"/>
      <c r="C30" s="50" t="s">
        <v>27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5">
        <f>R20+R28</f>
        <v>8872.2800000000007</v>
      </c>
      <c r="S30" s="45">
        <f>S20+S28</f>
        <v>0</v>
      </c>
      <c r="T30" s="45">
        <f>T20+T28</f>
        <v>0</v>
      </c>
      <c r="U30" s="45">
        <f>U20+U28</f>
        <v>179.01</v>
      </c>
      <c r="V30" s="45">
        <f>V20+V28</f>
        <v>9051.2900000000009</v>
      </c>
    </row>
    <row r="31" spans="1:24" s="1" customFormat="1" x14ac:dyDescent="0.2">
      <c r="A31" s="48"/>
      <c r="B31" s="49"/>
      <c r="C31" s="50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4" x14ac:dyDescent="0.2">
      <c r="A32" s="29"/>
      <c r="B32" s="51"/>
      <c r="C32" s="39" t="s">
        <v>13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52"/>
      <c r="S32" s="53"/>
      <c r="T32" s="52"/>
      <c r="U32" s="52"/>
      <c r="V32" s="54"/>
    </row>
    <row r="33" spans="1:24" x14ac:dyDescent="0.2">
      <c r="A33" s="29"/>
      <c r="B33" s="51"/>
      <c r="C33" s="39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2"/>
      <c r="S33" s="53"/>
      <c r="T33" s="52"/>
      <c r="U33" s="52"/>
      <c r="V33" s="54"/>
    </row>
    <row r="34" spans="1:24" ht="13.5" customHeight="1" x14ac:dyDescent="0.2">
      <c r="A34" s="29">
        <v>6</v>
      </c>
      <c r="B34" s="41"/>
      <c r="C34" s="52" t="s">
        <v>92</v>
      </c>
      <c r="D34" s="54"/>
      <c r="E34" s="54"/>
      <c r="F34" s="52"/>
      <c r="G34" s="54"/>
      <c r="H34" s="52"/>
      <c r="I34" s="54"/>
      <c r="J34" s="54"/>
      <c r="K34" s="52"/>
      <c r="L34" s="52"/>
      <c r="M34" s="52"/>
      <c r="N34" s="52"/>
      <c r="O34" s="52"/>
      <c r="P34" s="52"/>
      <c r="Q34" s="54"/>
      <c r="R34" s="55">
        <f>202.1</f>
        <v>202.1</v>
      </c>
      <c r="S34" s="54"/>
      <c r="T34" s="52"/>
      <c r="U34" s="54"/>
      <c r="V34" s="56">
        <f t="shared" ref="V34:V50" si="0">SUM(R34:U34)</f>
        <v>202.1</v>
      </c>
      <c r="W34" s="18"/>
      <c r="X34" s="18"/>
    </row>
    <row r="35" spans="1:24" ht="13.5" customHeight="1" x14ac:dyDescent="0.2">
      <c r="A35" s="29">
        <v>7</v>
      </c>
      <c r="B35" s="41"/>
      <c r="C35" s="52" t="s">
        <v>100</v>
      </c>
      <c r="D35" s="54"/>
      <c r="E35" s="54"/>
      <c r="F35" s="52"/>
      <c r="G35" s="54"/>
      <c r="H35" s="52"/>
      <c r="I35" s="54"/>
      <c r="J35" s="54"/>
      <c r="K35" s="52"/>
      <c r="L35" s="52"/>
      <c r="M35" s="52"/>
      <c r="N35" s="52"/>
      <c r="O35" s="52"/>
      <c r="P35" s="52"/>
      <c r="Q35" s="54"/>
      <c r="R35" s="55">
        <f>2681.16</f>
        <v>2681.16</v>
      </c>
      <c r="S35" s="54"/>
      <c r="T35" s="52"/>
      <c r="U35" s="54"/>
      <c r="V35" s="56">
        <f t="shared" si="0"/>
        <v>2681.16</v>
      </c>
      <c r="W35" s="18"/>
      <c r="X35" s="18"/>
    </row>
    <row r="36" spans="1:24" s="5" customFormat="1" ht="15" customHeight="1" x14ac:dyDescent="0.2">
      <c r="A36" s="29">
        <v>8</v>
      </c>
      <c r="B36" s="41"/>
      <c r="C36" s="57" t="s">
        <v>49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56">
        <f>3692.37</f>
        <v>3692.37</v>
      </c>
      <c r="S36" s="56">
        <f>3022.73</f>
        <v>3022.73</v>
      </c>
      <c r="T36" s="56">
        <v>76489.42</v>
      </c>
      <c r="U36" s="56"/>
      <c r="V36" s="58">
        <f t="shared" si="0"/>
        <v>83204.52</v>
      </c>
      <c r="W36" s="17"/>
      <c r="X36" s="17"/>
    </row>
    <row r="37" spans="1:24" s="5" customFormat="1" ht="15" customHeight="1" x14ac:dyDescent="0.2">
      <c r="A37" s="29">
        <v>9</v>
      </c>
      <c r="B37" s="41"/>
      <c r="C37" s="57" t="s">
        <v>78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56">
        <f>32803.15</f>
        <v>32803.15</v>
      </c>
      <c r="S37" s="56">
        <f>4845.76</f>
        <v>4845.76</v>
      </c>
      <c r="T37" s="56">
        <v>136668.07</v>
      </c>
      <c r="U37" s="56"/>
      <c r="V37" s="58">
        <f t="shared" si="0"/>
        <v>174316.98</v>
      </c>
      <c r="W37" s="17"/>
      <c r="X37" s="17"/>
    </row>
    <row r="38" spans="1:24" s="5" customFormat="1" ht="15.75" customHeight="1" x14ac:dyDescent="0.2">
      <c r="A38" s="29">
        <v>10</v>
      </c>
      <c r="B38" s="41"/>
      <c r="C38" s="57" t="s">
        <v>79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56">
        <f>7514.2</f>
        <v>7514.2</v>
      </c>
      <c r="S38" s="56">
        <v>4591.3100000000004</v>
      </c>
      <c r="T38" s="56">
        <v>51451.17</v>
      </c>
      <c r="U38" s="56"/>
      <c r="V38" s="56">
        <f t="shared" si="0"/>
        <v>63556.68</v>
      </c>
      <c r="W38" s="17"/>
      <c r="X38" s="17"/>
    </row>
    <row r="39" spans="1:24" s="5" customFormat="1" ht="15.75" customHeight="1" x14ac:dyDescent="0.2">
      <c r="A39" s="29">
        <v>11</v>
      </c>
      <c r="B39" s="41"/>
      <c r="C39" s="57" t="s">
        <v>50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56">
        <f>2169.25</f>
        <v>2169.25</v>
      </c>
      <c r="S39" s="56">
        <f>289.27</f>
        <v>289.27</v>
      </c>
      <c r="T39" s="56">
        <v>6642.99</v>
      </c>
      <c r="U39" s="56"/>
      <c r="V39" s="56">
        <f t="shared" si="0"/>
        <v>9101.51</v>
      </c>
      <c r="W39" s="17"/>
      <c r="X39" s="17"/>
    </row>
    <row r="40" spans="1:24" s="5" customFormat="1" ht="15.75" customHeight="1" x14ac:dyDescent="0.2">
      <c r="A40" s="29">
        <v>12</v>
      </c>
      <c r="B40" s="41"/>
      <c r="C40" s="57" t="s">
        <v>54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56">
        <f>7098.29</f>
        <v>7098.29</v>
      </c>
      <c r="S40" s="56">
        <f>57.45</f>
        <v>57.45</v>
      </c>
      <c r="T40" s="56">
        <f>115.08</f>
        <v>115.08</v>
      </c>
      <c r="U40" s="56"/>
      <c r="V40" s="56">
        <f t="shared" si="0"/>
        <v>7270.82</v>
      </c>
      <c r="W40" s="17"/>
      <c r="X40" s="17"/>
    </row>
    <row r="41" spans="1:24" s="5" customFormat="1" ht="15.75" customHeight="1" x14ac:dyDescent="0.2">
      <c r="A41" s="29">
        <v>13</v>
      </c>
      <c r="B41" s="41"/>
      <c r="C41" s="57" t="s">
        <v>52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56">
        <f>1228.94</f>
        <v>1228.94</v>
      </c>
      <c r="S41" s="56">
        <v>924.3</v>
      </c>
      <c r="T41" s="56">
        <v>52308.61</v>
      </c>
      <c r="U41" s="56"/>
      <c r="V41" s="56">
        <f t="shared" si="0"/>
        <v>54461.85</v>
      </c>
      <c r="W41" s="17"/>
      <c r="X41" s="17"/>
    </row>
    <row r="42" spans="1:24" s="5" customFormat="1" ht="15.75" customHeight="1" x14ac:dyDescent="0.2">
      <c r="A42" s="29">
        <v>14</v>
      </c>
      <c r="B42" s="41"/>
      <c r="C42" s="57" t="s">
        <v>53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56">
        <f>911</f>
        <v>911</v>
      </c>
      <c r="S42" s="56">
        <f>150.82</f>
        <v>150.82</v>
      </c>
      <c r="T42" s="56">
        <v>7.98</v>
      </c>
      <c r="U42" s="56"/>
      <c r="V42" s="56">
        <f t="shared" si="0"/>
        <v>1069.8</v>
      </c>
      <c r="W42" s="17"/>
      <c r="X42" s="17"/>
    </row>
    <row r="43" spans="1:24" s="5" customFormat="1" ht="15.75" customHeight="1" x14ac:dyDescent="0.2">
      <c r="A43" s="29">
        <v>15</v>
      </c>
      <c r="B43" s="41"/>
      <c r="C43" s="57" t="s">
        <v>51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56">
        <f>6929.37</f>
        <v>6929.37</v>
      </c>
      <c r="S43" s="56">
        <v>6014.72</v>
      </c>
      <c r="T43" s="56"/>
      <c r="U43" s="56"/>
      <c r="V43" s="56">
        <f t="shared" si="0"/>
        <v>12944.09</v>
      </c>
      <c r="W43" s="17"/>
      <c r="X43" s="17"/>
    </row>
    <row r="44" spans="1:24" s="5" customFormat="1" ht="15.75" customHeight="1" x14ac:dyDescent="0.2">
      <c r="A44" s="29">
        <v>16</v>
      </c>
      <c r="B44" s="41"/>
      <c r="C44" s="57" t="s">
        <v>80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56"/>
      <c r="S44" s="56">
        <f>1866.69</f>
        <v>1866.69</v>
      </c>
      <c r="T44" s="56">
        <v>4895.6899999999996</v>
      </c>
      <c r="U44" s="56"/>
      <c r="V44" s="56">
        <f t="shared" si="0"/>
        <v>6762.38</v>
      </c>
      <c r="W44" s="17"/>
      <c r="X44" s="17"/>
    </row>
    <row r="45" spans="1:24" s="5" customFormat="1" ht="15.75" customHeight="1" x14ac:dyDescent="0.2">
      <c r="A45" s="29">
        <v>17</v>
      </c>
      <c r="B45" s="41"/>
      <c r="C45" s="57" t="s">
        <v>63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59">
        <f>1.69</f>
        <v>1.69</v>
      </c>
      <c r="S45" s="56">
        <f>931.4</f>
        <v>931.4</v>
      </c>
      <c r="T45" s="56">
        <v>12217.48</v>
      </c>
      <c r="U45" s="56"/>
      <c r="V45" s="56">
        <f t="shared" si="0"/>
        <v>13150.57</v>
      </c>
      <c r="W45" s="17"/>
      <c r="X45" s="17"/>
    </row>
    <row r="46" spans="1:24" s="5" customFormat="1" ht="15.75" customHeight="1" x14ac:dyDescent="0.2">
      <c r="A46" s="29">
        <v>18</v>
      </c>
      <c r="B46" s="41"/>
      <c r="C46" s="57" t="s">
        <v>132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59">
        <f>914.71</f>
        <v>914.71</v>
      </c>
      <c r="S46" s="56">
        <f>13.73</f>
        <v>13.73</v>
      </c>
      <c r="T46" s="56">
        <v>6.33</v>
      </c>
      <c r="U46" s="56"/>
      <c r="V46" s="56">
        <f t="shared" si="0"/>
        <v>934.77</v>
      </c>
      <c r="W46" s="17"/>
      <c r="X46" s="17"/>
    </row>
    <row r="47" spans="1:24" s="5" customFormat="1" ht="15.75" customHeight="1" x14ac:dyDescent="0.2">
      <c r="A47" s="29">
        <v>19</v>
      </c>
      <c r="B47" s="41"/>
      <c r="C47" s="57" t="s">
        <v>56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56"/>
      <c r="S47" s="56">
        <f>61.91</f>
        <v>61.91</v>
      </c>
      <c r="T47" s="56">
        <v>591.82000000000005</v>
      </c>
      <c r="U47" s="56"/>
      <c r="V47" s="56">
        <f t="shared" si="0"/>
        <v>653.73</v>
      </c>
      <c r="W47" s="17"/>
      <c r="X47" s="17"/>
    </row>
    <row r="48" spans="1:24" s="5" customFormat="1" ht="15.75" customHeight="1" x14ac:dyDescent="0.2">
      <c r="A48" s="29">
        <v>20</v>
      </c>
      <c r="B48" s="41"/>
      <c r="C48" s="57" t="s">
        <v>133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56"/>
      <c r="S48" s="56">
        <f>11.14</f>
        <v>11.14</v>
      </c>
      <c r="T48" s="56">
        <v>12.42</v>
      </c>
      <c r="U48" s="56"/>
      <c r="V48" s="56">
        <f t="shared" si="0"/>
        <v>23.56</v>
      </c>
      <c r="W48" s="17"/>
      <c r="X48" s="17"/>
    </row>
    <row r="49" spans="1:24" s="5" customFormat="1" ht="15.75" customHeight="1" x14ac:dyDescent="0.2">
      <c r="A49" s="29">
        <v>21</v>
      </c>
      <c r="B49" s="41"/>
      <c r="C49" s="57" t="s">
        <v>55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59">
        <v>223.87</v>
      </c>
      <c r="S49" s="56">
        <f>438.42</f>
        <v>438.42</v>
      </c>
      <c r="T49" s="56">
        <v>1757.29</v>
      </c>
      <c r="U49" s="56"/>
      <c r="V49" s="56">
        <f t="shared" si="0"/>
        <v>2419.58</v>
      </c>
      <c r="W49" s="17"/>
      <c r="X49" s="17"/>
    </row>
    <row r="50" spans="1:24" s="5" customFormat="1" ht="15.75" customHeight="1" x14ac:dyDescent="0.2">
      <c r="A50" s="29">
        <v>22</v>
      </c>
      <c r="B50" s="41"/>
      <c r="C50" s="57" t="s">
        <v>94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56"/>
      <c r="S50" s="56">
        <f>487.16</f>
        <v>487.16</v>
      </c>
      <c r="T50" s="56">
        <f>2777.09</f>
        <v>2777.09</v>
      </c>
      <c r="U50" s="56"/>
      <c r="V50" s="56">
        <f t="shared" si="0"/>
        <v>3264.25</v>
      </c>
      <c r="W50" s="17"/>
      <c r="X50" s="17"/>
    </row>
    <row r="51" spans="1:24" s="10" customFormat="1" ht="15.75" customHeight="1" x14ac:dyDescent="0.2">
      <c r="A51" s="29">
        <v>23</v>
      </c>
      <c r="B51" s="60"/>
      <c r="C51" s="61" t="s">
        <v>101</v>
      </c>
      <c r="D51" s="62"/>
      <c r="E51" s="62"/>
      <c r="F51" s="53"/>
      <c r="G51" s="53"/>
      <c r="H51" s="53"/>
      <c r="I51" s="62"/>
      <c r="J51" s="53"/>
      <c r="K51" s="53"/>
      <c r="L51" s="53"/>
      <c r="M51" s="53"/>
      <c r="N51" s="53"/>
      <c r="O51" s="53"/>
      <c r="P51" s="53"/>
      <c r="Q51" s="53"/>
      <c r="R51" s="63"/>
      <c r="S51" s="62"/>
      <c r="T51" s="63">
        <v>1795.39</v>
      </c>
      <c r="U51" s="63"/>
      <c r="V51" s="63">
        <f>T51</f>
        <v>1795.39</v>
      </c>
    </row>
    <row r="52" spans="1:24" s="1" customFormat="1" ht="13.5" customHeight="1" x14ac:dyDescent="0.2">
      <c r="A52" s="48"/>
      <c r="B52" s="50"/>
      <c r="C52" s="50" t="s">
        <v>10</v>
      </c>
      <c r="D52" s="64">
        <f>SUM(D36:D51)</f>
        <v>0</v>
      </c>
      <c r="E52" s="64"/>
      <c r="F52" s="40"/>
      <c r="G52" s="64"/>
      <c r="H52" s="40"/>
      <c r="I52" s="64">
        <f>SUM(D52:H52)</f>
        <v>0</v>
      </c>
      <c r="J52" s="40"/>
      <c r="K52" s="40"/>
      <c r="L52" s="40"/>
      <c r="M52" s="40"/>
      <c r="N52" s="40"/>
      <c r="O52" s="40"/>
      <c r="P52" s="40"/>
      <c r="Q52" s="40" t="s">
        <v>3</v>
      </c>
      <c r="R52" s="65">
        <f>SUM(R34:R51)</f>
        <v>66370.100000000006</v>
      </c>
      <c r="S52" s="65">
        <f>SUM(S36:S51)</f>
        <v>23706.81</v>
      </c>
      <c r="T52" s="65">
        <f>SUM(T36:T51)</f>
        <v>347736.83</v>
      </c>
      <c r="U52" s="65">
        <f>SUM(U36:U51)</f>
        <v>0</v>
      </c>
      <c r="V52" s="65">
        <f>SUM(R52:U52)</f>
        <v>437813.74</v>
      </c>
      <c r="W52" s="2"/>
      <c r="X52" s="2"/>
    </row>
    <row r="53" spans="1:24" ht="7.5" customHeight="1" x14ac:dyDescent="0.2">
      <c r="A53" s="29"/>
      <c r="B53" s="51"/>
      <c r="C53" s="51"/>
      <c r="D53" s="55"/>
      <c r="E53" s="55"/>
      <c r="F53" s="42"/>
      <c r="G53" s="55"/>
      <c r="H53" s="42"/>
      <c r="I53" s="55"/>
      <c r="J53" s="42"/>
      <c r="K53" s="42"/>
      <c r="L53" s="42"/>
      <c r="M53" s="42"/>
      <c r="N53" s="42"/>
      <c r="O53" s="42"/>
      <c r="P53" s="42"/>
      <c r="Q53" s="42"/>
      <c r="R53" s="54"/>
      <c r="S53" s="66"/>
      <c r="T53" s="67"/>
      <c r="U53" s="54"/>
      <c r="V53" s="62"/>
      <c r="W53" s="18"/>
      <c r="X53" s="18"/>
    </row>
    <row r="54" spans="1:24" s="1" customFormat="1" ht="13.5" customHeight="1" x14ac:dyDescent="0.2">
      <c r="A54" s="48"/>
      <c r="B54" s="68"/>
      <c r="C54" s="68" t="s">
        <v>28</v>
      </c>
      <c r="D54" s="69" t="e">
        <f>SUM(#REF!+D52)</f>
        <v>#REF!</v>
      </c>
      <c r="E54" s="69"/>
      <c r="F54" s="70"/>
      <c r="G54" s="69" t="e">
        <f>#REF!</f>
        <v>#REF!</v>
      </c>
      <c r="H54" s="70"/>
      <c r="I54" s="69" t="e">
        <f>SUM(D54:H54)</f>
        <v>#REF!</v>
      </c>
      <c r="J54" s="69"/>
      <c r="K54" s="70"/>
      <c r="L54" s="70"/>
      <c r="M54" s="70"/>
      <c r="N54" s="70"/>
      <c r="O54" s="70"/>
      <c r="P54" s="70"/>
      <c r="Q54" s="69"/>
      <c r="R54" s="64">
        <f>R52+R30</f>
        <v>75242.38</v>
      </c>
      <c r="S54" s="64">
        <f>S52+S30</f>
        <v>23706.81</v>
      </c>
      <c r="T54" s="64">
        <f>T52+T30</f>
        <v>347736.83</v>
      </c>
      <c r="U54" s="64">
        <f>U52+U30</f>
        <v>179.01</v>
      </c>
      <c r="V54" s="64">
        <f>V52+V30</f>
        <v>446865.03</v>
      </c>
      <c r="W54" s="2"/>
      <c r="X54" s="2"/>
    </row>
    <row r="55" spans="1:24" s="1" customFormat="1" ht="13.5" customHeight="1" x14ac:dyDescent="0.2">
      <c r="A55" s="48"/>
      <c r="B55" s="68"/>
      <c r="C55" s="68"/>
      <c r="D55" s="69"/>
      <c r="E55" s="69"/>
      <c r="F55" s="70"/>
      <c r="G55" s="69"/>
      <c r="H55" s="70"/>
      <c r="I55" s="69"/>
      <c r="J55" s="69"/>
      <c r="K55" s="70"/>
      <c r="L55" s="70"/>
      <c r="M55" s="70"/>
      <c r="N55" s="70"/>
      <c r="O55" s="70"/>
      <c r="P55" s="70"/>
      <c r="Q55" s="69"/>
      <c r="R55" s="64"/>
      <c r="S55" s="64"/>
      <c r="T55" s="64"/>
      <c r="U55" s="64"/>
      <c r="V55" s="64"/>
      <c r="W55" s="2"/>
      <c r="X55" s="2"/>
    </row>
    <row r="56" spans="1:24" s="1" customFormat="1" ht="13.5" customHeight="1" x14ac:dyDescent="0.2">
      <c r="A56" s="48"/>
      <c r="B56" s="68"/>
      <c r="C56" s="71" t="s">
        <v>57</v>
      </c>
      <c r="D56" s="69"/>
      <c r="E56" s="69"/>
      <c r="F56" s="70"/>
      <c r="G56" s="69"/>
      <c r="H56" s="70"/>
      <c r="I56" s="69"/>
      <c r="J56" s="69"/>
      <c r="K56" s="70"/>
      <c r="L56" s="70"/>
      <c r="M56" s="70"/>
      <c r="N56" s="70"/>
      <c r="O56" s="70"/>
      <c r="P56" s="70"/>
      <c r="Q56" s="69"/>
      <c r="R56" s="64"/>
      <c r="S56" s="64"/>
      <c r="T56" s="64"/>
      <c r="U56" s="64"/>
      <c r="V56" s="64"/>
      <c r="W56" s="2"/>
      <c r="X56" s="2"/>
    </row>
    <row r="57" spans="1:24" s="1" customFormat="1" ht="13.5" customHeight="1" x14ac:dyDescent="0.2">
      <c r="A57" s="48"/>
      <c r="B57" s="68"/>
      <c r="C57" s="68"/>
      <c r="D57" s="69"/>
      <c r="E57" s="69"/>
      <c r="F57" s="70"/>
      <c r="G57" s="69"/>
      <c r="H57" s="70"/>
      <c r="I57" s="69"/>
      <c r="J57" s="69"/>
      <c r="K57" s="70"/>
      <c r="L57" s="70"/>
      <c r="M57" s="70"/>
      <c r="N57" s="70"/>
      <c r="O57" s="70"/>
      <c r="P57" s="70"/>
      <c r="Q57" s="69"/>
      <c r="R57" s="64"/>
      <c r="S57" s="64"/>
      <c r="T57" s="64"/>
      <c r="U57" s="64"/>
      <c r="V57" s="64"/>
      <c r="W57" s="2"/>
      <c r="X57" s="2"/>
    </row>
    <row r="58" spans="1:24" ht="13.5" customHeight="1" x14ac:dyDescent="0.2">
      <c r="A58" s="29">
        <v>24</v>
      </c>
      <c r="B58" s="41"/>
      <c r="C58" s="72" t="s">
        <v>58</v>
      </c>
      <c r="D58" s="54"/>
      <c r="E58" s="54"/>
      <c r="F58" s="52"/>
      <c r="G58" s="54"/>
      <c r="H58" s="52"/>
      <c r="I58" s="54"/>
      <c r="J58" s="54"/>
      <c r="K58" s="52"/>
      <c r="L58" s="52"/>
      <c r="M58" s="52"/>
      <c r="N58" s="52"/>
      <c r="O58" s="52"/>
      <c r="P58" s="52"/>
      <c r="Q58" s="54"/>
      <c r="R58" s="55">
        <f>674.27</f>
        <v>674.27</v>
      </c>
      <c r="S58" s="55">
        <f>21.57</f>
        <v>21.57</v>
      </c>
      <c r="T58" s="55"/>
      <c r="U58" s="55"/>
      <c r="V58" s="56">
        <f>SUM(R58:U58)</f>
        <v>695.84</v>
      </c>
      <c r="W58" s="18"/>
      <c r="X58" s="18"/>
    </row>
    <row r="59" spans="1:24" s="1" customFormat="1" ht="13.5" customHeight="1" x14ac:dyDescent="0.2">
      <c r="A59" s="48"/>
      <c r="B59" s="68"/>
      <c r="C59" s="68"/>
      <c r="D59" s="69"/>
      <c r="E59" s="69"/>
      <c r="F59" s="70"/>
      <c r="G59" s="69"/>
      <c r="H59" s="70"/>
      <c r="I59" s="69"/>
      <c r="J59" s="69"/>
      <c r="K59" s="70"/>
      <c r="L59" s="70"/>
      <c r="M59" s="70"/>
      <c r="N59" s="70"/>
      <c r="O59" s="70"/>
      <c r="P59" s="70"/>
      <c r="Q59" s="69"/>
      <c r="R59" s="64"/>
      <c r="S59" s="64"/>
      <c r="T59" s="64"/>
      <c r="U59" s="64"/>
      <c r="V59" s="64"/>
      <c r="W59" s="2"/>
      <c r="X59" s="2"/>
    </row>
    <row r="60" spans="1:24" s="1" customFormat="1" ht="13.5" customHeight="1" x14ac:dyDescent="0.2">
      <c r="A60" s="48"/>
      <c r="B60" s="50"/>
      <c r="C60" s="50" t="s">
        <v>59</v>
      </c>
      <c r="D60" s="64" t="e">
        <f>SUM(D40:D59)</f>
        <v>#REF!</v>
      </c>
      <c r="E60" s="64"/>
      <c r="F60" s="40"/>
      <c r="G60" s="64"/>
      <c r="H60" s="40"/>
      <c r="I60" s="64" t="e">
        <f>SUM(D60:H60)</f>
        <v>#REF!</v>
      </c>
      <c r="J60" s="40"/>
      <c r="K60" s="40"/>
      <c r="L60" s="40"/>
      <c r="M60" s="40"/>
      <c r="N60" s="40"/>
      <c r="O60" s="40"/>
      <c r="P60" s="40"/>
      <c r="Q60" s="40" t="s">
        <v>3</v>
      </c>
      <c r="R60" s="65">
        <f>R58</f>
        <v>674.27</v>
      </c>
      <c r="S60" s="65">
        <f>S58</f>
        <v>21.57</v>
      </c>
      <c r="T60" s="65">
        <f>T58</f>
        <v>0</v>
      </c>
      <c r="U60" s="65">
        <f>U58</f>
        <v>0</v>
      </c>
      <c r="V60" s="65">
        <f>V58</f>
        <v>695.84</v>
      </c>
      <c r="W60" s="2"/>
      <c r="X60" s="2"/>
    </row>
    <row r="61" spans="1:24" s="1" customFormat="1" ht="13.5" customHeight="1" x14ac:dyDescent="0.2">
      <c r="A61" s="48"/>
      <c r="B61" s="50"/>
      <c r="C61" s="50"/>
      <c r="D61" s="64"/>
      <c r="E61" s="64"/>
      <c r="F61" s="40"/>
      <c r="G61" s="64"/>
      <c r="H61" s="40"/>
      <c r="I61" s="64"/>
      <c r="J61" s="40"/>
      <c r="K61" s="40"/>
      <c r="L61" s="40"/>
      <c r="M61" s="40"/>
      <c r="N61" s="40"/>
      <c r="O61" s="40"/>
      <c r="P61" s="40"/>
      <c r="Q61" s="40"/>
      <c r="R61" s="65"/>
      <c r="S61" s="65"/>
      <c r="T61" s="65"/>
      <c r="U61" s="65"/>
      <c r="V61" s="65"/>
      <c r="W61" s="2"/>
      <c r="X61" s="2"/>
    </row>
    <row r="62" spans="1:24" s="1" customFormat="1" ht="13.5" customHeight="1" x14ac:dyDescent="0.2">
      <c r="A62" s="48"/>
      <c r="B62" s="50"/>
      <c r="C62" s="71" t="s">
        <v>85</v>
      </c>
      <c r="D62" s="64"/>
      <c r="E62" s="64"/>
      <c r="F62" s="40"/>
      <c r="G62" s="64"/>
      <c r="H62" s="40"/>
      <c r="I62" s="64"/>
      <c r="J62" s="40"/>
      <c r="K62" s="40"/>
      <c r="L62" s="40"/>
      <c r="M62" s="40"/>
      <c r="N62" s="40"/>
      <c r="O62" s="40"/>
      <c r="P62" s="40"/>
      <c r="Q62" s="40"/>
      <c r="R62" s="65"/>
      <c r="S62" s="65"/>
      <c r="T62" s="65"/>
      <c r="U62" s="65"/>
      <c r="V62" s="65"/>
      <c r="W62" s="2"/>
      <c r="X62" s="2"/>
    </row>
    <row r="63" spans="1:24" s="1" customFormat="1" ht="13.5" customHeight="1" x14ac:dyDescent="0.2">
      <c r="A63" s="48"/>
      <c r="B63" s="68"/>
      <c r="C63" s="68"/>
      <c r="D63" s="69"/>
      <c r="E63" s="69"/>
      <c r="F63" s="70"/>
      <c r="G63" s="69"/>
      <c r="H63" s="70"/>
      <c r="I63" s="69"/>
      <c r="J63" s="69"/>
      <c r="K63" s="70"/>
      <c r="L63" s="70"/>
      <c r="M63" s="70"/>
      <c r="N63" s="70"/>
      <c r="O63" s="70"/>
      <c r="P63" s="70"/>
      <c r="Q63" s="69"/>
      <c r="R63" s="64"/>
      <c r="S63" s="64"/>
      <c r="T63" s="64"/>
      <c r="U63" s="64"/>
      <c r="V63" s="64"/>
      <c r="W63" s="2"/>
      <c r="X63" s="2"/>
    </row>
    <row r="64" spans="1:24" ht="13.5" customHeight="1" x14ac:dyDescent="0.2">
      <c r="A64" s="29">
        <v>25</v>
      </c>
      <c r="B64" s="41"/>
      <c r="C64" s="72" t="s">
        <v>60</v>
      </c>
      <c r="D64" s="54"/>
      <c r="E64" s="54"/>
      <c r="F64" s="52"/>
      <c r="G64" s="54"/>
      <c r="H64" s="52"/>
      <c r="I64" s="54"/>
      <c r="J64" s="54"/>
      <c r="K64" s="52"/>
      <c r="L64" s="52"/>
      <c r="M64" s="52"/>
      <c r="N64" s="52"/>
      <c r="O64" s="52"/>
      <c r="P64" s="52"/>
      <c r="Q64" s="54"/>
      <c r="R64" s="55">
        <f>6990.29</f>
        <v>6990.29</v>
      </c>
      <c r="S64" s="55">
        <f>1484.41</f>
        <v>1484.41</v>
      </c>
      <c r="T64" s="55">
        <v>376.66</v>
      </c>
      <c r="U64" s="55"/>
      <c r="V64" s="56">
        <f>SUM(R64:U64)</f>
        <v>8851.36</v>
      </c>
      <c r="W64" s="18"/>
      <c r="X64" s="18"/>
    </row>
    <row r="65" spans="1:24" ht="13.5" customHeight="1" x14ac:dyDescent="0.2">
      <c r="A65" s="29">
        <v>26</v>
      </c>
      <c r="B65" s="41"/>
      <c r="C65" s="72" t="s">
        <v>61</v>
      </c>
      <c r="D65" s="54"/>
      <c r="E65" s="54"/>
      <c r="F65" s="52"/>
      <c r="G65" s="54"/>
      <c r="H65" s="52"/>
      <c r="I65" s="54"/>
      <c r="J65" s="54"/>
      <c r="K65" s="52"/>
      <c r="L65" s="52"/>
      <c r="M65" s="52"/>
      <c r="N65" s="52"/>
      <c r="O65" s="52"/>
      <c r="P65" s="52"/>
      <c r="Q65" s="54"/>
      <c r="R65" s="55">
        <f>2702.2</f>
        <v>2702.2</v>
      </c>
      <c r="S65" s="55">
        <v>385.17</v>
      </c>
      <c r="T65" s="55">
        <v>50.73</v>
      </c>
      <c r="U65" s="55"/>
      <c r="V65" s="56">
        <f>SUM(R65:U65)</f>
        <v>3138.1</v>
      </c>
      <c r="W65" s="18"/>
      <c r="X65" s="18"/>
    </row>
    <row r="66" spans="1:24" ht="13.5" customHeight="1" x14ac:dyDescent="0.2">
      <c r="A66" s="29">
        <v>27</v>
      </c>
      <c r="B66" s="41"/>
      <c r="C66" s="72" t="s">
        <v>81</v>
      </c>
      <c r="D66" s="54"/>
      <c r="E66" s="54"/>
      <c r="F66" s="52"/>
      <c r="G66" s="54"/>
      <c r="H66" s="52"/>
      <c r="I66" s="54"/>
      <c r="J66" s="54"/>
      <c r="K66" s="52"/>
      <c r="L66" s="52"/>
      <c r="M66" s="52"/>
      <c r="N66" s="52"/>
      <c r="O66" s="52"/>
      <c r="P66" s="52"/>
      <c r="Q66" s="54"/>
      <c r="R66" s="55">
        <f>437.3</f>
        <v>437.3</v>
      </c>
      <c r="S66" s="55">
        <f>29.47</f>
        <v>29.47</v>
      </c>
      <c r="T66" s="55">
        <v>22.76</v>
      </c>
      <c r="U66" s="55"/>
      <c r="V66" s="56">
        <f>SUM(R66:U66)</f>
        <v>489.53</v>
      </c>
      <c r="W66" s="18"/>
      <c r="X66" s="18"/>
    </row>
    <row r="67" spans="1:24" ht="13.5" customHeight="1" x14ac:dyDescent="0.2">
      <c r="A67" s="29">
        <v>28</v>
      </c>
      <c r="B67" s="41"/>
      <c r="C67" s="72" t="s">
        <v>93</v>
      </c>
      <c r="D67" s="54"/>
      <c r="E67" s="54"/>
      <c r="F67" s="52"/>
      <c r="G67" s="54"/>
      <c r="H67" s="52"/>
      <c r="I67" s="54"/>
      <c r="J67" s="54"/>
      <c r="K67" s="52"/>
      <c r="L67" s="52"/>
      <c r="M67" s="52"/>
      <c r="N67" s="52"/>
      <c r="O67" s="52"/>
      <c r="P67" s="52"/>
      <c r="Q67" s="54"/>
      <c r="R67" s="55">
        <f>709.77</f>
        <v>709.77</v>
      </c>
      <c r="S67" s="55">
        <f>14.07</f>
        <v>14.07</v>
      </c>
      <c r="T67" s="55"/>
      <c r="U67" s="55"/>
      <c r="V67" s="56">
        <f>SUM(R67:U67)</f>
        <v>723.84</v>
      </c>
      <c r="W67" s="18"/>
      <c r="X67" s="18"/>
    </row>
    <row r="68" spans="1:24" ht="13.5" hidden="1" customHeight="1" x14ac:dyDescent="0.2">
      <c r="A68" s="29"/>
      <c r="B68" s="41"/>
      <c r="C68" s="72"/>
      <c r="D68" s="54"/>
      <c r="E68" s="54"/>
      <c r="F68" s="52"/>
      <c r="G68" s="54"/>
      <c r="H68" s="52"/>
      <c r="I68" s="54"/>
      <c r="J68" s="54"/>
      <c r="K68" s="52"/>
      <c r="L68" s="52"/>
      <c r="M68" s="52"/>
      <c r="N68" s="52"/>
      <c r="O68" s="52"/>
      <c r="P68" s="52"/>
      <c r="Q68" s="54"/>
      <c r="R68" s="55"/>
      <c r="S68" s="55"/>
      <c r="T68" s="55"/>
      <c r="U68" s="55"/>
      <c r="V68" s="56"/>
      <c r="W68" s="18"/>
      <c r="X68" s="18"/>
    </row>
    <row r="69" spans="1:24" s="1" customFormat="1" ht="13.5" hidden="1" customHeight="1" x14ac:dyDescent="0.2">
      <c r="A69" s="48"/>
      <c r="B69" s="68"/>
      <c r="C69" s="68"/>
      <c r="D69" s="69"/>
      <c r="E69" s="69"/>
      <c r="F69" s="70"/>
      <c r="G69" s="69"/>
      <c r="H69" s="70"/>
      <c r="I69" s="69"/>
      <c r="J69" s="69"/>
      <c r="K69" s="70"/>
      <c r="L69" s="70"/>
      <c r="M69" s="70"/>
      <c r="N69" s="70"/>
      <c r="O69" s="70"/>
      <c r="P69" s="70"/>
      <c r="Q69" s="69"/>
      <c r="R69" s="64"/>
      <c r="S69" s="64"/>
      <c r="T69" s="64"/>
      <c r="U69" s="64"/>
      <c r="V69" s="64"/>
      <c r="W69" s="2"/>
      <c r="X69" s="2"/>
    </row>
    <row r="70" spans="1:24" s="1" customFormat="1" ht="13.5" customHeight="1" x14ac:dyDescent="0.2">
      <c r="A70" s="48"/>
      <c r="B70" s="50"/>
      <c r="C70" s="50" t="s">
        <v>62</v>
      </c>
      <c r="D70" s="64" t="e">
        <f>SUM(D43:D69)</f>
        <v>#REF!</v>
      </c>
      <c r="E70" s="64"/>
      <c r="F70" s="40"/>
      <c r="G70" s="64"/>
      <c r="H70" s="40"/>
      <c r="I70" s="64" t="e">
        <f>SUM(D70:H70)</f>
        <v>#REF!</v>
      </c>
      <c r="J70" s="40"/>
      <c r="K70" s="40"/>
      <c r="L70" s="40"/>
      <c r="M70" s="40"/>
      <c r="N70" s="40"/>
      <c r="O70" s="40"/>
      <c r="P70" s="40"/>
      <c r="Q70" s="40" t="s">
        <v>3</v>
      </c>
      <c r="R70" s="65">
        <f>SUM(R64:R69)</f>
        <v>10839.56</v>
      </c>
      <c r="S70" s="65">
        <f>SUM(S64:S69)</f>
        <v>1913.12</v>
      </c>
      <c r="T70" s="65">
        <f>T64+T65+T66</f>
        <v>450.15</v>
      </c>
      <c r="U70" s="65">
        <f>U64+U65+U66</f>
        <v>0</v>
      </c>
      <c r="V70" s="65">
        <f>SUM(V64:V69)</f>
        <v>13202.83</v>
      </c>
      <c r="W70" s="2"/>
      <c r="X70" s="2"/>
    </row>
    <row r="71" spans="1:24" s="1" customFormat="1" ht="13.5" customHeight="1" x14ac:dyDescent="0.2">
      <c r="A71" s="48"/>
      <c r="B71" s="68"/>
      <c r="C71" s="68"/>
      <c r="D71" s="69"/>
      <c r="E71" s="69"/>
      <c r="F71" s="70"/>
      <c r="G71" s="69"/>
      <c r="H71" s="70"/>
      <c r="I71" s="69"/>
      <c r="J71" s="69"/>
      <c r="K71" s="70"/>
      <c r="L71" s="70"/>
      <c r="M71" s="70"/>
      <c r="N71" s="70"/>
      <c r="O71" s="70"/>
      <c r="P71" s="70"/>
      <c r="Q71" s="69"/>
      <c r="R71" s="64"/>
      <c r="S71" s="64"/>
      <c r="T71" s="64"/>
      <c r="U71" s="64"/>
      <c r="V71" s="64"/>
      <c r="W71" s="2"/>
      <c r="X71" s="2"/>
    </row>
    <row r="72" spans="1:24" ht="13.5" customHeight="1" x14ac:dyDescent="0.2">
      <c r="A72" s="29"/>
      <c r="B72" s="72"/>
      <c r="C72" s="71" t="s">
        <v>29</v>
      </c>
      <c r="D72" s="54"/>
      <c r="E72" s="54"/>
      <c r="F72" s="52"/>
      <c r="G72" s="54"/>
      <c r="H72" s="52"/>
      <c r="I72" s="54"/>
      <c r="J72" s="54"/>
      <c r="K72" s="52"/>
      <c r="L72" s="52"/>
      <c r="M72" s="52"/>
      <c r="N72" s="52"/>
      <c r="O72" s="52"/>
      <c r="P72" s="52"/>
      <c r="Q72" s="54"/>
      <c r="R72" s="54"/>
      <c r="S72" s="54"/>
      <c r="T72" s="52"/>
      <c r="U72" s="54"/>
      <c r="V72" s="62"/>
      <c r="W72" s="18"/>
      <c r="X72" s="18"/>
    </row>
    <row r="73" spans="1:24" ht="13.5" customHeight="1" x14ac:dyDescent="0.2">
      <c r="A73" s="29"/>
      <c r="B73" s="72"/>
      <c r="C73" s="71"/>
      <c r="D73" s="54"/>
      <c r="E73" s="54"/>
      <c r="F73" s="52"/>
      <c r="G73" s="54"/>
      <c r="H73" s="52"/>
      <c r="I73" s="54"/>
      <c r="J73" s="54"/>
      <c r="K73" s="52"/>
      <c r="L73" s="52"/>
      <c r="M73" s="52"/>
      <c r="N73" s="52"/>
      <c r="O73" s="52"/>
      <c r="P73" s="52"/>
      <c r="Q73" s="54"/>
      <c r="R73" s="54"/>
      <c r="S73" s="54"/>
      <c r="T73" s="52"/>
      <c r="U73" s="54"/>
      <c r="V73" s="62"/>
      <c r="W73" s="18"/>
      <c r="X73" s="18"/>
    </row>
    <row r="74" spans="1:24" ht="13.5" customHeight="1" x14ac:dyDescent="0.2">
      <c r="A74" s="29">
        <v>29</v>
      </c>
      <c r="B74" s="41"/>
      <c r="C74" s="52" t="s">
        <v>82</v>
      </c>
      <c r="D74" s="54"/>
      <c r="E74" s="54"/>
      <c r="F74" s="52"/>
      <c r="G74" s="54"/>
      <c r="H74" s="52"/>
      <c r="I74" s="54"/>
      <c r="J74" s="54"/>
      <c r="K74" s="52"/>
      <c r="L74" s="52"/>
      <c r="M74" s="52"/>
      <c r="N74" s="52"/>
      <c r="O74" s="52"/>
      <c r="P74" s="52"/>
      <c r="Q74" s="54"/>
      <c r="R74" s="55">
        <f>13279.42</f>
        <v>13279.42</v>
      </c>
      <c r="S74" s="54"/>
      <c r="T74" s="52"/>
      <c r="U74" s="54"/>
      <c r="V74" s="56">
        <f>SUM(R74:U74)</f>
        <v>13279.42</v>
      </c>
      <c r="W74" s="18"/>
      <c r="X74" s="18"/>
    </row>
    <row r="75" spans="1:24" ht="13.5" hidden="1" customHeight="1" x14ac:dyDescent="0.2">
      <c r="A75" s="29"/>
      <c r="B75" s="72"/>
      <c r="C75" s="73"/>
      <c r="D75" s="54"/>
      <c r="E75" s="54"/>
      <c r="F75" s="52"/>
      <c r="G75" s="54"/>
      <c r="H75" s="52"/>
      <c r="I75" s="54"/>
      <c r="J75" s="54"/>
      <c r="K75" s="52"/>
      <c r="L75" s="52"/>
      <c r="M75" s="52"/>
      <c r="N75" s="52"/>
      <c r="O75" s="52"/>
      <c r="P75" s="52"/>
      <c r="Q75" s="54"/>
      <c r="R75" s="54"/>
      <c r="S75" s="54"/>
      <c r="T75" s="52"/>
      <c r="U75" s="54"/>
      <c r="V75" s="62"/>
      <c r="W75" s="18"/>
      <c r="X75" s="18"/>
    </row>
    <row r="76" spans="1:24" ht="13.5" customHeight="1" x14ac:dyDescent="0.2">
      <c r="A76" s="29">
        <v>30</v>
      </c>
      <c r="B76" s="41"/>
      <c r="C76" s="52" t="s">
        <v>83</v>
      </c>
      <c r="D76" s="54"/>
      <c r="E76" s="54"/>
      <c r="F76" s="52"/>
      <c r="G76" s="54"/>
      <c r="H76" s="52"/>
      <c r="I76" s="54"/>
      <c r="J76" s="54"/>
      <c r="K76" s="52"/>
      <c r="L76" s="52"/>
      <c r="M76" s="52"/>
      <c r="N76" s="52"/>
      <c r="O76" s="52"/>
      <c r="P76" s="52"/>
      <c r="Q76" s="54"/>
      <c r="R76" s="55">
        <f>6223.19</f>
        <v>6223.19</v>
      </c>
      <c r="S76" s="54"/>
      <c r="T76" s="52"/>
      <c r="U76" s="54"/>
      <c r="V76" s="56">
        <f>SUM(R76:U76)</f>
        <v>6223.19</v>
      </c>
      <c r="W76" s="18"/>
      <c r="X76" s="18"/>
    </row>
    <row r="77" spans="1:24" ht="13.5" customHeight="1" x14ac:dyDescent="0.2">
      <c r="A77" s="29"/>
      <c r="B77" s="72"/>
      <c r="C77" s="73"/>
      <c r="D77" s="54"/>
      <c r="E77" s="54"/>
      <c r="F77" s="52"/>
      <c r="G77" s="54"/>
      <c r="H77" s="52"/>
      <c r="I77" s="54"/>
      <c r="J77" s="54"/>
      <c r="K77" s="52"/>
      <c r="L77" s="52"/>
      <c r="M77" s="52"/>
      <c r="N77" s="52"/>
      <c r="O77" s="52"/>
      <c r="P77" s="52"/>
      <c r="Q77" s="54"/>
      <c r="R77" s="54"/>
      <c r="S77" s="54"/>
      <c r="T77" s="52"/>
      <c r="U77" s="54"/>
      <c r="V77" s="62"/>
      <c r="W77" s="18"/>
      <c r="X77" s="18"/>
    </row>
    <row r="78" spans="1:24" s="1" customFormat="1" ht="13.5" customHeight="1" x14ac:dyDescent="0.2">
      <c r="A78" s="48"/>
      <c r="B78" s="68"/>
      <c r="C78" s="68" t="s">
        <v>24</v>
      </c>
      <c r="D78" s="69"/>
      <c r="E78" s="69"/>
      <c r="F78" s="70"/>
      <c r="G78" s="69"/>
      <c r="H78" s="70"/>
      <c r="I78" s="69"/>
      <c r="J78" s="69"/>
      <c r="K78" s="70"/>
      <c r="L78" s="70"/>
      <c r="M78" s="70"/>
      <c r="N78" s="70"/>
      <c r="O78" s="70"/>
      <c r="P78" s="70"/>
      <c r="Q78" s="69"/>
      <c r="R78" s="65">
        <f>R74+R76</f>
        <v>19502.61</v>
      </c>
      <c r="S78" s="65">
        <f>S74+S76</f>
        <v>0</v>
      </c>
      <c r="T78" s="65">
        <f>T74+T76</f>
        <v>0</v>
      </c>
      <c r="U78" s="65">
        <f>U74+U76</f>
        <v>0</v>
      </c>
      <c r="V78" s="65">
        <f>V74+V76</f>
        <v>19502.61</v>
      </c>
    </row>
    <row r="79" spans="1:24" ht="6.75" customHeight="1" x14ac:dyDescent="0.2">
      <c r="A79" s="29"/>
      <c r="B79" s="72"/>
      <c r="C79" s="73"/>
      <c r="D79" s="54"/>
      <c r="E79" s="54"/>
      <c r="F79" s="52"/>
      <c r="G79" s="54"/>
      <c r="H79" s="52"/>
      <c r="I79" s="54"/>
      <c r="J79" s="54"/>
      <c r="K79" s="52"/>
      <c r="L79" s="52"/>
      <c r="M79" s="52"/>
      <c r="N79" s="52"/>
      <c r="O79" s="52"/>
      <c r="P79" s="52"/>
      <c r="Q79" s="54"/>
      <c r="R79" s="55"/>
      <c r="S79" s="55"/>
      <c r="T79" s="42"/>
      <c r="U79" s="55"/>
      <c r="V79" s="63"/>
    </row>
    <row r="80" spans="1:24" s="1" customFormat="1" ht="13.5" customHeight="1" x14ac:dyDescent="0.2">
      <c r="A80" s="48"/>
      <c r="B80" s="68"/>
      <c r="C80" s="68" t="s">
        <v>32</v>
      </c>
      <c r="D80" s="69"/>
      <c r="E80" s="69"/>
      <c r="F80" s="70"/>
      <c r="G80" s="69"/>
      <c r="H80" s="70"/>
      <c r="I80" s="69"/>
      <c r="J80" s="69"/>
      <c r="K80" s="70"/>
      <c r="L80" s="70"/>
      <c r="M80" s="70"/>
      <c r="N80" s="70"/>
      <c r="O80" s="70"/>
      <c r="P80" s="70"/>
      <c r="Q80" s="69"/>
      <c r="R80" s="65">
        <f>R54+R60+R70+R78</f>
        <v>106258.82</v>
      </c>
      <c r="S80" s="65">
        <f>S54+S60+S70+S78</f>
        <v>25641.5</v>
      </c>
      <c r="T80" s="65">
        <f>T54+T60+T70+T78</f>
        <v>348186.98</v>
      </c>
      <c r="U80" s="65">
        <f>U54+U60+U70+U78</f>
        <v>179.01</v>
      </c>
      <c r="V80" s="65">
        <f>V54+V60+V70+V78</f>
        <v>480266.31</v>
      </c>
    </row>
    <row r="81" spans="1:24" s="1" customFormat="1" ht="13.5" customHeight="1" x14ac:dyDescent="0.2">
      <c r="A81" s="48"/>
      <c r="B81" s="68"/>
      <c r="C81" s="68"/>
      <c r="D81" s="69"/>
      <c r="E81" s="69"/>
      <c r="F81" s="70"/>
      <c r="G81" s="69"/>
      <c r="H81" s="70"/>
      <c r="I81" s="69"/>
      <c r="J81" s="69"/>
      <c r="K81" s="70"/>
      <c r="L81" s="70"/>
      <c r="M81" s="70"/>
      <c r="N81" s="70"/>
      <c r="O81" s="70"/>
      <c r="P81" s="70"/>
      <c r="Q81" s="69"/>
      <c r="R81" s="69"/>
      <c r="S81" s="69"/>
      <c r="T81" s="69"/>
      <c r="U81" s="69"/>
      <c r="V81" s="69"/>
    </row>
    <row r="82" spans="1:24" s="1" customFormat="1" ht="13.5" customHeight="1" x14ac:dyDescent="0.2">
      <c r="A82" s="48"/>
      <c r="B82" s="68"/>
      <c r="C82" s="71" t="s">
        <v>33</v>
      </c>
      <c r="D82" s="69"/>
      <c r="E82" s="69"/>
      <c r="F82" s="70"/>
      <c r="G82" s="69"/>
      <c r="H82" s="70"/>
      <c r="I82" s="69"/>
      <c r="J82" s="69"/>
      <c r="K82" s="70"/>
      <c r="L82" s="70"/>
      <c r="M82" s="70"/>
      <c r="N82" s="70"/>
      <c r="O82" s="70"/>
      <c r="P82" s="70"/>
      <c r="Q82" s="69"/>
      <c r="R82" s="69"/>
      <c r="S82" s="69"/>
      <c r="T82" s="69"/>
      <c r="U82" s="69"/>
      <c r="V82" s="69"/>
    </row>
    <row r="83" spans="1:24" s="1" customFormat="1" ht="13.5" customHeight="1" x14ac:dyDescent="0.2">
      <c r="A83" s="48"/>
      <c r="B83" s="68"/>
      <c r="C83" s="68"/>
      <c r="D83" s="69"/>
      <c r="E83" s="69"/>
      <c r="F83" s="70"/>
      <c r="G83" s="69"/>
      <c r="H83" s="70"/>
      <c r="I83" s="69"/>
      <c r="J83" s="69"/>
      <c r="K83" s="70"/>
      <c r="L83" s="70"/>
      <c r="M83" s="70"/>
      <c r="N83" s="70"/>
      <c r="O83" s="70"/>
      <c r="P83" s="70"/>
      <c r="Q83" s="69"/>
      <c r="R83" s="69"/>
      <c r="S83" s="69"/>
      <c r="T83" s="69"/>
      <c r="U83" s="69"/>
      <c r="V83" s="69"/>
    </row>
    <row r="84" spans="1:24" s="1" customFormat="1" ht="27.75" customHeight="1" x14ac:dyDescent="0.2">
      <c r="A84" s="29">
        <v>31</v>
      </c>
      <c r="B84" s="74" t="s">
        <v>65</v>
      </c>
      <c r="C84" s="75" t="s">
        <v>64</v>
      </c>
      <c r="D84" s="54"/>
      <c r="E84" s="54"/>
      <c r="F84" s="52"/>
      <c r="G84" s="54"/>
      <c r="H84" s="52"/>
      <c r="I84" s="54"/>
      <c r="J84" s="54"/>
      <c r="K84" s="52"/>
      <c r="L84" s="52"/>
      <c r="M84" s="52"/>
      <c r="N84" s="52"/>
      <c r="O84" s="52"/>
      <c r="P84" s="52"/>
      <c r="Q84" s="54"/>
      <c r="R84" s="63">
        <f>(R80-R40-R46)*0.039</f>
        <v>3831.59</v>
      </c>
      <c r="S84" s="63">
        <f>(S80-S40-S46)*0.039</f>
        <v>997.24</v>
      </c>
      <c r="T84" s="63"/>
      <c r="U84" s="63"/>
      <c r="V84" s="63">
        <f>R84+S84</f>
        <v>4828.83</v>
      </c>
    </row>
    <row r="85" spans="1:24" s="1" customFormat="1" ht="13.5" hidden="1" customHeight="1" x14ac:dyDescent="0.2">
      <c r="A85" s="29"/>
      <c r="B85" s="60"/>
      <c r="C85" s="72"/>
      <c r="D85" s="54"/>
      <c r="E85" s="54"/>
      <c r="F85" s="52"/>
      <c r="G85" s="54"/>
      <c r="H85" s="52"/>
      <c r="I85" s="54"/>
      <c r="J85" s="54"/>
      <c r="K85" s="52"/>
      <c r="L85" s="52"/>
      <c r="M85" s="52"/>
      <c r="N85" s="52"/>
      <c r="O85" s="52"/>
      <c r="P85" s="52"/>
      <c r="Q85" s="54"/>
      <c r="R85" s="56"/>
      <c r="S85" s="56"/>
      <c r="T85" s="56"/>
      <c r="U85" s="56"/>
      <c r="V85" s="56"/>
    </row>
    <row r="86" spans="1:24" s="1" customFormat="1" ht="27" customHeight="1" x14ac:dyDescent="0.2">
      <c r="A86" s="29">
        <v>32</v>
      </c>
      <c r="B86" s="76" t="s">
        <v>47</v>
      </c>
      <c r="C86" s="77" t="s">
        <v>46</v>
      </c>
      <c r="D86" s="54"/>
      <c r="E86" s="54"/>
      <c r="F86" s="52"/>
      <c r="G86" s="54"/>
      <c r="H86" s="52"/>
      <c r="I86" s="54"/>
      <c r="J86" s="54"/>
      <c r="K86" s="52"/>
      <c r="L86" s="52"/>
      <c r="M86" s="52"/>
      <c r="N86" s="52"/>
      <c r="O86" s="52"/>
      <c r="P86" s="52"/>
      <c r="Q86" s="54"/>
      <c r="R86" s="63">
        <f>(R40+R46)*3.3/100</f>
        <v>264.43</v>
      </c>
      <c r="S86" s="63">
        <f>(S40+S46)*3.3/100</f>
        <v>2.35</v>
      </c>
      <c r="T86" s="63"/>
      <c r="U86" s="63"/>
      <c r="V86" s="63">
        <f>R86+S86</f>
        <v>266.77999999999997</v>
      </c>
      <c r="W86" s="8"/>
    </row>
    <row r="87" spans="1:24" s="1" customFormat="1" ht="13.5" hidden="1" customHeight="1" x14ac:dyDescent="0.2">
      <c r="A87" s="29"/>
      <c r="B87" s="41"/>
      <c r="C87" s="72"/>
      <c r="D87" s="54"/>
      <c r="E87" s="54"/>
      <c r="F87" s="52"/>
      <c r="G87" s="54"/>
      <c r="H87" s="52"/>
      <c r="I87" s="54"/>
      <c r="J87" s="54"/>
      <c r="K87" s="52"/>
      <c r="L87" s="52"/>
      <c r="M87" s="52"/>
      <c r="N87" s="52"/>
      <c r="O87" s="52"/>
      <c r="P87" s="52"/>
      <c r="Q87" s="54"/>
      <c r="R87" s="56"/>
      <c r="S87" s="56"/>
      <c r="T87" s="56"/>
      <c r="U87" s="56"/>
      <c r="V87" s="56"/>
    </row>
    <row r="88" spans="1:24" ht="13.5" customHeight="1" x14ac:dyDescent="0.2">
      <c r="A88" s="29"/>
      <c r="B88" s="72"/>
      <c r="C88" s="68" t="s">
        <v>34</v>
      </c>
      <c r="D88" s="54"/>
      <c r="E88" s="54"/>
      <c r="F88" s="52"/>
      <c r="G88" s="54"/>
      <c r="H88" s="52"/>
      <c r="I88" s="54"/>
      <c r="J88" s="54"/>
      <c r="K88" s="52"/>
      <c r="L88" s="52"/>
      <c r="M88" s="52"/>
      <c r="N88" s="52"/>
      <c r="O88" s="52"/>
      <c r="P88" s="52"/>
      <c r="Q88" s="54"/>
      <c r="R88" s="64">
        <f>SUM(R84:R87)</f>
        <v>4096.0200000000004</v>
      </c>
      <c r="S88" s="64">
        <f>SUM(S84:S87)</f>
        <v>999.59</v>
      </c>
      <c r="T88" s="64">
        <f>SUM(T84:T87)</f>
        <v>0</v>
      </c>
      <c r="U88" s="64">
        <f>SUM(U84:U87)</f>
        <v>0</v>
      </c>
      <c r="V88" s="64">
        <f>SUM(V84:V87)</f>
        <v>5095.6099999999997</v>
      </c>
    </row>
    <row r="89" spans="1:24" ht="13.5" customHeight="1" x14ac:dyDescent="0.2">
      <c r="A89" s="29"/>
      <c r="B89" s="72"/>
      <c r="C89" s="73"/>
      <c r="D89" s="54"/>
      <c r="E89" s="54"/>
      <c r="F89" s="52"/>
      <c r="G89" s="54"/>
      <c r="H89" s="52"/>
      <c r="I89" s="54"/>
      <c r="J89" s="54"/>
      <c r="K89" s="52"/>
      <c r="L89" s="52"/>
      <c r="M89" s="52"/>
      <c r="N89" s="52"/>
      <c r="O89" s="52"/>
      <c r="P89" s="52"/>
      <c r="Q89" s="54"/>
      <c r="R89" s="55"/>
      <c r="S89" s="55"/>
      <c r="T89" s="42"/>
      <c r="U89" s="55"/>
      <c r="V89" s="63"/>
    </row>
    <row r="90" spans="1:24" ht="13.5" customHeight="1" x14ac:dyDescent="0.2">
      <c r="A90" s="29"/>
      <c r="B90" s="72"/>
      <c r="C90" s="68" t="s">
        <v>35</v>
      </c>
      <c r="D90" s="54"/>
      <c r="E90" s="54"/>
      <c r="F90" s="52"/>
      <c r="G90" s="54"/>
      <c r="H90" s="52"/>
      <c r="I90" s="54"/>
      <c r="J90" s="54"/>
      <c r="K90" s="52"/>
      <c r="L90" s="52"/>
      <c r="M90" s="52"/>
      <c r="N90" s="52"/>
      <c r="O90" s="52"/>
      <c r="P90" s="52"/>
      <c r="Q90" s="54"/>
      <c r="R90" s="64">
        <f>R80+R88</f>
        <v>110354.84</v>
      </c>
      <c r="S90" s="64">
        <f>S80+S88</f>
        <v>26641.09</v>
      </c>
      <c r="T90" s="64">
        <f>T80+T88</f>
        <v>348186.98</v>
      </c>
      <c r="U90" s="64">
        <f>U80+U88</f>
        <v>179.01</v>
      </c>
      <c r="V90" s="64">
        <f>V80+V88</f>
        <v>485361.91999999998</v>
      </c>
    </row>
    <row r="91" spans="1:24" ht="13.5" customHeight="1" x14ac:dyDescent="0.2">
      <c r="A91" s="29"/>
      <c r="B91" s="72"/>
      <c r="C91" s="72"/>
      <c r="D91" s="54"/>
      <c r="E91" s="54"/>
      <c r="F91" s="52"/>
      <c r="G91" s="54"/>
      <c r="H91" s="52"/>
      <c r="I91" s="54"/>
      <c r="J91" s="54"/>
      <c r="K91" s="52"/>
      <c r="L91" s="52"/>
      <c r="M91" s="52"/>
      <c r="N91" s="52"/>
      <c r="O91" s="52"/>
      <c r="P91" s="52"/>
      <c r="Q91" s="54"/>
      <c r="R91" s="54"/>
      <c r="S91" s="66"/>
      <c r="T91" s="67"/>
      <c r="U91" s="54"/>
      <c r="V91" s="62"/>
    </row>
    <row r="92" spans="1:24" x14ac:dyDescent="0.2">
      <c r="A92" s="29"/>
      <c r="B92" s="78"/>
      <c r="C92" s="71" t="s">
        <v>16</v>
      </c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67"/>
      <c r="T92" s="67"/>
      <c r="U92" s="52"/>
      <c r="V92" s="62"/>
    </row>
    <row r="93" spans="1:24" hidden="1" x14ac:dyDescent="0.2">
      <c r="A93" s="29"/>
      <c r="B93" s="78"/>
      <c r="C93" s="73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62"/>
    </row>
    <row r="94" spans="1:24" s="10" customFormat="1" ht="34.5" customHeight="1" x14ac:dyDescent="0.2">
      <c r="A94" s="29">
        <v>33</v>
      </c>
      <c r="B94" s="76" t="s">
        <v>69</v>
      </c>
      <c r="C94" s="61" t="s">
        <v>89</v>
      </c>
      <c r="D94" s="62" t="e">
        <f>#REF!*1.5/100</f>
        <v>#REF!</v>
      </c>
      <c r="E94" s="62"/>
      <c r="F94" s="53"/>
      <c r="G94" s="53"/>
      <c r="H94" s="53"/>
      <c r="I94" s="62" t="e">
        <f>SUM(D94:H94)</f>
        <v>#REF!</v>
      </c>
      <c r="J94" s="53"/>
      <c r="K94" s="53"/>
      <c r="L94" s="53"/>
      <c r="M94" s="53"/>
      <c r="N94" s="53"/>
      <c r="O94" s="53"/>
      <c r="P94" s="53"/>
      <c r="Q94" s="53"/>
      <c r="R94" s="63">
        <f>(R90-R46-R40-R86)*0.043*1.5*1.05</f>
        <v>6913.19</v>
      </c>
      <c r="S94" s="63">
        <f>(S90-S86-S40-S46)*0.043*1.5*1.05</f>
        <v>1799.29</v>
      </c>
      <c r="T94" s="63"/>
      <c r="U94" s="63"/>
      <c r="V94" s="63">
        <f>SUM(R94:U94)</f>
        <v>8712.48</v>
      </c>
      <c r="W94" s="11"/>
      <c r="X94" s="12"/>
    </row>
    <row r="95" spans="1:24" s="10" customFormat="1" ht="12" hidden="1" customHeight="1" x14ac:dyDescent="0.2">
      <c r="A95" s="29"/>
      <c r="B95" s="76"/>
      <c r="C95" s="61"/>
      <c r="D95" s="62"/>
      <c r="E95" s="62"/>
      <c r="F95" s="53"/>
      <c r="G95" s="53"/>
      <c r="H95" s="53"/>
      <c r="I95" s="62"/>
      <c r="J95" s="53"/>
      <c r="K95" s="53"/>
      <c r="L95" s="53"/>
      <c r="M95" s="53"/>
      <c r="N95" s="53"/>
      <c r="O95" s="53"/>
      <c r="P95" s="53"/>
      <c r="Q95" s="53"/>
      <c r="R95" s="63"/>
      <c r="S95" s="63"/>
      <c r="T95" s="63"/>
      <c r="U95" s="63"/>
      <c r="V95" s="63"/>
    </row>
    <row r="96" spans="1:24" s="10" customFormat="1" ht="34.5" customHeight="1" x14ac:dyDescent="0.2">
      <c r="A96" s="29">
        <v>34</v>
      </c>
      <c r="B96" s="76" t="s">
        <v>48</v>
      </c>
      <c r="C96" s="61" t="s">
        <v>90</v>
      </c>
      <c r="D96" s="62" t="e">
        <f>#REF!*1.5/100</f>
        <v>#REF!</v>
      </c>
      <c r="E96" s="62"/>
      <c r="F96" s="53"/>
      <c r="G96" s="53"/>
      <c r="H96" s="53"/>
      <c r="I96" s="62" t="e">
        <f>SUM(D96:H96)</f>
        <v>#REF!</v>
      </c>
      <c r="J96" s="53"/>
      <c r="K96" s="53"/>
      <c r="L96" s="53"/>
      <c r="M96" s="53"/>
      <c r="N96" s="53"/>
      <c r="O96" s="53"/>
      <c r="P96" s="53"/>
      <c r="Q96" s="53"/>
      <c r="R96" s="63">
        <f>(R40+R46+R86)*1.7*1.5*1.05/100</f>
        <v>221.63</v>
      </c>
      <c r="S96" s="63">
        <f>(S40+S46+S86)*1.7*1.5*1.05/100</f>
        <v>1.97</v>
      </c>
      <c r="T96" s="63"/>
      <c r="U96" s="63"/>
      <c r="V96" s="63">
        <f>SUM(R96:U96)</f>
        <v>223.6</v>
      </c>
      <c r="W96" s="13"/>
      <c r="X96" s="13"/>
    </row>
    <row r="97" spans="1:23" s="10" customFormat="1" ht="12" hidden="1" customHeight="1" x14ac:dyDescent="0.2">
      <c r="A97" s="29"/>
      <c r="B97" s="76"/>
      <c r="C97" s="61"/>
      <c r="D97" s="62"/>
      <c r="E97" s="62"/>
      <c r="F97" s="53"/>
      <c r="G97" s="53"/>
      <c r="H97" s="53"/>
      <c r="I97" s="62"/>
      <c r="J97" s="53"/>
      <c r="K97" s="53"/>
      <c r="L97" s="53"/>
      <c r="M97" s="53"/>
      <c r="N97" s="53"/>
      <c r="O97" s="53"/>
      <c r="P97" s="53"/>
      <c r="Q97" s="53"/>
      <c r="R97" s="63"/>
      <c r="S97" s="63"/>
      <c r="T97" s="63"/>
      <c r="U97" s="63"/>
      <c r="V97" s="63"/>
    </row>
    <row r="98" spans="1:23" s="10" customFormat="1" ht="24.75" customHeight="1" x14ac:dyDescent="0.2">
      <c r="A98" s="29">
        <v>35</v>
      </c>
      <c r="B98" s="76" t="s">
        <v>70</v>
      </c>
      <c r="C98" s="61" t="s">
        <v>71</v>
      </c>
      <c r="D98" s="62"/>
      <c r="E98" s="62"/>
      <c r="F98" s="53"/>
      <c r="G98" s="53"/>
      <c r="H98" s="53"/>
      <c r="I98" s="62"/>
      <c r="J98" s="53"/>
      <c r="K98" s="53"/>
      <c r="L98" s="53"/>
      <c r="M98" s="53"/>
      <c r="N98" s="53"/>
      <c r="O98" s="53"/>
      <c r="P98" s="53"/>
      <c r="Q98" s="53"/>
      <c r="R98" s="63">
        <f>(R90-R86-R46-R40)*0.004</f>
        <v>408.31</v>
      </c>
      <c r="S98" s="63">
        <f>(S90-S86-S46-S40)*0.004</f>
        <v>106.27</v>
      </c>
      <c r="T98" s="63"/>
      <c r="U98" s="63"/>
      <c r="V98" s="63">
        <f>SUM(R98:U98)</f>
        <v>514.58000000000004</v>
      </c>
    </row>
    <row r="99" spans="1:23" s="10" customFormat="1" ht="13.5" hidden="1" customHeight="1" x14ac:dyDescent="0.2">
      <c r="A99" s="29"/>
      <c r="B99" s="76"/>
      <c r="C99" s="61"/>
      <c r="D99" s="62"/>
      <c r="E99" s="62"/>
      <c r="F99" s="53"/>
      <c r="G99" s="53"/>
      <c r="H99" s="53"/>
      <c r="I99" s="62"/>
      <c r="J99" s="53"/>
      <c r="K99" s="53"/>
      <c r="L99" s="53"/>
      <c r="M99" s="53"/>
      <c r="N99" s="53"/>
      <c r="O99" s="53"/>
      <c r="P99" s="53"/>
      <c r="Q99" s="53"/>
      <c r="R99" s="63"/>
      <c r="S99" s="63"/>
      <c r="T99" s="63"/>
      <c r="U99" s="63"/>
      <c r="V99" s="63"/>
    </row>
    <row r="100" spans="1:23" s="10" customFormat="1" ht="24.75" customHeight="1" x14ac:dyDescent="0.2">
      <c r="A100" s="29">
        <v>36</v>
      </c>
      <c r="B100" s="76" t="s">
        <v>70</v>
      </c>
      <c r="C100" s="61" t="s">
        <v>72</v>
      </c>
      <c r="D100" s="62"/>
      <c r="E100" s="62"/>
      <c r="F100" s="53"/>
      <c r="G100" s="53"/>
      <c r="H100" s="53"/>
      <c r="I100" s="62"/>
      <c r="J100" s="53"/>
      <c r="K100" s="53"/>
      <c r="L100" s="53"/>
      <c r="M100" s="53"/>
      <c r="N100" s="53"/>
      <c r="O100" s="53"/>
      <c r="P100" s="53"/>
      <c r="Q100" s="53"/>
      <c r="R100" s="63">
        <f>(R40+R46+R86)*0.4/100</f>
        <v>33.11</v>
      </c>
      <c r="S100" s="63">
        <f>(S40+S46+S86)*0.4/100</f>
        <v>0.28999999999999998</v>
      </c>
      <c r="T100" s="63"/>
      <c r="U100" s="63"/>
      <c r="V100" s="63">
        <f>SUM(R100:U100)</f>
        <v>33.4</v>
      </c>
    </row>
    <row r="101" spans="1:23" s="10" customFormat="1" ht="12.75" hidden="1" customHeight="1" x14ac:dyDescent="0.2">
      <c r="A101" s="29"/>
      <c r="B101" s="76"/>
      <c r="C101" s="61"/>
      <c r="D101" s="62"/>
      <c r="E101" s="62"/>
      <c r="F101" s="53"/>
      <c r="G101" s="53"/>
      <c r="H101" s="53"/>
      <c r="I101" s="62"/>
      <c r="J101" s="53"/>
      <c r="K101" s="53"/>
      <c r="L101" s="53"/>
      <c r="M101" s="53"/>
      <c r="N101" s="53"/>
      <c r="O101" s="53"/>
      <c r="P101" s="53"/>
      <c r="Q101" s="53"/>
      <c r="R101" s="63"/>
      <c r="S101" s="63"/>
      <c r="T101" s="63"/>
      <c r="U101" s="63"/>
      <c r="V101" s="63"/>
    </row>
    <row r="102" spans="1:23" s="5" customFormat="1" ht="69.75" customHeight="1" x14ac:dyDescent="0.2">
      <c r="A102" s="29">
        <v>37</v>
      </c>
      <c r="B102" s="77" t="s">
        <v>76</v>
      </c>
      <c r="C102" s="77" t="s">
        <v>130</v>
      </c>
      <c r="D102" s="62"/>
      <c r="E102" s="62"/>
      <c r="F102" s="62"/>
      <c r="G102" s="62" t="e">
        <f>#REF!*0.01</f>
        <v>#REF!</v>
      </c>
      <c r="H102" s="62"/>
      <c r="I102" s="62" t="e">
        <f>G102</f>
        <v>#REF!</v>
      </c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3">
        <f>(R90+S90)*2/100</f>
        <v>2739.92</v>
      </c>
      <c r="V102" s="63">
        <f>SUM(R102:U102)</f>
        <v>2739.92</v>
      </c>
    </row>
    <row r="103" spans="1:23" s="5" customFormat="1" ht="13.5" hidden="1" customHeight="1" x14ac:dyDescent="0.2">
      <c r="A103" s="29"/>
      <c r="B103" s="77"/>
      <c r="C103" s="77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" spans="1:23" s="5" customFormat="1" ht="32.25" hidden="1" customHeight="1" x14ac:dyDescent="0.2">
      <c r="A104" s="29">
        <v>38</v>
      </c>
      <c r="B104" s="77" t="s">
        <v>87</v>
      </c>
      <c r="C104" s="77" t="s">
        <v>86</v>
      </c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3"/>
      <c r="V104" s="63">
        <f>U104</f>
        <v>0</v>
      </c>
    </row>
    <row r="105" spans="1:23" s="5" customFormat="1" ht="12" hidden="1" customHeight="1" x14ac:dyDescent="0.2">
      <c r="A105" s="29"/>
      <c r="B105" s="77"/>
      <c r="C105" s="77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</row>
    <row r="106" spans="1:23" s="5" customFormat="1" ht="29.25" hidden="1" customHeight="1" x14ac:dyDescent="0.2">
      <c r="A106" s="29">
        <v>39</v>
      </c>
      <c r="B106" s="77" t="s">
        <v>23</v>
      </c>
      <c r="C106" s="77" t="s">
        <v>77</v>
      </c>
      <c r="D106" s="62"/>
      <c r="E106" s="62"/>
      <c r="F106" s="62"/>
      <c r="G106" s="62">
        <f>D119*0.01</f>
        <v>0</v>
      </c>
      <c r="H106" s="62"/>
      <c r="I106" s="62">
        <f>G106</f>
        <v>0</v>
      </c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3"/>
      <c r="V106" s="63">
        <f>SUM(R106:U106)</f>
        <v>0</v>
      </c>
      <c r="W106" s="14"/>
    </row>
    <row r="107" spans="1:23" s="5" customFormat="1" ht="11.25" hidden="1" customHeight="1" x14ac:dyDescent="0.2">
      <c r="A107" s="29"/>
      <c r="B107" s="77"/>
      <c r="C107" s="77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3"/>
      <c r="V107" s="63"/>
    </row>
    <row r="108" spans="1:23" s="5" customFormat="1" ht="29.25" hidden="1" customHeight="1" x14ac:dyDescent="0.2">
      <c r="A108" s="29">
        <v>40</v>
      </c>
      <c r="B108" s="77" t="s">
        <v>23</v>
      </c>
      <c r="C108" s="77" t="s">
        <v>91</v>
      </c>
      <c r="D108" s="62"/>
      <c r="E108" s="62"/>
      <c r="F108" s="62"/>
      <c r="G108" s="62">
        <f>D121*0.01</f>
        <v>0</v>
      </c>
      <c r="H108" s="62"/>
      <c r="I108" s="62">
        <f>G108</f>
        <v>0</v>
      </c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3"/>
      <c r="V108" s="63">
        <f>SUM(R108:U108)</f>
        <v>0</v>
      </c>
    </row>
    <row r="109" spans="1:23" s="5" customFormat="1" ht="14.25" hidden="1" customHeight="1" x14ac:dyDescent="0.2">
      <c r="A109" s="29"/>
      <c r="B109" s="77"/>
      <c r="C109" s="77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3"/>
      <c r="V109" s="63"/>
    </row>
    <row r="110" spans="1:23" s="5" customFormat="1" ht="19.5" customHeight="1" x14ac:dyDescent="0.2">
      <c r="A110" s="29">
        <v>38</v>
      </c>
      <c r="B110" s="41" t="s">
        <v>74</v>
      </c>
      <c r="C110" s="77" t="s">
        <v>73</v>
      </c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3">
        <f>10923.53</f>
        <v>10923.53</v>
      </c>
      <c r="V110" s="63">
        <f>SUM(R110:U110)</f>
        <v>10923.53</v>
      </c>
    </row>
    <row r="111" spans="1:23" s="5" customFormat="1" ht="19.5" hidden="1" customHeight="1" x14ac:dyDescent="0.2">
      <c r="A111" s="29"/>
      <c r="B111" s="41"/>
      <c r="C111" s="77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3"/>
      <c r="V111" s="63"/>
    </row>
    <row r="112" spans="1:23" s="10" customFormat="1" ht="15.75" customHeight="1" x14ac:dyDescent="0.2">
      <c r="A112" s="29">
        <v>39</v>
      </c>
      <c r="B112" s="60" t="s">
        <v>75</v>
      </c>
      <c r="C112" s="61" t="s">
        <v>102</v>
      </c>
      <c r="D112" s="62"/>
      <c r="E112" s="62"/>
      <c r="F112" s="53"/>
      <c r="G112" s="53"/>
      <c r="H112" s="53"/>
      <c r="I112" s="62"/>
      <c r="J112" s="53"/>
      <c r="K112" s="53"/>
      <c r="L112" s="53"/>
      <c r="M112" s="53"/>
      <c r="N112" s="53"/>
      <c r="O112" s="53"/>
      <c r="P112" s="53"/>
      <c r="Q112" s="53"/>
      <c r="R112" s="62"/>
      <c r="S112" s="62"/>
      <c r="T112" s="79"/>
      <c r="U112" s="63">
        <f>(T118-T51)*7/100*0.8</f>
        <v>19397.93</v>
      </c>
      <c r="V112" s="63">
        <f>U112</f>
        <v>19397.93</v>
      </c>
    </row>
    <row r="113" spans="1:23" s="10" customFormat="1" ht="15.75" hidden="1" customHeight="1" x14ac:dyDescent="0.2">
      <c r="A113" s="29"/>
      <c r="B113" s="60"/>
      <c r="C113" s="61"/>
      <c r="D113" s="62"/>
      <c r="E113" s="62"/>
      <c r="F113" s="53"/>
      <c r="G113" s="53"/>
      <c r="H113" s="53"/>
      <c r="I113" s="62"/>
      <c r="J113" s="53"/>
      <c r="K113" s="53"/>
      <c r="L113" s="53"/>
      <c r="M113" s="53"/>
      <c r="N113" s="53"/>
      <c r="O113" s="53"/>
      <c r="P113" s="53"/>
      <c r="Q113" s="53"/>
      <c r="R113" s="62"/>
      <c r="S113" s="62"/>
      <c r="T113" s="79"/>
      <c r="U113" s="63"/>
      <c r="V113" s="63"/>
    </row>
    <row r="114" spans="1:23" s="10" customFormat="1" ht="47.25" customHeight="1" x14ac:dyDescent="0.2">
      <c r="A114" s="29">
        <v>40</v>
      </c>
      <c r="B114" s="60" t="s">
        <v>103</v>
      </c>
      <c r="C114" s="61" t="s">
        <v>104</v>
      </c>
      <c r="D114" s="62"/>
      <c r="E114" s="62"/>
      <c r="F114" s="53"/>
      <c r="G114" s="53"/>
      <c r="H114" s="53"/>
      <c r="I114" s="62"/>
      <c r="J114" s="53"/>
      <c r="K114" s="53"/>
      <c r="L114" s="53"/>
      <c r="M114" s="53"/>
      <c r="N114" s="53"/>
      <c r="O114" s="53"/>
      <c r="P114" s="53"/>
      <c r="Q114" s="53"/>
      <c r="R114" s="62"/>
      <c r="S114" s="62"/>
      <c r="T114" s="79"/>
      <c r="U114" s="63">
        <f>3000000/1000/1.18/7.61</f>
        <v>334.08</v>
      </c>
      <c r="V114" s="63">
        <f>U114</f>
        <v>334.08</v>
      </c>
    </row>
    <row r="115" spans="1:23" s="10" customFormat="1" ht="15.75" hidden="1" customHeight="1" x14ac:dyDescent="0.2">
      <c r="A115" s="29"/>
      <c r="B115" s="60"/>
      <c r="C115" s="61"/>
      <c r="D115" s="62"/>
      <c r="E115" s="62"/>
      <c r="F115" s="53"/>
      <c r="G115" s="53"/>
      <c r="H115" s="53"/>
      <c r="I115" s="62"/>
      <c r="J115" s="53"/>
      <c r="K115" s="53"/>
      <c r="L115" s="53"/>
      <c r="M115" s="53"/>
      <c r="N115" s="53"/>
      <c r="O115" s="53"/>
      <c r="P115" s="53"/>
      <c r="Q115" s="53"/>
      <c r="R115" s="62"/>
      <c r="S115" s="62"/>
      <c r="T115" s="79"/>
      <c r="U115" s="63"/>
      <c r="V115" s="63"/>
    </row>
    <row r="116" spans="1:23" s="1" customFormat="1" x14ac:dyDescent="0.2">
      <c r="A116" s="48"/>
      <c r="B116" s="80"/>
      <c r="C116" s="68" t="s">
        <v>14</v>
      </c>
      <c r="D116" s="69" t="e">
        <f>#REF!</f>
        <v>#REF!</v>
      </c>
      <c r="E116" s="70"/>
      <c r="F116" s="70"/>
      <c r="G116" s="69" t="e">
        <f>#REF!+#REF!</f>
        <v>#REF!</v>
      </c>
      <c r="H116" s="70"/>
      <c r="I116" s="69" t="e">
        <f>SUM(D116:H116)</f>
        <v>#REF!</v>
      </c>
      <c r="J116" s="70"/>
      <c r="K116" s="70"/>
      <c r="L116" s="70"/>
      <c r="M116" s="70"/>
      <c r="N116" s="70"/>
      <c r="O116" s="70"/>
      <c r="P116" s="70"/>
      <c r="Q116" s="70"/>
      <c r="R116" s="64">
        <f>SUM(R94:R115)</f>
        <v>7576.24</v>
      </c>
      <c r="S116" s="64">
        <f>SUM(S94:S115)</f>
        <v>1907.82</v>
      </c>
      <c r="T116" s="64">
        <f>SUM(T94:T115)</f>
        <v>0</v>
      </c>
      <c r="U116" s="64">
        <f>SUM(U94:U115)</f>
        <v>33395.46</v>
      </c>
      <c r="V116" s="64">
        <f>SUM(V94:V115)</f>
        <v>42879.519999999997</v>
      </c>
    </row>
    <row r="117" spans="1:23" ht="9" customHeight="1" x14ac:dyDescent="0.2">
      <c r="A117" s="29"/>
      <c r="B117" s="8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42"/>
      <c r="S117" s="42"/>
      <c r="T117" s="42"/>
      <c r="U117" s="42"/>
      <c r="V117" s="63"/>
    </row>
    <row r="118" spans="1:23" s="1" customFormat="1" x14ac:dyDescent="0.2">
      <c r="A118" s="48"/>
      <c r="B118" s="80"/>
      <c r="C118" s="68" t="s">
        <v>17</v>
      </c>
      <c r="D118" s="69" t="e">
        <f>#REF!+D116</f>
        <v>#REF!</v>
      </c>
      <c r="E118" s="69"/>
      <c r="F118" s="70"/>
      <c r="G118" s="69" t="e">
        <f>#REF!+G116</f>
        <v>#REF!</v>
      </c>
      <c r="H118" s="70"/>
      <c r="I118" s="69" t="e">
        <f>D118+F118+G118</f>
        <v>#REF!</v>
      </c>
      <c r="J118" s="70"/>
      <c r="K118" s="70"/>
      <c r="L118" s="70"/>
      <c r="M118" s="70"/>
      <c r="N118" s="70"/>
      <c r="O118" s="70"/>
      <c r="P118" s="70"/>
      <c r="Q118" s="70"/>
      <c r="R118" s="82">
        <f>R90+R116</f>
        <v>117931.08</v>
      </c>
      <c r="S118" s="82">
        <f>S90+S116</f>
        <v>28548.91</v>
      </c>
      <c r="T118" s="82">
        <f>T90+T116</f>
        <v>348186.98</v>
      </c>
      <c r="U118" s="82">
        <f>U90+U116</f>
        <v>33574.47</v>
      </c>
      <c r="V118" s="82">
        <f>V90+V116</f>
        <v>528241.43999999994</v>
      </c>
    </row>
    <row r="119" spans="1:23" ht="12.75" customHeight="1" x14ac:dyDescent="0.2">
      <c r="A119" s="29"/>
      <c r="B119" s="8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67"/>
      <c r="T119" s="67"/>
      <c r="U119" s="52"/>
      <c r="V119" s="62"/>
    </row>
    <row r="120" spans="1:23" hidden="1" x14ac:dyDescent="0.2">
      <c r="A120" s="29"/>
      <c r="B120" s="78"/>
      <c r="C120" s="71" t="s">
        <v>43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67"/>
      <c r="T120" s="67"/>
      <c r="U120" s="52"/>
      <c r="V120" s="62"/>
    </row>
    <row r="121" spans="1:23" hidden="1" x14ac:dyDescent="0.2">
      <c r="A121" s="29"/>
      <c r="B121" s="78"/>
      <c r="C121" s="73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67"/>
      <c r="T121" s="67"/>
      <c r="U121" s="52"/>
      <c r="V121" s="62"/>
    </row>
    <row r="122" spans="1:23" s="10" customFormat="1" ht="38.25" hidden="1" customHeight="1" x14ac:dyDescent="0.2">
      <c r="A122" s="29"/>
      <c r="B122" s="77"/>
      <c r="C122" s="61"/>
      <c r="D122" s="62" t="e">
        <f>#REF!*1.5/100</f>
        <v>#REF!</v>
      </c>
      <c r="E122" s="62"/>
      <c r="F122" s="53"/>
      <c r="G122" s="53"/>
      <c r="H122" s="53"/>
      <c r="I122" s="62" t="e">
        <f>SUM(D122:H122)</f>
        <v>#REF!</v>
      </c>
      <c r="J122" s="53"/>
      <c r="K122" s="53"/>
      <c r="L122" s="53"/>
      <c r="M122" s="53"/>
      <c r="N122" s="53"/>
      <c r="O122" s="53"/>
      <c r="P122" s="53"/>
      <c r="Q122" s="53"/>
      <c r="R122" s="62"/>
      <c r="S122" s="79"/>
      <c r="T122" s="83"/>
      <c r="U122" s="63"/>
      <c r="V122" s="63">
        <f>SUM(R122:U122)</f>
        <v>0</v>
      </c>
    </row>
    <row r="123" spans="1:23" s="10" customFormat="1" ht="12.75" hidden="1" customHeight="1" x14ac:dyDescent="0.2">
      <c r="A123" s="29"/>
      <c r="B123" s="77"/>
      <c r="C123" s="61"/>
      <c r="D123" s="62"/>
      <c r="E123" s="62"/>
      <c r="F123" s="53"/>
      <c r="G123" s="53"/>
      <c r="H123" s="53"/>
      <c r="I123" s="62"/>
      <c r="J123" s="53"/>
      <c r="K123" s="53"/>
      <c r="L123" s="53"/>
      <c r="M123" s="53"/>
      <c r="N123" s="53"/>
      <c r="O123" s="53"/>
      <c r="P123" s="53"/>
      <c r="Q123" s="53"/>
      <c r="R123" s="53"/>
      <c r="S123" s="83"/>
      <c r="T123" s="83"/>
      <c r="U123" s="53"/>
      <c r="V123" s="62"/>
    </row>
    <row r="124" spans="1:23" s="1" customFormat="1" hidden="1" x14ac:dyDescent="0.2">
      <c r="A124" s="48"/>
      <c r="B124" s="68"/>
      <c r="C124" s="68" t="s">
        <v>18</v>
      </c>
      <c r="D124" s="69" t="e">
        <f>D122</f>
        <v>#REF!</v>
      </c>
      <c r="E124" s="69"/>
      <c r="F124" s="70"/>
      <c r="G124" s="70"/>
      <c r="H124" s="70"/>
      <c r="I124" s="69" t="e">
        <f>SUM(D124:H124)</f>
        <v>#REF!</v>
      </c>
      <c r="J124" s="70"/>
      <c r="K124" s="70"/>
      <c r="L124" s="70"/>
      <c r="M124" s="70"/>
      <c r="N124" s="70"/>
      <c r="O124" s="70"/>
      <c r="P124" s="70"/>
      <c r="Q124" s="70"/>
      <c r="R124" s="64">
        <f>SUM(R122:R123)</f>
        <v>0</v>
      </c>
      <c r="S124" s="64">
        <f>SUM(S122:S123)</f>
        <v>0</v>
      </c>
      <c r="T124" s="64">
        <f>SUM(T122:T123)</f>
        <v>0</v>
      </c>
      <c r="U124" s="64">
        <f>SUM(U122:U123)</f>
        <v>0</v>
      </c>
      <c r="V124" s="64">
        <f>SUM(V122:V123)</f>
        <v>0</v>
      </c>
      <c r="W124" s="3"/>
    </row>
    <row r="125" spans="1:23" ht="9" hidden="1" customHeight="1" x14ac:dyDescent="0.2">
      <c r="A125" s="29"/>
      <c r="B125" s="72"/>
      <c r="C125" s="72"/>
      <c r="D125" s="54"/>
      <c r="E125" s="54"/>
      <c r="F125" s="52"/>
      <c r="G125" s="52"/>
      <c r="H125" s="52"/>
      <c r="I125" s="54"/>
      <c r="J125" s="52"/>
      <c r="K125" s="52"/>
      <c r="L125" s="52"/>
      <c r="M125" s="52"/>
      <c r="N125" s="52"/>
      <c r="O125" s="52"/>
      <c r="P125" s="52"/>
      <c r="Q125" s="52"/>
      <c r="R125" s="54"/>
      <c r="S125" s="66"/>
      <c r="T125" s="67"/>
      <c r="U125" s="52"/>
      <c r="V125" s="62"/>
    </row>
    <row r="126" spans="1:23" s="1" customFormat="1" ht="17.25" hidden="1" customHeight="1" x14ac:dyDescent="0.2">
      <c r="A126" s="48"/>
      <c r="B126" s="68"/>
      <c r="C126" s="68" t="s">
        <v>19</v>
      </c>
      <c r="D126" s="69" t="e">
        <f>#REF!+D124</f>
        <v>#REF!</v>
      </c>
      <c r="E126" s="69"/>
      <c r="F126" s="70"/>
      <c r="G126" s="69" t="e">
        <f>#REF!</f>
        <v>#REF!</v>
      </c>
      <c r="H126" s="70"/>
      <c r="I126" s="69" t="e">
        <f>SUM(D126:H126)</f>
        <v>#REF!</v>
      </c>
      <c r="J126" s="70"/>
      <c r="K126" s="70"/>
      <c r="L126" s="70"/>
      <c r="M126" s="70"/>
      <c r="N126" s="70"/>
      <c r="O126" s="70"/>
      <c r="P126" s="70"/>
      <c r="Q126" s="70"/>
      <c r="R126" s="65">
        <f>R118+R124</f>
        <v>117931.08</v>
      </c>
      <c r="S126" s="65">
        <f>S118</f>
        <v>28548.91</v>
      </c>
      <c r="T126" s="65">
        <f>T118+T124</f>
        <v>348186.98</v>
      </c>
      <c r="U126" s="65">
        <f>U118+U124</f>
        <v>33574.47</v>
      </c>
      <c r="V126" s="65">
        <f>V118+V124</f>
        <v>528241.43999999994</v>
      </c>
    </row>
    <row r="127" spans="1:23" s="1" customFormat="1" ht="12" customHeight="1" x14ac:dyDescent="0.2">
      <c r="A127" s="48"/>
      <c r="B127" s="68"/>
      <c r="C127" s="68"/>
      <c r="D127" s="69"/>
      <c r="E127" s="69"/>
      <c r="F127" s="70"/>
      <c r="G127" s="69"/>
      <c r="H127" s="70"/>
      <c r="I127" s="69"/>
      <c r="J127" s="70"/>
      <c r="K127" s="70"/>
      <c r="L127" s="70"/>
      <c r="M127" s="70"/>
      <c r="N127" s="70"/>
      <c r="O127" s="70"/>
      <c r="P127" s="70"/>
      <c r="Q127" s="70"/>
      <c r="R127" s="69"/>
      <c r="S127" s="84"/>
      <c r="T127" s="84"/>
      <c r="U127" s="69"/>
      <c r="V127" s="69"/>
    </row>
    <row r="128" spans="1:23" x14ac:dyDescent="0.2">
      <c r="A128" s="29"/>
      <c r="B128" s="78"/>
      <c r="C128" s="71" t="s">
        <v>37</v>
      </c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67"/>
      <c r="T128" s="67"/>
      <c r="U128" s="52"/>
      <c r="V128" s="62"/>
    </row>
    <row r="129" spans="1:23" ht="12" hidden="1" customHeight="1" x14ac:dyDescent="0.2">
      <c r="A129" s="29"/>
      <c r="B129" s="78"/>
      <c r="C129" s="73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67"/>
      <c r="T129" s="67"/>
      <c r="U129" s="52"/>
      <c r="V129" s="62"/>
    </row>
    <row r="130" spans="1:23" s="10" customFormat="1" ht="69" hidden="1" customHeight="1" x14ac:dyDescent="0.2">
      <c r="A130" s="29">
        <v>45</v>
      </c>
      <c r="B130" s="78" t="s">
        <v>96</v>
      </c>
      <c r="C130" s="61" t="s">
        <v>95</v>
      </c>
      <c r="D130" s="62" t="e">
        <f>D116*1.5/100</f>
        <v>#REF!</v>
      </c>
      <c r="E130" s="62"/>
      <c r="F130" s="53"/>
      <c r="G130" s="53"/>
      <c r="H130" s="53"/>
      <c r="I130" s="62" t="e">
        <f>SUM(D130:H130)</f>
        <v>#REF!</v>
      </c>
      <c r="J130" s="53"/>
      <c r="K130" s="53"/>
      <c r="L130" s="53"/>
      <c r="M130" s="53"/>
      <c r="N130" s="53"/>
      <c r="O130" s="53"/>
      <c r="P130" s="53"/>
      <c r="Q130" s="53"/>
      <c r="R130" s="62"/>
      <c r="S130" s="79"/>
      <c r="T130" s="83"/>
      <c r="U130" s="63"/>
      <c r="V130" s="63">
        <f>U130</f>
        <v>0</v>
      </c>
    </row>
    <row r="131" spans="1:23" s="10" customFormat="1" ht="15.75" hidden="1" customHeight="1" x14ac:dyDescent="0.2">
      <c r="A131" s="29"/>
      <c r="B131" s="78"/>
      <c r="C131" s="61"/>
      <c r="D131" s="62"/>
      <c r="E131" s="62"/>
      <c r="F131" s="53"/>
      <c r="G131" s="53"/>
      <c r="H131" s="53"/>
      <c r="I131" s="62"/>
      <c r="J131" s="53"/>
      <c r="K131" s="53"/>
      <c r="L131" s="53"/>
      <c r="M131" s="53"/>
      <c r="N131" s="53"/>
      <c r="O131" s="53"/>
      <c r="P131" s="53"/>
      <c r="Q131" s="53"/>
      <c r="R131" s="62"/>
      <c r="S131" s="79"/>
      <c r="T131" s="83"/>
      <c r="U131" s="63"/>
      <c r="V131" s="63"/>
    </row>
    <row r="132" spans="1:23" s="10" customFormat="1" ht="66.75" hidden="1" customHeight="1" x14ac:dyDescent="0.2">
      <c r="A132" s="29">
        <v>46</v>
      </c>
      <c r="B132" s="78" t="s">
        <v>96</v>
      </c>
      <c r="C132" s="61" t="s">
        <v>98</v>
      </c>
      <c r="D132" s="62"/>
      <c r="E132" s="62"/>
      <c r="F132" s="53"/>
      <c r="G132" s="53"/>
      <c r="H132" s="53"/>
      <c r="I132" s="62"/>
      <c r="J132" s="53"/>
      <c r="K132" s="53"/>
      <c r="L132" s="53"/>
      <c r="M132" s="53"/>
      <c r="N132" s="53"/>
      <c r="O132" s="53"/>
      <c r="P132" s="53"/>
      <c r="Q132" s="53"/>
      <c r="R132" s="62"/>
      <c r="S132" s="79"/>
      <c r="T132" s="83"/>
      <c r="U132" s="63"/>
      <c r="V132" s="63">
        <f>U132</f>
        <v>0</v>
      </c>
    </row>
    <row r="133" spans="1:23" s="10" customFormat="1" ht="12.75" hidden="1" customHeight="1" x14ac:dyDescent="0.2">
      <c r="A133" s="29"/>
      <c r="B133" s="77"/>
      <c r="C133" s="61"/>
      <c r="D133" s="62"/>
      <c r="E133" s="62"/>
      <c r="F133" s="53"/>
      <c r="G133" s="53"/>
      <c r="H133" s="53"/>
      <c r="I133" s="62"/>
      <c r="J133" s="53"/>
      <c r="K133" s="53"/>
      <c r="L133" s="53"/>
      <c r="M133" s="53"/>
      <c r="N133" s="53"/>
      <c r="O133" s="53"/>
      <c r="P133" s="53"/>
      <c r="Q133" s="53"/>
      <c r="R133" s="62"/>
      <c r="S133" s="79"/>
      <c r="T133" s="83"/>
      <c r="U133" s="62"/>
      <c r="V133" s="62"/>
    </row>
    <row r="134" spans="1:23" s="10" customFormat="1" ht="27.75" customHeight="1" x14ac:dyDescent="0.2">
      <c r="A134" s="29">
        <v>41</v>
      </c>
      <c r="B134" s="77" t="s">
        <v>36</v>
      </c>
      <c r="C134" s="61" t="s">
        <v>22</v>
      </c>
      <c r="D134" s="62" t="e">
        <f>#REF!*1.5/100</f>
        <v>#REF!</v>
      </c>
      <c r="E134" s="62"/>
      <c r="F134" s="53"/>
      <c r="G134" s="53"/>
      <c r="H134" s="53"/>
      <c r="I134" s="62" t="e">
        <f>SUM(D134:H134)</f>
        <v>#REF!</v>
      </c>
      <c r="J134" s="53"/>
      <c r="K134" s="53"/>
      <c r="L134" s="53"/>
      <c r="M134" s="53"/>
      <c r="N134" s="53"/>
      <c r="O134" s="53"/>
      <c r="P134" s="53"/>
      <c r="Q134" s="53"/>
      <c r="R134" s="62"/>
      <c r="S134" s="62"/>
      <c r="T134" s="53"/>
      <c r="U134" s="63">
        <v>1044.04</v>
      </c>
      <c r="V134" s="63">
        <f>SUM(R134:U134)</f>
        <v>1044.04</v>
      </c>
    </row>
    <row r="135" spans="1:23" s="10" customFormat="1" ht="13.5" hidden="1" customHeight="1" x14ac:dyDescent="0.2">
      <c r="A135" s="29"/>
      <c r="B135" s="77"/>
      <c r="C135" s="61"/>
      <c r="D135" s="62"/>
      <c r="E135" s="62"/>
      <c r="F135" s="53"/>
      <c r="G135" s="53"/>
      <c r="H135" s="53"/>
      <c r="I135" s="62"/>
      <c r="J135" s="53"/>
      <c r="K135" s="53"/>
      <c r="L135" s="53"/>
      <c r="M135" s="53"/>
      <c r="N135" s="53"/>
      <c r="O135" s="53"/>
      <c r="P135" s="53"/>
      <c r="Q135" s="53"/>
      <c r="R135" s="62"/>
      <c r="S135" s="62"/>
      <c r="T135" s="53"/>
      <c r="U135" s="62"/>
      <c r="V135" s="62"/>
    </row>
    <row r="136" spans="1:23" s="10" customFormat="1" ht="66" hidden="1" customHeight="1" x14ac:dyDescent="0.2">
      <c r="A136" s="29">
        <v>48</v>
      </c>
      <c r="B136" s="78" t="s">
        <v>31</v>
      </c>
      <c r="C136" s="61" t="s">
        <v>97</v>
      </c>
      <c r="D136" s="62">
        <f>D117*1.5/100</f>
        <v>0</v>
      </c>
      <c r="E136" s="62"/>
      <c r="F136" s="53"/>
      <c r="G136" s="53"/>
      <c r="H136" s="53"/>
      <c r="I136" s="62">
        <f>SUM(D136:H136)</f>
        <v>0</v>
      </c>
      <c r="J136" s="53"/>
      <c r="K136" s="53"/>
      <c r="L136" s="53"/>
      <c r="M136" s="53"/>
      <c r="N136" s="53"/>
      <c r="O136" s="53"/>
      <c r="P136" s="53"/>
      <c r="Q136" s="53"/>
      <c r="R136" s="62"/>
      <c r="S136" s="62"/>
      <c r="T136" s="53"/>
      <c r="U136" s="63">
        <f>(U130+U132)*2.01/100</f>
        <v>0</v>
      </c>
      <c r="V136" s="63">
        <f>SUM(R136:U136)</f>
        <v>0</v>
      </c>
    </row>
    <row r="137" spans="1:23" s="10" customFormat="1" ht="13.5" hidden="1" customHeight="1" x14ac:dyDescent="0.2">
      <c r="A137" s="29"/>
      <c r="B137" s="77"/>
      <c r="C137" s="61"/>
      <c r="D137" s="62"/>
      <c r="E137" s="62"/>
      <c r="F137" s="53"/>
      <c r="G137" s="53"/>
      <c r="H137" s="53"/>
      <c r="I137" s="62"/>
      <c r="J137" s="53"/>
      <c r="K137" s="53"/>
      <c r="L137" s="53"/>
      <c r="M137" s="53"/>
      <c r="N137" s="53"/>
      <c r="O137" s="53"/>
      <c r="P137" s="53"/>
      <c r="Q137" s="53"/>
      <c r="R137" s="62"/>
      <c r="S137" s="62"/>
      <c r="T137" s="53"/>
      <c r="U137" s="63"/>
      <c r="V137" s="63"/>
    </row>
    <row r="138" spans="1:23" s="1" customFormat="1" x14ac:dyDescent="0.2">
      <c r="A138" s="29"/>
      <c r="B138" s="68"/>
      <c r="C138" s="68" t="s">
        <v>20</v>
      </c>
      <c r="D138" s="69" t="e">
        <f>D130</f>
        <v>#REF!</v>
      </c>
      <c r="E138" s="69"/>
      <c r="F138" s="70"/>
      <c r="G138" s="70"/>
      <c r="H138" s="70"/>
      <c r="I138" s="69" t="e">
        <f>SUM(D138:H138)</f>
        <v>#REF!</v>
      </c>
      <c r="J138" s="70"/>
      <c r="K138" s="70"/>
      <c r="L138" s="70"/>
      <c r="M138" s="70"/>
      <c r="N138" s="70"/>
      <c r="O138" s="70"/>
      <c r="P138" s="70"/>
      <c r="Q138" s="70"/>
      <c r="R138" s="64">
        <f>SUM(R130:R137)</f>
        <v>0</v>
      </c>
      <c r="S138" s="64">
        <f>SUM(S130:S137)</f>
        <v>0</v>
      </c>
      <c r="T138" s="64">
        <f>SUM(T130:T137)</f>
        <v>0</v>
      </c>
      <c r="U138" s="64">
        <f>SUM(U130:U137)</f>
        <v>1044.04</v>
      </c>
      <c r="V138" s="64">
        <f>SUM(V130:V137)</f>
        <v>1044.04</v>
      </c>
    </row>
    <row r="139" spans="1:23" ht="8.25" customHeight="1" x14ac:dyDescent="0.2">
      <c r="A139" s="29"/>
      <c r="B139" s="72"/>
      <c r="C139" s="72"/>
      <c r="D139" s="54"/>
      <c r="E139" s="54"/>
      <c r="F139" s="52"/>
      <c r="G139" s="52"/>
      <c r="H139" s="52"/>
      <c r="I139" s="54"/>
      <c r="J139" s="52"/>
      <c r="K139" s="52"/>
      <c r="L139" s="52"/>
      <c r="M139" s="52"/>
      <c r="N139" s="52"/>
      <c r="O139" s="52"/>
      <c r="P139" s="52"/>
      <c r="Q139" s="52"/>
      <c r="R139" s="55"/>
      <c r="S139" s="55"/>
      <c r="T139" s="42"/>
      <c r="U139" s="42"/>
      <c r="V139" s="63"/>
    </row>
    <row r="140" spans="1:23" s="1" customFormat="1" ht="17.25" customHeight="1" x14ac:dyDescent="0.2">
      <c r="A140" s="48"/>
      <c r="B140" s="68"/>
      <c r="C140" s="68" t="s">
        <v>21</v>
      </c>
      <c r="D140" s="69" t="e">
        <f>D116+D138</f>
        <v>#REF!</v>
      </c>
      <c r="E140" s="69"/>
      <c r="F140" s="70"/>
      <c r="G140" s="69" t="e">
        <f>G116</f>
        <v>#REF!</v>
      </c>
      <c r="H140" s="70"/>
      <c r="I140" s="69" t="e">
        <f>SUM(D140:H140)</f>
        <v>#REF!</v>
      </c>
      <c r="J140" s="70"/>
      <c r="K140" s="70"/>
      <c r="L140" s="70"/>
      <c r="M140" s="70"/>
      <c r="N140" s="70"/>
      <c r="O140" s="70"/>
      <c r="P140" s="70"/>
      <c r="Q140" s="70"/>
      <c r="R140" s="64">
        <f>R126+R138</f>
        <v>117931.08</v>
      </c>
      <c r="S140" s="64">
        <f>S126</f>
        <v>28548.91</v>
      </c>
      <c r="T140" s="64">
        <f>T126</f>
        <v>348186.98</v>
      </c>
      <c r="U140" s="64">
        <f>U126+U138</f>
        <v>34618.51</v>
      </c>
      <c r="V140" s="64">
        <f>V126+V138</f>
        <v>529285.48</v>
      </c>
      <c r="W140" s="3"/>
    </row>
    <row r="141" spans="1:23" s="10" customFormat="1" ht="27.6" customHeight="1" x14ac:dyDescent="0.2">
      <c r="A141" s="29">
        <v>42</v>
      </c>
      <c r="B141" s="77" t="s">
        <v>30</v>
      </c>
      <c r="C141" s="61" t="s">
        <v>105</v>
      </c>
      <c r="D141" s="62" t="e">
        <f>#REF!*0.02</f>
        <v>#REF!</v>
      </c>
      <c r="E141" s="62"/>
      <c r="F141" s="53"/>
      <c r="G141" s="62" t="e">
        <f>#REF!*0.02</f>
        <v>#REF!</v>
      </c>
      <c r="H141" s="53"/>
      <c r="I141" s="62" t="e">
        <f>D141+F141+G141</f>
        <v>#REF!</v>
      </c>
      <c r="J141" s="53"/>
      <c r="K141" s="53"/>
      <c r="L141" s="53"/>
      <c r="M141" s="53"/>
      <c r="N141" s="53"/>
      <c r="O141" s="53"/>
      <c r="P141" s="53"/>
      <c r="Q141" s="53"/>
      <c r="R141" s="63">
        <f>R140*1.5/100</f>
        <v>1768.97</v>
      </c>
      <c r="S141" s="63">
        <f>S140*1.5/100</f>
        <v>428.23</v>
      </c>
      <c r="T141" s="63">
        <f>T140*1.5/100</f>
        <v>5222.8</v>
      </c>
      <c r="U141" s="63">
        <f>U140*1.5/100</f>
        <v>519.28</v>
      </c>
      <c r="V141" s="63">
        <f>R141+S141+T141+U141</f>
        <v>7939.28</v>
      </c>
    </row>
    <row r="142" spans="1:23" ht="12.75" customHeight="1" x14ac:dyDescent="0.2">
      <c r="A142" s="29"/>
      <c r="B142" s="52"/>
      <c r="C142" s="52"/>
      <c r="D142" s="54"/>
      <c r="E142" s="54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62"/>
    </row>
    <row r="143" spans="1:23" s="1" customFormat="1" x14ac:dyDescent="0.2">
      <c r="A143" s="48"/>
      <c r="B143" s="70"/>
      <c r="C143" s="70" t="s">
        <v>44</v>
      </c>
      <c r="D143" s="69" t="e">
        <f>#REF!+D141</f>
        <v>#REF!</v>
      </c>
      <c r="E143" s="69"/>
      <c r="F143" s="70"/>
      <c r="G143" s="69" t="e">
        <f>#REF!+G141</f>
        <v>#REF!</v>
      </c>
      <c r="H143" s="70"/>
      <c r="I143" s="69" t="e">
        <f>D143+F143+G143</f>
        <v>#REF!</v>
      </c>
      <c r="J143" s="70"/>
      <c r="K143" s="70"/>
      <c r="L143" s="70"/>
      <c r="M143" s="70"/>
      <c r="N143" s="70"/>
      <c r="O143" s="70"/>
      <c r="P143" s="70"/>
      <c r="Q143" s="70"/>
      <c r="R143" s="64">
        <f>R140+R141</f>
        <v>119700.05</v>
      </c>
      <c r="S143" s="64">
        <f>S140+S141</f>
        <v>28977.14</v>
      </c>
      <c r="T143" s="64">
        <f>T140+T141</f>
        <v>353409.78</v>
      </c>
      <c r="U143" s="64">
        <f>U140+U141</f>
        <v>35137.79</v>
      </c>
      <c r="V143" s="64">
        <f>V140+V141</f>
        <v>537224.76</v>
      </c>
      <c r="W143" s="3"/>
    </row>
    <row r="144" spans="1:23" s="1" customFormat="1" x14ac:dyDescent="0.2">
      <c r="A144" s="48"/>
      <c r="B144" s="70"/>
      <c r="C144" s="70"/>
      <c r="D144" s="69"/>
      <c r="E144" s="69"/>
      <c r="F144" s="70"/>
      <c r="G144" s="69"/>
      <c r="H144" s="70"/>
      <c r="I144" s="69"/>
      <c r="J144" s="70"/>
      <c r="K144" s="70"/>
      <c r="L144" s="70"/>
      <c r="M144" s="70"/>
      <c r="N144" s="70"/>
      <c r="O144" s="70"/>
      <c r="P144" s="70"/>
      <c r="Q144" s="70"/>
      <c r="R144" s="69"/>
      <c r="S144" s="69"/>
      <c r="T144" s="69"/>
      <c r="U144" s="69"/>
      <c r="V144" s="69"/>
      <c r="W144" s="3"/>
    </row>
    <row r="145" spans="1:23" s="1" customFormat="1" hidden="1" x14ac:dyDescent="0.2">
      <c r="A145" s="48"/>
      <c r="B145" s="70"/>
      <c r="C145" s="52"/>
      <c r="D145" s="69"/>
      <c r="E145" s="69"/>
      <c r="F145" s="70"/>
      <c r="G145" s="69"/>
      <c r="H145" s="70"/>
      <c r="I145" s="69"/>
      <c r="J145" s="70"/>
      <c r="K145" s="70"/>
      <c r="L145" s="70"/>
      <c r="M145" s="70"/>
      <c r="N145" s="70"/>
      <c r="O145" s="70"/>
      <c r="P145" s="70"/>
      <c r="Q145" s="70"/>
      <c r="R145" s="69"/>
      <c r="S145" s="69"/>
      <c r="T145" s="69"/>
      <c r="U145" s="55"/>
      <c r="V145" s="55"/>
      <c r="W145" s="3"/>
    </row>
    <row r="146" spans="1:23" s="1" customFormat="1" ht="12" hidden="1" customHeight="1" x14ac:dyDescent="0.2">
      <c r="A146" s="48"/>
      <c r="B146" s="70"/>
      <c r="C146" s="85"/>
      <c r="D146" s="62"/>
      <c r="E146" s="53"/>
      <c r="F146" s="53"/>
      <c r="G146" s="53"/>
      <c r="H146" s="53"/>
      <c r="I146" s="62"/>
      <c r="J146" s="53"/>
      <c r="K146" s="53"/>
      <c r="L146" s="53"/>
      <c r="M146" s="53"/>
      <c r="N146" s="53"/>
      <c r="O146" s="53"/>
      <c r="P146" s="53"/>
      <c r="Q146" s="53"/>
      <c r="R146" s="63"/>
      <c r="S146" s="86"/>
      <c r="T146" s="86"/>
      <c r="U146" s="63"/>
      <c r="V146" s="55"/>
      <c r="W146" s="3"/>
    </row>
    <row r="147" spans="1:23" s="1" customFormat="1" hidden="1" x14ac:dyDescent="0.2">
      <c r="A147" s="48"/>
      <c r="B147" s="70"/>
      <c r="C147" s="52"/>
      <c r="D147" s="69"/>
      <c r="E147" s="69"/>
      <c r="F147" s="70"/>
      <c r="G147" s="69"/>
      <c r="H147" s="70"/>
      <c r="I147" s="69"/>
      <c r="J147" s="70"/>
      <c r="K147" s="70"/>
      <c r="L147" s="70"/>
      <c r="M147" s="70"/>
      <c r="N147" s="70"/>
      <c r="O147" s="70"/>
      <c r="P147" s="70"/>
      <c r="Q147" s="70"/>
      <c r="R147" s="69"/>
      <c r="S147" s="69"/>
      <c r="T147" s="69"/>
      <c r="U147" s="55"/>
      <c r="V147" s="55"/>
      <c r="W147" s="3"/>
    </row>
    <row r="148" spans="1:23" s="1" customFormat="1" hidden="1" x14ac:dyDescent="0.2">
      <c r="A148" s="48"/>
      <c r="B148" s="70"/>
      <c r="C148" s="87" t="s">
        <v>114</v>
      </c>
      <c r="D148" s="69"/>
      <c r="E148" s="69"/>
      <c r="F148" s="70"/>
      <c r="G148" s="69"/>
      <c r="H148" s="70"/>
      <c r="I148" s="69"/>
      <c r="J148" s="70"/>
      <c r="K148" s="70"/>
      <c r="L148" s="70"/>
      <c r="M148" s="70"/>
      <c r="N148" s="70"/>
      <c r="O148" s="70"/>
      <c r="P148" s="70"/>
      <c r="Q148" s="70"/>
      <c r="R148" s="69"/>
      <c r="S148" s="69"/>
      <c r="T148" s="69"/>
      <c r="U148" s="55"/>
      <c r="V148" s="55"/>
      <c r="W148" s="3"/>
    </row>
    <row r="149" spans="1:23" s="1" customFormat="1" hidden="1" x14ac:dyDescent="0.2">
      <c r="A149" s="48"/>
      <c r="B149" s="70"/>
      <c r="C149" s="52"/>
      <c r="D149" s="69"/>
      <c r="E149" s="69"/>
      <c r="F149" s="70"/>
      <c r="G149" s="69"/>
      <c r="H149" s="70"/>
      <c r="I149" s="69"/>
      <c r="J149" s="70"/>
      <c r="K149" s="70"/>
      <c r="L149" s="70"/>
      <c r="M149" s="70"/>
      <c r="N149" s="70"/>
      <c r="O149" s="70"/>
      <c r="P149" s="70"/>
      <c r="Q149" s="70"/>
      <c r="R149" s="69"/>
      <c r="S149" s="69"/>
      <c r="T149" s="69"/>
      <c r="U149" s="55"/>
      <c r="V149" s="55"/>
      <c r="W149" s="3"/>
    </row>
    <row r="150" spans="1:23" s="1" customFormat="1" ht="12.75" hidden="1" customHeight="1" x14ac:dyDescent="0.2">
      <c r="A150" s="29">
        <v>43</v>
      </c>
      <c r="B150" s="108" t="s">
        <v>115</v>
      </c>
      <c r="C150" s="53" t="s">
        <v>107</v>
      </c>
      <c r="D150" s="69"/>
      <c r="E150" s="69"/>
      <c r="F150" s="70"/>
      <c r="G150" s="69"/>
      <c r="H150" s="70"/>
      <c r="I150" s="69"/>
      <c r="J150" s="70"/>
      <c r="K150" s="70"/>
      <c r="L150" s="70"/>
      <c r="M150" s="70"/>
      <c r="N150" s="70"/>
      <c r="O150" s="70"/>
      <c r="P150" s="70"/>
      <c r="Q150" s="70"/>
      <c r="R150" s="63">
        <f>R143*6.83*1.005</f>
        <v>821639.1</v>
      </c>
      <c r="S150" s="63">
        <f>S143*6.83*1.005</f>
        <v>198903.44</v>
      </c>
      <c r="T150" s="86"/>
      <c r="U150" s="86"/>
      <c r="V150" s="63">
        <f>SUM(R150:U150)</f>
        <v>1020542.54</v>
      </c>
      <c r="W150" s="3"/>
    </row>
    <row r="151" spans="1:23" s="1" customFormat="1" hidden="1" x14ac:dyDescent="0.2">
      <c r="A151" s="29">
        <v>44</v>
      </c>
      <c r="B151" s="109"/>
      <c r="C151" s="53" t="s">
        <v>108</v>
      </c>
      <c r="D151" s="69"/>
      <c r="E151" s="69"/>
      <c r="F151" s="70"/>
      <c r="G151" s="69"/>
      <c r="H151" s="70"/>
      <c r="I151" s="69"/>
      <c r="J151" s="70"/>
      <c r="K151" s="70"/>
      <c r="L151" s="70"/>
      <c r="M151" s="70"/>
      <c r="N151" s="70"/>
      <c r="O151" s="70"/>
      <c r="P151" s="70"/>
      <c r="Q151" s="70"/>
      <c r="R151" s="63"/>
      <c r="S151" s="86"/>
      <c r="T151" s="63">
        <f>(T143-T51*1.015)*3.82+T51*6.83*1.005*1.015</f>
        <v>1355572.78</v>
      </c>
      <c r="U151" s="86"/>
      <c r="V151" s="63">
        <f>SUM(R151:U151)</f>
        <v>1355572.78</v>
      </c>
      <c r="W151" s="3"/>
    </row>
    <row r="152" spans="1:23" s="1" customFormat="1" hidden="1" x14ac:dyDescent="0.2">
      <c r="A152" s="29">
        <v>45</v>
      </c>
      <c r="B152" s="109"/>
      <c r="C152" s="61" t="s">
        <v>124</v>
      </c>
      <c r="D152" s="69"/>
      <c r="E152" s="69"/>
      <c r="F152" s="70"/>
      <c r="G152" s="69"/>
      <c r="H152" s="70"/>
      <c r="I152" s="69"/>
      <c r="J152" s="70"/>
      <c r="K152" s="70"/>
      <c r="L152" s="70"/>
      <c r="M152" s="70"/>
      <c r="N152" s="70"/>
      <c r="O152" s="70"/>
      <c r="P152" s="70"/>
      <c r="Q152" s="70"/>
      <c r="R152" s="63"/>
      <c r="S152" s="86"/>
      <c r="T152" s="86"/>
      <c r="U152" s="63">
        <f>(U140-U112-U16)*1.015*7.53 +U16*1.015*3.64</f>
        <v>115777.09</v>
      </c>
      <c r="V152" s="63">
        <f>SUM(R152:U152)</f>
        <v>115777.09</v>
      </c>
      <c r="W152" s="3"/>
    </row>
    <row r="153" spans="1:23" s="1" customFormat="1" ht="22.5" hidden="1" customHeight="1" x14ac:dyDescent="0.2">
      <c r="A153" s="29">
        <v>46</v>
      </c>
      <c r="B153" s="110"/>
      <c r="C153" s="75" t="s">
        <v>106</v>
      </c>
      <c r="D153" s="69"/>
      <c r="E153" s="69"/>
      <c r="F153" s="70"/>
      <c r="G153" s="69"/>
      <c r="H153" s="70"/>
      <c r="I153" s="69"/>
      <c r="J153" s="70"/>
      <c r="K153" s="70"/>
      <c r="L153" s="70"/>
      <c r="M153" s="70"/>
      <c r="N153" s="70"/>
      <c r="O153" s="70"/>
      <c r="P153" s="70"/>
      <c r="Q153" s="70"/>
      <c r="R153" s="89"/>
      <c r="S153" s="89"/>
      <c r="T153" s="89"/>
      <c r="U153" s="63">
        <f>U112*1.015*19.5*1.005</f>
        <v>385853.2</v>
      </c>
      <c r="V153" s="63">
        <f>U153</f>
        <v>385853.2</v>
      </c>
      <c r="W153" s="3"/>
    </row>
    <row r="154" spans="1:23" s="1" customFormat="1" hidden="1" x14ac:dyDescent="0.2">
      <c r="A154" s="29"/>
      <c r="B154" s="70"/>
      <c r="C154" s="52"/>
      <c r="D154" s="69"/>
      <c r="E154" s="69"/>
      <c r="F154" s="70"/>
      <c r="G154" s="69"/>
      <c r="H154" s="70"/>
      <c r="I154" s="69"/>
      <c r="J154" s="70"/>
      <c r="K154" s="70"/>
      <c r="L154" s="70"/>
      <c r="M154" s="70"/>
      <c r="N154" s="70"/>
      <c r="O154" s="70"/>
      <c r="P154" s="70"/>
      <c r="Q154" s="70"/>
      <c r="R154" s="69"/>
      <c r="S154" s="69"/>
      <c r="T154" s="69"/>
      <c r="U154" s="55"/>
      <c r="V154" s="55"/>
      <c r="W154" s="3"/>
    </row>
    <row r="155" spans="1:23" s="1" customFormat="1" ht="13.5" hidden="1" customHeight="1" x14ac:dyDescent="0.2">
      <c r="A155" s="125">
        <v>47</v>
      </c>
      <c r="B155" s="70"/>
      <c r="C155" s="121" t="s">
        <v>110</v>
      </c>
      <c r="D155" s="69"/>
      <c r="E155" s="69"/>
      <c r="F155" s="70"/>
      <c r="G155" s="69"/>
      <c r="H155" s="70"/>
      <c r="I155" s="69"/>
      <c r="J155" s="70"/>
      <c r="K155" s="70"/>
      <c r="L155" s="70"/>
      <c r="M155" s="70"/>
      <c r="N155" s="70"/>
      <c r="O155" s="70"/>
      <c r="P155" s="70"/>
      <c r="Q155" s="70"/>
      <c r="R155" s="69"/>
      <c r="S155" s="69"/>
      <c r="T155" s="69"/>
      <c r="U155" s="55"/>
      <c r="V155" s="55"/>
      <c r="W155" s="3"/>
    </row>
    <row r="156" spans="1:23" s="1" customFormat="1" hidden="1" x14ac:dyDescent="0.2">
      <c r="A156" s="126"/>
      <c r="B156" s="70"/>
      <c r="C156" s="122"/>
      <c r="D156" s="69"/>
      <c r="E156" s="69"/>
      <c r="F156" s="70"/>
      <c r="G156" s="69"/>
      <c r="H156" s="70"/>
      <c r="I156" s="69"/>
      <c r="J156" s="70"/>
      <c r="K156" s="70"/>
      <c r="L156" s="70"/>
      <c r="M156" s="70"/>
      <c r="N156" s="70"/>
      <c r="O156" s="70"/>
      <c r="P156" s="70"/>
      <c r="Q156" s="70"/>
      <c r="R156" s="89">
        <f>R150</f>
        <v>821639.1</v>
      </c>
      <c r="S156" s="89">
        <f>S150</f>
        <v>198903.44</v>
      </c>
      <c r="T156" s="89">
        <f>T151</f>
        <v>1355572.78</v>
      </c>
      <c r="U156" s="89">
        <f>U152+U153</f>
        <v>501630.29</v>
      </c>
      <c r="V156" s="89">
        <f>R156+S156+T156+U156</f>
        <v>2877745.61</v>
      </c>
      <c r="W156" s="3"/>
    </row>
    <row r="157" spans="1:23" s="1" customFormat="1" hidden="1" x14ac:dyDescent="0.2">
      <c r="A157" s="29"/>
      <c r="B157" s="70"/>
      <c r="C157" s="52"/>
      <c r="D157" s="69"/>
      <c r="E157" s="69"/>
      <c r="F157" s="70"/>
      <c r="G157" s="69"/>
      <c r="H157" s="70"/>
      <c r="I157" s="69"/>
      <c r="J157" s="70"/>
      <c r="K157" s="70"/>
      <c r="L157" s="70"/>
      <c r="M157" s="70"/>
      <c r="N157" s="70"/>
      <c r="O157" s="70"/>
      <c r="P157" s="70"/>
      <c r="Q157" s="70"/>
      <c r="R157" s="69"/>
      <c r="S157" s="69"/>
      <c r="T157" s="69"/>
      <c r="U157" s="55"/>
      <c r="V157" s="55"/>
      <c r="W157" s="3"/>
    </row>
    <row r="158" spans="1:23" s="1" customFormat="1" ht="25.5" hidden="1" x14ac:dyDescent="0.2">
      <c r="A158" s="29">
        <v>48</v>
      </c>
      <c r="B158" s="88" t="s">
        <v>45</v>
      </c>
      <c r="C158" s="53" t="s">
        <v>109</v>
      </c>
      <c r="D158" s="69"/>
      <c r="E158" s="69"/>
      <c r="F158" s="70"/>
      <c r="G158" s="69"/>
      <c r="H158" s="70"/>
      <c r="I158" s="69"/>
      <c r="J158" s="70"/>
      <c r="K158" s="70"/>
      <c r="L158" s="70"/>
      <c r="M158" s="70"/>
      <c r="N158" s="70"/>
      <c r="O158" s="70"/>
      <c r="P158" s="70"/>
      <c r="Q158" s="70"/>
      <c r="R158" s="63">
        <f>R156*0.18</f>
        <v>147895.04000000001</v>
      </c>
      <c r="S158" s="63">
        <f>S156*0.18</f>
        <v>35802.620000000003</v>
      </c>
      <c r="T158" s="63">
        <f>T156*0.18</f>
        <v>244003.1</v>
      </c>
      <c r="U158" s="63">
        <f>U156*0.18</f>
        <v>90293.45</v>
      </c>
      <c r="V158" s="63">
        <f>SUM(R158:U158)</f>
        <v>517994.21</v>
      </c>
      <c r="W158" s="3"/>
    </row>
    <row r="159" spans="1:23" s="1" customFormat="1" hidden="1" x14ac:dyDescent="0.2">
      <c r="A159" s="29"/>
      <c r="B159" s="88"/>
      <c r="C159" s="53"/>
      <c r="D159" s="69"/>
      <c r="E159" s="69"/>
      <c r="F159" s="70"/>
      <c r="G159" s="69"/>
      <c r="H159" s="70"/>
      <c r="I159" s="69"/>
      <c r="J159" s="70"/>
      <c r="K159" s="70"/>
      <c r="L159" s="70"/>
      <c r="M159" s="70"/>
      <c r="N159" s="70"/>
      <c r="O159" s="70"/>
      <c r="P159" s="70"/>
      <c r="Q159" s="70"/>
      <c r="R159" s="63"/>
      <c r="S159" s="63"/>
      <c r="T159" s="63"/>
      <c r="U159" s="63"/>
      <c r="V159" s="63"/>
      <c r="W159" s="3"/>
    </row>
    <row r="160" spans="1:23" s="10" customFormat="1" ht="42" hidden="1" customHeight="1" x14ac:dyDescent="0.2">
      <c r="A160" s="29">
        <v>55</v>
      </c>
      <c r="B160" s="76"/>
      <c r="C160" s="61"/>
      <c r="D160" s="62"/>
      <c r="E160" s="62"/>
      <c r="F160" s="53"/>
      <c r="G160" s="53"/>
      <c r="H160" s="53"/>
      <c r="I160" s="62"/>
      <c r="J160" s="53"/>
      <c r="K160" s="53"/>
      <c r="L160" s="53"/>
      <c r="M160" s="53"/>
      <c r="N160" s="53"/>
      <c r="O160" s="53"/>
      <c r="P160" s="53"/>
      <c r="Q160" s="53"/>
      <c r="R160" s="62"/>
      <c r="S160" s="62"/>
      <c r="T160" s="79"/>
      <c r="U160" s="63"/>
      <c r="V160" s="63">
        <f>U160</f>
        <v>0</v>
      </c>
    </row>
    <row r="161" spans="1:23" s="1" customFormat="1" hidden="1" x14ac:dyDescent="0.2">
      <c r="A161" s="29"/>
      <c r="B161" s="88"/>
      <c r="C161" s="53"/>
      <c r="D161" s="69"/>
      <c r="E161" s="69"/>
      <c r="F161" s="70"/>
      <c r="G161" s="69"/>
      <c r="H161" s="70"/>
      <c r="I161" s="69"/>
      <c r="J161" s="70"/>
      <c r="K161" s="70"/>
      <c r="L161" s="70"/>
      <c r="M161" s="70"/>
      <c r="N161" s="70"/>
      <c r="O161" s="70"/>
      <c r="P161" s="70"/>
      <c r="Q161" s="70"/>
      <c r="R161" s="63"/>
      <c r="S161" s="63"/>
      <c r="T161" s="63"/>
      <c r="U161" s="63"/>
      <c r="V161" s="63"/>
      <c r="W161" s="3"/>
    </row>
    <row r="162" spans="1:23" s="1" customFormat="1" hidden="1" x14ac:dyDescent="0.2">
      <c r="A162" s="29"/>
      <c r="B162" s="90"/>
      <c r="C162" s="52"/>
      <c r="D162" s="69"/>
      <c r="E162" s="69"/>
      <c r="F162" s="70"/>
      <c r="G162" s="69"/>
      <c r="H162" s="70"/>
      <c r="I162" s="69"/>
      <c r="J162" s="70"/>
      <c r="K162" s="70"/>
      <c r="L162" s="70"/>
      <c r="M162" s="70"/>
      <c r="N162" s="70"/>
      <c r="O162" s="70"/>
      <c r="P162" s="70"/>
      <c r="Q162" s="70"/>
      <c r="R162" s="69"/>
      <c r="S162" s="69"/>
      <c r="T162" s="69"/>
      <c r="U162" s="55"/>
      <c r="V162" s="55"/>
      <c r="W162" s="3"/>
    </row>
    <row r="163" spans="1:23" s="1" customFormat="1" hidden="1" x14ac:dyDescent="0.2">
      <c r="A163" s="29">
        <v>56</v>
      </c>
      <c r="B163" s="70"/>
      <c r="C163" s="90"/>
      <c r="D163" s="69"/>
      <c r="E163" s="69"/>
      <c r="F163" s="70"/>
      <c r="G163" s="69"/>
      <c r="H163" s="70"/>
      <c r="I163" s="69"/>
      <c r="J163" s="70"/>
      <c r="K163" s="70"/>
      <c r="L163" s="70"/>
      <c r="M163" s="70"/>
      <c r="N163" s="70"/>
      <c r="O163" s="70"/>
      <c r="P163" s="70"/>
      <c r="Q163" s="70"/>
      <c r="R163" s="89"/>
      <c r="S163" s="89"/>
      <c r="T163" s="89"/>
      <c r="U163" s="89"/>
      <c r="V163" s="89"/>
      <c r="W163" s="3"/>
    </row>
    <row r="164" spans="1:23" s="1" customFormat="1" hidden="1" x14ac:dyDescent="0.2">
      <c r="A164" s="46"/>
      <c r="B164" s="70"/>
      <c r="C164" s="52"/>
      <c r="D164" s="69"/>
      <c r="E164" s="69"/>
      <c r="F164" s="70"/>
      <c r="G164" s="69"/>
      <c r="H164" s="70"/>
      <c r="I164" s="69"/>
      <c r="J164" s="70"/>
      <c r="K164" s="70"/>
      <c r="L164" s="70"/>
      <c r="M164" s="70"/>
      <c r="N164" s="70"/>
      <c r="O164" s="70"/>
      <c r="P164" s="70"/>
      <c r="Q164" s="70"/>
      <c r="R164" s="69"/>
      <c r="S164" s="69"/>
      <c r="T164" s="69"/>
      <c r="U164" s="55"/>
      <c r="V164" s="55"/>
      <c r="W164" s="3"/>
    </row>
    <row r="165" spans="1:23" s="1" customFormat="1" hidden="1" x14ac:dyDescent="0.2">
      <c r="A165" s="28">
        <v>49</v>
      </c>
      <c r="B165" s="70"/>
      <c r="C165" s="52" t="s">
        <v>111</v>
      </c>
      <c r="D165" s="69"/>
      <c r="E165" s="69"/>
      <c r="F165" s="70"/>
      <c r="G165" s="69"/>
      <c r="H165" s="70"/>
      <c r="I165" s="69"/>
      <c r="J165" s="70"/>
      <c r="K165" s="70"/>
      <c r="L165" s="70"/>
      <c r="M165" s="70"/>
      <c r="N165" s="70"/>
      <c r="O165" s="70"/>
      <c r="P165" s="70"/>
      <c r="Q165" s="70"/>
      <c r="R165" s="54">
        <v>8466.15</v>
      </c>
      <c r="S165" s="69"/>
      <c r="T165" s="69"/>
      <c r="U165" s="55">
        <v>2781.02</v>
      </c>
      <c r="V165" s="55">
        <f>R165+U165</f>
        <v>11247.17</v>
      </c>
      <c r="W165" s="3"/>
    </row>
    <row r="166" spans="1:23" s="1" customFormat="1" hidden="1" x14ac:dyDescent="0.2">
      <c r="A166" s="46"/>
      <c r="B166" s="70"/>
      <c r="C166" s="52"/>
      <c r="D166" s="69"/>
      <c r="E166" s="69"/>
      <c r="F166" s="70"/>
      <c r="G166" s="69"/>
      <c r="H166" s="70"/>
      <c r="I166" s="69"/>
      <c r="J166" s="70"/>
      <c r="K166" s="70"/>
      <c r="L166" s="70"/>
      <c r="M166" s="70"/>
      <c r="N166" s="70"/>
      <c r="O166" s="70"/>
      <c r="P166" s="70"/>
      <c r="Q166" s="70"/>
      <c r="R166" s="54"/>
      <c r="S166" s="69"/>
      <c r="T166" s="69"/>
      <c r="U166" s="55"/>
      <c r="V166" s="55"/>
      <c r="W166" s="3"/>
    </row>
    <row r="167" spans="1:23" s="1" customFormat="1" ht="48" hidden="1" x14ac:dyDescent="0.2">
      <c r="A167" s="29">
        <v>50</v>
      </c>
      <c r="B167" s="92" t="s">
        <v>116</v>
      </c>
      <c r="C167" s="93" t="s">
        <v>112</v>
      </c>
      <c r="D167" s="69"/>
      <c r="E167" s="69"/>
      <c r="F167" s="70"/>
      <c r="G167" s="69"/>
      <c r="H167" s="70"/>
      <c r="I167" s="69"/>
      <c r="J167" s="70"/>
      <c r="K167" s="70"/>
      <c r="L167" s="70"/>
      <c r="M167" s="70"/>
      <c r="N167" s="70"/>
      <c r="O167" s="70"/>
      <c r="P167" s="70"/>
      <c r="Q167" s="70"/>
      <c r="R167" s="89">
        <f>R165*6.83*1.005</f>
        <v>58112.92</v>
      </c>
      <c r="S167" s="89"/>
      <c r="T167" s="89"/>
      <c r="U167" s="89">
        <f>U165*7.53</f>
        <v>20941.080000000002</v>
      </c>
      <c r="V167" s="89">
        <f>U167+T167+S167+R167</f>
        <v>79054</v>
      </c>
      <c r="W167" s="3"/>
    </row>
    <row r="168" spans="1:23" s="1" customFormat="1" ht="36" hidden="1" x14ac:dyDescent="0.2">
      <c r="A168" s="29">
        <v>51</v>
      </c>
      <c r="B168" s="92" t="s">
        <v>117</v>
      </c>
      <c r="C168" s="52" t="s">
        <v>118</v>
      </c>
      <c r="D168" s="69"/>
      <c r="E168" s="69"/>
      <c r="F168" s="70"/>
      <c r="G168" s="69"/>
      <c r="H168" s="70"/>
      <c r="I168" s="69"/>
      <c r="J168" s="70"/>
      <c r="K168" s="70"/>
      <c r="L168" s="70"/>
      <c r="M168" s="70"/>
      <c r="N168" s="70"/>
      <c r="O168" s="70"/>
      <c r="P168" s="70"/>
      <c r="Q168" s="70"/>
      <c r="R168" s="55">
        <f>R167*1.072</f>
        <v>62297.05</v>
      </c>
      <c r="S168" s="64"/>
      <c r="T168" s="64"/>
      <c r="U168" s="55">
        <f>U167*1.072</f>
        <v>22448.84</v>
      </c>
      <c r="V168" s="55">
        <f>U168+R168</f>
        <v>84745.89</v>
      </c>
      <c r="W168" s="3"/>
    </row>
    <row r="169" spans="1:23" s="1" customFormat="1" hidden="1" x14ac:dyDescent="0.2">
      <c r="A169" s="46"/>
      <c r="B169" s="70"/>
      <c r="C169" s="52"/>
      <c r="D169" s="69"/>
      <c r="E169" s="69"/>
      <c r="F169" s="70"/>
      <c r="G169" s="69"/>
      <c r="H169" s="70"/>
      <c r="I169" s="69"/>
      <c r="J169" s="70"/>
      <c r="K169" s="70"/>
      <c r="L169" s="70"/>
      <c r="M169" s="70"/>
      <c r="N169" s="70"/>
      <c r="O169" s="70"/>
      <c r="P169" s="70"/>
      <c r="Q169" s="70"/>
      <c r="R169" s="64"/>
      <c r="S169" s="64"/>
      <c r="T169" s="64"/>
      <c r="U169" s="55"/>
      <c r="V169" s="55"/>
      <c r="W169" s="3"/>
    </row>
    <row r="170" spans="1:23" s="1" customFormat="1" hidden="1" x14ac:dyDescent="0.2">
      <c r="A170" s="28">
        <v>52</v>
      </c>
      <c r="B170" s="70"/>
      <c r="C170" s="88" t="s">
        <v>113</v>
      </c>
      <c r="D170" s="69"/>
      <c r="E170" s="69"/>
      <c r="F170" s="70"/>
      <c r="G170" s="69"/>
      <c r="H170" s="70"/>
      <c r="I170" s="69"/>
      <c r="J170" s="70"/>
      <c r="K170" s="70"/>
      <c r="L170" s="70"/>
      <c r="M170" s="70"/>
      <c r="N170" s="70"/>
      <c r="O170" s="70"/>
      <c r="P170" s="70"/>
      <c r="Q170" s="70"/>
      <c r="R170" s="64">
        <f>R143-R165</f>
        <v>111233.9</v>
      </c>
      <c r="S170" s="64">
        <f>S143</f>
        <v>28977.14</v>
      </c>
      <c r="T170" s="64">
        <f>T143</f>
        <v>353409.78</v>
      </c>
      <c r="U170" s="55">
        <f>U143-U165</f>
        <v>32356.77</v>
      </c>
      <c r="V170" s="55">
        <f>U170+T170+S170+R170</f>
        <v>525977.59</v>
      </c>
      <c r="W170" s="3"/>
    </row>
    <row r="171" spans="1:23" s="1" customFormat="1" hidden="1" x14ac:dyDescent="0.2">
      <c r="A171" s="46"/>
      <c r="B171" s="70"/>
      <c r="C171" s="88"/>
      <c r="D171" s="69"/>
      <c r="E171" s="69"/>
      <c r="F171" s="70"/>
      <c r="G171" s="69"/>
      <c r="H171" s="70"/>
      <c r="I171" s="69"/>
      <c r="J171" s="70"/>
      <c r="K171" s="70"/>
      <c r="L171" s="70"/>
      <c r="M171" s="70"/>
      <c r="N171" s="70"/>
      <c r="O171" s="70"/>
      <c r="P171" s="70"/>
      <c r="Q171" s="70"/>
      <c r="R171" s="64"/>
      <c r="S171" s="64"/>
      <c r="T171" s="64"/>
      <c r="U171" s="55"/>
      <c r="V171" s="55"/>
      <c r="W171" s="3"/>
    </row>
    <row r="172" spans="1:23" s="1" customFormat="1" ht="25.5" x14ac:dyDescent="0.2">
      <c r="A172" s="29">
        <v>53</v>
      </c>
      <c r="B172" s="127"/>
      <c r="C172" s="128" t="s">
        <v>131</v>
      </c>
      <c r="D172" s="129"/>
      <c r="E172" s="129"/>
      <c r="F172" s="130"/>
      <c r="G172" s="129"/>
      <c r="H172" s="130"/>
      <c r="I172" s="129"/>
      <c r="J172" s="130"/>
      <c r="K172" s="130"/>
      <c r="L172" s="130"/>
      <c r="M172" s="130"/>
      <c r="N172" s="130"/>
      <c r="O172" s="130"/>
      <c r="P172" s="130"/>
      <c r="Q172" s="130"/>
      <c r="R172" s="131">
        <f>R143*6.81</f>
        <v>815157.34</v>
      </c>
      <c r="S172" s="131">
        <f>S143*6.81</f>
        <v>197334.32</v>
      </c>
      <c r="T172" s="131">
        <f>T143*3.9</f>
        <v>1378298.14</v>
      </c>
      <c r="U172" s="131">
        <f>(U90+U102+U110+U114+U134+U141)*7.66+U112*19.46</f>
        <v>498051.05</v>
      </c>
      <c r="V172" s="131">
        <f>R172+S172+T172+U172</f>
        <v>2888840.85</v>
      </c>
      <c r="W172" s="3"/>
    </row>
    <row r="173" spans="1:23" s="1" customFormat="1" hidden="1" x14ac:dyDescent="0.2">
      <c r="A173" s="46"/>
      <c r="B173" s="70"/>
      <c r="C173" s="88"/>
      <c r="D173" s="69"/>
      <c r="E173" s="69"/>
      <c r="F173" s="70"/>
      <c r="G173" s="69"/>
      <c r="H173" s="70"/>
      <c r="I173" s="69"/>
      <c r="J173" s="70"/>
      <c r="K173" s="70"/>
      <c r="L173" s="70"/>
      <c r="M173" s="70"/>
      <c r="N173" s="70"/>
      <c r="O173" s="70"/>
      <c r="P173" s="70"/>
      <c r="Q173" s="70"/>
      <c r="R173" s="64"/>
      <c r="S173" s="64"/>
      <c r="T173" s="64"/>
      <c r="U173" s="55"/>
      <c r="V173" s="55"/>
      <c r="W173" s="3"/>
    </row>
    <row r="174" spans="1:23" s="1" customFormat="1" ht="36" hidden="1" x14ac:dyDescent="0.2">
      <c r="A174" s="29">
        <v>54</v>
      </c>
      <c r="B174" s="92" t="s">
        <v>117</v>
      </c>
      <c r="C174" s="53" t="s">
        <v>118</v>
      </c>
      <c r="D174" s="62"/>
      <c r="E174" s="62"/>
      <c r="F174" s="53"/>
      <c r="G174" s="62"/>
      <c r="H174" s="53"/>
      <c r="I174" s="62"/>
      <c r="J174" s="53"/>
      <c r="K174" s="53"/>
      <c r="L174" s="53"/>
      <c r="M174" s="53"/>
      <c r="N174" s="53"/>
      <c r="O174" s="53"/>
      <c r="P174" s="53"/>
      <c r="Q174" s="53"/>
      <c r="R174" s="63"/>
      <c r="S174" s="63"/>
      <c r="T174" s="63"/>
      <c r="U174" s="63"/>
      <c r="V174" s="63"/>
      <c r="W174" s="3"/>
    </row>
    <row r="175" spans="1:23" s="1" customFormat="1" hidden="1" x14ac:dyDescent="0.2">
      <c r="A175" s="46"/>
      <c r="B175" s="70"/>
      <c r="C175" s="91"/>
      <c r="D175" s="69"/>
      <c r="E175" s="69"/>
      <c r="F175" s="70"/>
      <c r="G175" s="69"/>
      <c r="H175" s="70"/>
      <c r="I175" s="69"/>
      <c r="J175" s="70"/>
      <c r="K175" s="70"/>
      <c r="L175" s="70"/>
      <c r="M175" s="70"/>
      <c r="N175" s="70"/>
      <c r="O175" s="70"/>
      <c r="P175" s="70"/>
      <c r="Q175" s="70"/>
      <c r="R175" s="64"/>
      <c r="S175" s="64"/>
      <c r="T175" s="64"/>
      <c r="U175" s="55"/>
      <c r="V175" s="55"/>
      <c r="W175" s="3"/>
    </row>
    <row r="176" spans="1:23" s="1" customFormat="1" ht="36" hidden="1" x14ac:dyDescent="0.2">
      <c r="A176" s="29">
        <v>55</v>
      </c>
      <c r="B176" s="92" t="s">
        <v>119</v>
      </c>
      <c r="C176" s="53" t="s">
        <v>120</v>
      </c>
      <c r="D176" s="62"/>
      <c r="E176" s="62"/>
      <c r="F176" s="53"/>
      <c r="G176" s="62"/>
      <c r="H176" s="53"/>
      <c r="I176" s="62"/>
      <c r="J176" s="53"/>
      <c r="K176" s="53"/>
      <c r="L176" s="53"/>
      <c r="M176" s="53"/>
      <c r="N176" s="53"/>
      <c r="O176" s="53"/>
      <c r="P176" s="53"/>
      <c r="Q176" s="53"/>
      <c r="R176" s="63"/>
      <c r="S176" s="63"/>
      <c r="T176" s="63"/>
      <c r="U176" s="63"/>
      <c r="V176" s="63"/>
      <c r="W176" s="3"/>
    </row>
    <row r="177" spans="1:23" s="1" customFormat="1" hidden="1" x14ac:dyDescent="0.2">
      <c r="A177" s="46"/>
      <c r="B177" s="70"/>
      <c r="C177" s="91"/>
      <c r="D177" s="69"/>
      <c r="E177" s="69"/>
      <c r="F177" s="70"/>
      <c r="G177" s="69"/>
      <c r="H177" s="70"/>
      <c r="I177" s="69"/>
      <c r="J177" s="70"/>
      <c r="K177" s="70"/>
      <c r="L177" s="70"/>
      <c r="M177" s="70"/>
      <c r="N177" s="70"/>
      <c r="O177" s="70"/>
      <c r="P177" s="70"/>
      <c r="Q177" s="70"/>
      <c r="R177" s="64"/>
      <c r="S177" s="64"/>
      <c r="T177" s="64"/>
      <c r="U177" s="55"/>
      <c r="V177" s="55"/>
      <c r="W177" s="3"/>
    </row>
    <row r="178" spans="1:23" s="1" customFormat="1" hidden="1" x14ac:dyDescent="0.2">
      <c r="A178" s="28">
        <v>56</v>
      </c>
      <c r="B178" s="70"/>
      <c r="C178" s="70" t="s">
        <v>122</v>
      </c>
      <c r="D178" s="69"/>
      <c r="E178" s="69"/>
      <c r="F178" s="70"/>
      <c r="G178" s="69"/>
      <c r="H178" s="70"/>
      <c r="I178" s="69"/>
      <c r="J178" s="70"/>
      <c r="K178" s="70"/>
      <c r="L178" s="70"/>
      <c r="M178" s="70"/>
      <c r="N178" s="70"/>
      <c r="O178" s="70"/>
      <c r="P178" s="70"/>
      <c r="Q178" s="70"/>
      <c r="R178" s="64"/>
      <c r="S178" s="64"/>
      <c r="T178" s="64"/>
      <c r="U178" s="64"/>
      <c r="V178" s="94"/>
      <c r="W178" s="3"/>
    </row>
    <row r="179" spans="1:23" s="1" customFormat="1" ht="24" x14ac:dyDescent="0.2">
      <c r="A179" s="28">
        <v>57</v>
      </c>
      <c r="B179" s="92" t="s">
        <v>45</v>
      </c>
      <c r="C179" s="52" t="s">
        <v>121</v>
      </c>
      <c r="D179" s="69"/>
      <c r="E179" s="70"/>
      <c r="F179" s="70"/>
      <c r="G179" s="70"/>
      <c r="H179" s="70"/>
      <c r="I179" s="69"/>
      <c r="J179" s="70"/>
      <c r="K179" s="70"/>
      <c r="L179" s="70"/>
      <c r="M179" s="70"/>
      <c r="N179" s="70"/>
      <c r="O179" s="70"/>
      <c r="P179" s="70"/>
      <c r="Q179" s="70"/>
      <c r="R179" s="55"/>
      <c r="S179" s="42"/>
      <c r="T179" s="42"/>
      <c r="U179" s="51"/>
      <c r="V179" s="95"/>
    </row>
    <row r="180" spans="1:23" s="1" customFormat="1" x14ac:dyDescent="0.2">
      <c r="A180" s="28">
        <v>58</v>
      </c>
      <c r="B180" s="70"/>
      <c r="C180" s="70" t="s">
        <v>123</v>
      </c>
      <c r="D180" s="69"/>
      <c r="E180" s="70"/>
      <c r="F180" s="70"/>
      <c r="G180" s="70"/>
      <c r="H180" s="70"/>
      <c r="I180" s="69"/>
      <c r="J180" s="70"/>
      <c r="K180" s="70"/>
      <c r="L180" s="70"/>
      <c r="M180" s="70"/>
      <c r="N180" s="70"/>
      <c r="O180" s="70"/>
      <c r="P180" s="70"/>
      <c r="Q180" s="70"/>
      <c r="R180" s="64"/>
      <c r="S180" s="40"/>
      <c r="T180" s="40"/>
      <c r="U180" s="94"/>
      <c r="V180" s="94">
        <f>V172*1.18</f>
        <v>3408832.2</v>
      </c>
    </row>
    <row r="181" spans="1:23" s="1" customFormat="1" x14ac:dyDescent="0.2">
      <c r="A181" s="46"/>
      <c r="B181" s="70"/>
      <c r="C181" s="70"/>
      <c r="D181" s="69"/>
      <c r="E181" s="70"/>
      <c r="F181" s="70"/>
      <c r="G181" s="70"/>
      <c r="H181" s="70"/>
      <c r="I181" s="69"/>
      <c r="J181" s="70"/>
      <c r="K181" s="70"/>
      <c r="L181" s="70"/>
      <c r="M181" s="70"/>
      <c r="N181" s="70"/>
      <c r="O181" s="70"/>
      <c r="P181" s="70"/>
      <c r="Q181" s="70"/>
      <c r="R181" s="64"/>
      <c r="S181" s="40"/>
      <c r="T181" s="40"/>
      <c r="U181" s="50"/>
      <c r="V181" s="50"/>
    </row>
    <row r="182" spans="1:23" s="1" customFormat="1" x14ac:dyDescent="0.2">
      <c r="A182" s="124" t="s">
        <v>129</v>
      </c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</row>
    <row r="183" spans="1:23" s="1" customFormat="1" ht="15.75" x14ac:dyDescent="0.25">
      <c r="A183" s="24"/>
      <c r="B183" s="98"/>
      <c r="C183" s="98"/>
      <c r="D183" s="98"/>
      <c r="E183" s="98"/>
      <c r="F183" s="98"/>
      <c r="G183" s="99"/>
      <c r="H183" s="99"/>
      <c r="I183" s="36"/>
      <c r="J183" s="37"/>
      <c r="K183" s="37"/>
      <c r="L183" s="37"/>
      <c r="M183" s="37"/>
      <c r="N183" s="37"/>
      <c r="O183" s="37"/>
      <c r="P183" s="37"/>
      <c r="Q183" s="37"/>
      <c r="R183" s="104"/>
      <c r="S183" s="34"/>
      <c r="T183" s="34"/>
      <c r="U183" s="30"/>
      <c r="V183" s="30"/>
    </row>
    <row r="184" spans="1:23" s="1" customFormat="1" ht="15.75" x14ac:dyDescent="0.25">
      <c r="A184" s="24"/>
      <c r="B184" s="105"/>
      <c r="C184" s="98"/>
      <c r="D184" s="98"/>
      <c r="E184" s="98"/>
      <c r="F184" s="98"/>
      <c r="G184" s="99"/>
      <c r="H184" s="99"/>
      <c r="I184" s="36"/>
      <c r="J184" s="37"/>
      <c r="K184" s="37"/>
      <c r="L184" s="37"/>
      <c r="M184" s="37"/>
      <c r="N184" s="37"/>
      <c r="O184" s="37"/>
      <c r="P184" s="37"/>
      <c r="Q184" s="37"/>
      <c r="R184" s="104"/>
      <c r="S184" s="34"/>
      <c r="T184" s="107"/>
      <c r="U184" s="30"/>
      <c r="V184" s="30"/>
    </row>
    <row r="185" spans="1:23" s="1" customFormat="1" ht="15.75" x14ac:dyDescent="0.25">
      <c r="A185" s="24"/>
      <c r="B185" s="106"/>
      <c r="C185" s="98"/>
      <c r="D185" s="98"/>
      <c r="E185" s="98"/>
      <c r="F185" s="98"/>
      <c r="G185" s="99"/>
      <c r="H185" s="99"/>
      <c r="I185" s="36"/>
      <c r="J185" s="37"/>
      <c r="K185" s="37"/>
      <c r="L185" s="37"/>
      <c r="M185" s="37"/>
      <c r="N185" s="37"/>
      <c r="O185" s="37"/>
      <c r="P185" s="37"/>
      <c r="Q185" s="37"/>
      <c r="R185" s="99"/>
      <c r="S185" s="34"/>
      <c r="T185" s="34"/>
      <c r="U185" s="30"/>
      <c r="V185" s="30"/>
    </row>
    <row r="186" spans="1:23" s="1" customFormat="1" ht="15.75" x14ac:dyDescent="0.25">
      <c r="A186" s="24"/>
      <c r="B186" s="100"/>
      <c r="C186" s="101"/>
      <c r="D186" s="101"/>
      <c r="E186" s="101"/>
      <c r="F186" s="101"/>
      <c r="G186" s="102"/>
      <c r="H186" s="103"/>
      <c r="I186" s="36"/>
      <c r="J186" s="37"/>
      <c r="K186" s="37"/>
      <c r="L186" s="37"/>
      <c r="M186" s="37"/>
      <c r="N186" s="37"/>
      <c r="O186" s="37"/>
      <c r="P186" s="37"/>
      <c r="Q186" s="37"/>
      <c r="R186" s="102"/>
      <c r="S186" s="36"/>
      <c r="T186" s="36"/>
      <c r="U186" s="36"/>
      <c r="V186" s="36"/>
    </row>
    <row r="187" spans="1:23" s="1" customFormat="1" x14ac:dyDescent="0.2">
      <c r="A187" s="24"/>
      <c r="B187" s="37"/>
      <c r="C187" s="120"/>
      <c r="D187" s="120"/>
      <c r="E187" s="37"/>
      <c r="F187" s="37"/>
      <c r="G187" s="36"/>
      <c r="H187" s="37"/>
      <c r="I187" s="36"/>
      <c r="J187" s="37"/>
      <c r="K187" s="37"/>
      <c r="L187" s="37"/>
      <c r="M187" s="37"/>
      <c r="N187" s="37"/>
      <c r="O187" s="37"/>
      <c r="P187" s="37"/>
      <c r="Q187" s="37"/>
      <c r="R187" s="36"/>
      <c r="S187" s="36"/>
      <c r="T187" s="36"/>
      <c r="U187" s="36"/>
      <c r="V187" s="36"/>
    </row>
    <row r="188" spans="1:23" x14ac:dyDescent="0.2">
      <c r="A188" s="20"/>
      <c r="B188" s="123"/>
      <c r="C188" s="123"/>
      <c r="D188" s="32"/>
      <c r="E188" s="31"/>
      <c r="F188" s="31"/>
      <c r="G188" s="32"/>
      <c r="H188" s="31"/>
      <c r="I188" s="32"/>
      <c r="J188" s="31"/>
      <c r="K188" s="31"/>
      <c r="L188" s="31"/>
      <c r="M188" s="31"/>
      <c r="N188" s="31"/>
      <c r="O188" s="31"/>
      <c r="P188" s="31"/>
      <c r="Q188" s="31"/>
      <c r="R188" s="32"/>
      <c r="S188" s="31"/>
      <c r="T188" s="31"/>
      <c r="U188" s="32"/>
      <c r="V188" s="33"/>
    </row>
    <row r="189" spans="1:23" x14ac:dyDescent="0.2">
      <c r="A189" s="20"/>
      <c r="B189" s="31"/>
      <c r="C189" s="31"/>
      <c r="D189" s="32"/>
      <c r="E189" s="31"/>
      <c r="F189" s="31"/>
      <c r="G189" s="31"/>
      <c r="H189" s="31"/>
      <c r="I189" s="32"/>
      <c r="J189" s="31"/>
      <c r="K189" s="31"/>
      <c r="L189" s="31"/>
      <c r="M189" s="31"/>
      <c r="N189" s="31"/>
      <c r="O189" s="31"/>
      <c r="P189" s="31"/>
      <c r="Q189" s="31"/>
      <c r="R189" s="32"/>
      <c r="S189" s="31"/>
      <c r="T189" s="31"/>
      <c r="U189" s="31"/>
      <c r="V189" s="33"/>
    </row>
    <row r="190" spans="1:23" x14ac:dyDescent="0.2">
      <c r="A190" s="20"/>
      <c r="B190" s="31"/>
      <c r="C190" s="31"/>
      <c r="D190" s="32"/>
      <c r="E190" s="31"/>
      <c r="F190" s="31"/>
      <c r="G190" s="31"/>
      <c r="H190" s="31"/>
      <c r="I190" s="32"/>
      <c r="J190" s="31"/>
      <c r="K190" s="31"/>
      <c r="L190" s="31"/>
      <c r="M190" s="31"/>
      <c r="N190" s="31"/>
      <c r="O190" s="31"/>
      <c r="P190" s="31"/>
      <c r="Q190" s="31"/>
      <c r="R190" s="32"/>
      <c r="S190" s="31"/>
      <c r="T190" s="31"/>
      <c r="U190" s="31"/>
      <c r="V190" s="33"/>
    </row>
    <row r="191" spans="1:23" x14ac:dyDescent="0.2">
      <c r="A191" s="20"/>
      <c r="B191" s="31"/>
      <c r="C191" s="31"/>
      <c r="D191" s="32"/>
      <c r="E191" s="31"/>
      <c r="F191" s="31"/>
      <c r="G191" s="31"/>
      <c r="H191" s="31"/>
      <c r="I191" s="32"/>
      <c r="J191" s="31"/>
      <c r="K191" s="31"/>
      <c r="L191" s="31"/>
      <c r="M191" s="31"/>
      <c r="N191" s="31"/>
      <c r="O191" s="31"/>
      <c r="P191" s="31"/>
      <c r="Q191" s="31"/>
      <c r="R191" s="32"/>
      <c r="S191" s="31"/>
      <c r="T191" s="31"/>
      <c r="U191" s="31"/>
      <c r="V191" s="32"/>
    </row>
    <row r="192" spans="1:23" x14ac:dyDescent="0.2">
      <c r="A192" s="20"/>
      <c r="B192" s="31"/>
      <c r="C192" s="31"/>
      <c r="D192" s="32"/>
      <c r="E192" s="31"/>
      <c r="F192" s="31"/>
      <c r="G192" s="31"/>
      <c r="H192" s="31"/>
      <c r="I192" s="32"/>
      <c r="J192" s="31"/>
      <c r="K192" s="31"/>
      <c r="L192" s="31"/>
      <c r="M192" s="31"/>
      <c r="N192" s="31"/>
      <c r="O192" s="31"/>
      <c r="P192" s="31"/>
      <c r="Q192" s="31"/>
      <c r="R192" s="32"/>
      <c r="S192" s="31"/>
      <c r="T192" s="31"/>
      <c r="U192" s="31"/>
      <c r="V192" s="32"/>
    </row>
    <row r="193" spans="1:22" s="1" customFormat="1" x14ac:dyDescent="0.2">
      <c r="A193" s="24"/>
      <c r="B193" s="37"/>
      <c r="C193" s="37"/>
      <c r="D193" s="36"/>
      <c r="E193" s="37"/>
      <c r="F193" s="37"/>
      <c r="G193" s="37"/>
      <c r="H193" s="37"/>
      <c r="I193" s="36"/>
      <c r="J193" s="37"/>
      <c r="K193" s="37"/>
      <c r="L193" s="37"/>
      <c r="M193" s="37"/>
      <c r="N193" s="37"/>
      <c r="O193" s="37"/>
      <c r="P193" s="37"/>
      <c r="Q193" s="37"/>
      <c r="R193" s="36"/>
      <c r="S193" s="37"/>
      <c r="T193" s="37"/>
      <c r="U193" s="37"/>
      <c r="V193" s="36"/>
    </row>
    <row r="194" spans="1:22" s="1" customFormat="1" x14ac:dyDescent="0.2">
      <c r="A194" s="24"/>
      <c r="B194" s="37"/>
      <c r="C194" s="37"/>
      <c r="D194" s="36"/>
      <c r="E194" s="37"/>
      <c r="F194" s="37"/>
      <c r="G194" s="37"/>
      <c r="H194" s="37"/>
      <c r="I194" s="36"/>
      <c r="J194" s="37"/>
      <c r="K194" s="37"/>
      <c r="L194" s="37"/>
      <c r="M194" s="37"/>
      <c r="N194" s="37"/>
      <c r="O194" s="37"/>
      <c r="P194" s="37"/>
      <c r="Q194" s="37"/>
      <c r="R194" s="36"/>
      <c r="S194" s="37"/>
      <c r="T194" s="37"/>
      <c r="U194" s="37"/>
      <c r="V194" s="36"/>
    </row>
    <row r="195" spans="1:22" s="1" customFormat="1" x14ac:dyDescent="0.2">
      <c r="A195" s="24"/>
      <c r="B195" s="37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36"/>
    </row>
    <row r="196" spans="1:22" s="1" customFormat="1" x14ac:dyDescent="0.2">
      <c r="A196" s="24"/>
      <c r="B196" s="37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6"/>
    </row>
    <row r="197" spans="1:22" x14ac:dyDescent="0.2">
      <c r="A197" s="20"/>
      <c r="B197" s="31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32"/>
    </row>
    <row r="198" spans="1:22" x14ac:dyDescent="0.2">
      <c r="A198" s="20"/>
      <c r="B198" s="31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2"/>
    </row>
    <row r="199" spans="1:22" x14ac:dyDescent="0.2">
      <c r="A199" s="20"/>
      <c r="B199" s="31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2"/>
    </row>
    <row r="200" spans="1:22" x14ac:dyDescent="0.2">
      <c r="A200" s="20"/>
      <c r="B200" s="31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</row>
    <row r="201" spans="1:22" x14ac:dyDescent="0.2">
      <c r="A201" s="20"/>
      <c r="B201" s="31"/>
      <c r="C201" s="120"/>
      <c r="D201" s="120"/>
      <c r="E201" s="31"/>
      <c r="F201" s="31"/>
      <c r="G201" s="31"/>
      <c r="H201" s="31"/>
      <c r="I201" s="32"/>
      <c r="J201" s="31"/>
      <c r="K201" s="31"/>
      <c r="L201" s="31"/>
      <c r="M201" s="31"/>
      <c r="N201" s="31"/>
      <c r="O201" s="31"/>
      <c r="P201" s="31"/>
      <c r="Q201" s="31"/>
      <c r="R201" s="32"/>
      <c r="S201" s="31"/>
      <c r="T201" s="31"/>
      <c r="U201" s="31"/>
      <c r="V201" s="32"/>
    </row>
    <row r="202" spans="1:22" x14ac:dyDescent="0.2">
      <c r="A202" s="19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2"/>
    </row>
    <row r="203" spans="1:22" x14ac:dyDescent="0.2">
      <c r="A203" s="19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2"/>
    </row>
    <row r="204" spans="1:22" x14ac:dyDescent="0.2">
      <c r="A204" s="19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2"/>
    </row>
    <row r="205" spans="1:22" x14ac:dyDescent="0.2">
      <c r="A205" s="19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2"/>
    </row>
    <row r="206" spans="1:22" x14ac:dyDescent="0.2">
      <c r="A206" s="19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2"/>
    </row>
    <row r="207" spans="1:22" x14ac:dyDescent="0.2">
      <c r="A207" s="19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2"/>
    </row>
    <row r="208" spans="1:22" x14ac:dyDescent="0.2">
      <c r="A208" s="19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2"/>
    </row>
    <row r="209" spans="1:22" x14ac:dyDescent="0.2">
      <c r="A209" s="19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2"/>
    </row>
    <row r="210" spans="1:22" x14ac:dyDescent="0.2">
      <c r="A210" s="19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2"/>
    </row>
    <row r="211" spans="1:22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4"/>
    </row>
    <row r="212" spans="1:22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4"/>
    </row>
    <row r="213" spans="1:22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4"/>
    </row>
    <row r="214" spans="1:22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4"/>
    </row>
    <row r="215" spans="1:22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4"/>
    </row>
    <row r="216" spans="1:22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4"/>
    </row>
    <row r="217" spans="1:22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4"/>
    </row>
    <row r="218" spans="1:22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4"/>
    </row>
    <row r="219" spans="1:22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4"/>
    </row>
    <row r="220" spans="1:22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4"/>
    </row>
    <row r="221" spans="1:22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4"/>
    </row>
    <row r="222" spans="1:22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4"/>
    </row>
    <row r="223" spans="1:22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4"/>
    </row>
    <row r="224" spans="1:22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4"/>
    </row>
    <row r="225" spans="2:22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4"/>
    </row>
    <row r="226" spans="2:22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4"/>
    </row>
    <row r="227" spans="2:22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4"/>
    </row>
    <row r="228" spans="2:22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4"/>
    </row>
    <row r="229" spans="2:22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4"/>
    </row>
    <row r="230" spans="2:22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4"/>
    </row>
    <row r="231" spans="2:22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4"/>
    </row>
    <row r="232" spans="2:22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4"/>
    </row>
    <row r="233" spans="2:22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4"/>
    </row>
    <row r="234" spans="2:22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4"/>
    </row>
    <row r="235" spans="2:22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4"/>
    </row>
    <row r="236" spans="2:22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4"/>
    </row>
    <row r="237" spans="2:22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4"/>
    </row>
    <row r="238" spans="2:22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4"/>
    </row>
    <row r="239" spans="2:22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4"/>
    </row>
    <row r="240" spans="2:22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4"/>
    </row>
    <row r="241" spans="2:22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4"/>
    </row>
    <row r="242" spans="2:22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4"/>
    </row>
    <row r="243" spans="2:22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4"/>
    </row>
    <row r="244" spans="2:22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4"/>
    </row>
    <row r="245" spans="2:22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4"/>
    </row>
    <row r="246" spans="2:22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4"/>
    </row>
    <row r="247" spans="2:22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4"/>
    </row>
    <row r="248" spans="2:22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4"/>
    </row>
    <row r="249" spans="2:22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4"/>
    </row>
    <row r="250" spans="2:22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4"/>
    </row>
    <row r="251" spans="2:22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4"/>
    </row>
    <row r="252" spans="2:22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4"/>
    </row>
    <row r="253" spans="2:22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4"/>
    </row>
    <row r="254" spans="2:22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4"/>
    </row>
    <row r="255" spans="2:22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4"/>
    </row>
    <row r="256" spans="2:22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4"/>
    </row>
    <row r="257" spans="2:22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4"/>
    </row>
    <row r="258" spans="2:22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4"/>
    </row>
    <row r="259" spans="2:22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4"/>
    </row>
    <row r="260" spans="2:22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4"/>
    </row>
    <row r="261" spans="2:22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4"/>
    </row>
    <row r="262" spans="2:22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4"/>
    </row>
    <row r="263" spans="2:22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4"/>
    </row>
    <row r="264" spans="2:22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4"/>
    </row>
    <row r="265" spans="2:22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4"/>
    </row>
    <row r="266" spans="2:22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4"/>
    </row>
    <row r="267" spans="2:22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4"/>
    </row>
    <row r="268" spans="2:22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4"/>
    </row>
    <row r="269" spans="2:22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4"/>
    </row>
    <row r="270" spans="2:22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4"/>
    </row>
    <row r="271" spans="2:22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4"/>
    </row>
    <row r="272" spans="2:22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4"/>
    </row>
    <row r="273" spans="2:22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4"/>
    </row>
    <row r="274" spans="2:22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4"/>
    </row>
    <row r="275" spans="2:22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4"/>
    </row>
    <row r="276" spans="2:22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4"/>
    </row>
    <row r="277" spans="2:22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4"/>
    </row>
    <row r="278" spans="2:22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4"/>
    </row>
    <row r="279" spans="2:22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4"/>
    </row>
    <row r="280" spans="2:22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4"/>
    </row>
    <row r="281" spans="2:22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4"/>
    </row>
    <row r="282" spans="2:22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4"/>
    </row>
    <row r="283" spans="2:22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4"/>
    </row>
    <row r="284" spans="2:22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4"/>
    </row>
    <row r="285" spans="2:22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4"/>
    </row>
    <row r="286" spans="2:22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4"/>
    </row>
    <row r="287" spans="2:22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4"/>
    </row>
    <row r="288" spans="2:22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4"/>
    </row>
    <row r="289" spans="2:22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4"/>
    </row>
    <row r="290" spans="2:22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4"/>
    </row>
    <row r="291" spans="2:22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4"/>
    </row>
    <row r="292" spans="2:22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4"/>
    </row>
    <row r="293" spans="2:22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4"/>
    </row>
    <row r="294" spans="2:22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4"/>
    </row>
    <row r="295" spans="2:22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4"/>
    </row>
    <row r="296" spans="2:22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4"/>
    </row>
    <row r="297" spans="2:22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4"/>
    </row>
    <row r="298" spans="2:22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4"/>
    </row>
    <row r="299" spans="2:22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4"/>
    </row>
    <row r="300" spans="2:22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4"/>
    </row>
    <row r="301" spans="2:22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4"/>
    </row>
    <row r="302" spans="2:22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4"/>
    </row>
    <row r="303" spans="2:22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4"/>
    </row>
    <row r="304" spans="2:22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4"/>
    </row>
    <row r="305" spans="2:22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4"/>
    </row>
    <row r="306" spans="2:22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4"/>
    </row>
    <row r="307" spans="2:22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4"/>
    </row>
    <row r="308" spans="2:22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4"/>
    </row>
    <row r="309" spans="2:22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4"/>
    </row>
    <row r="310" spans="2:22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4"/>
    </row>
    <row r="311" spans="2:22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4"/>
    </row>
    <row r="312" spans="2:22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4"/>
    </row>
    <row r="313" spans="2:22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4"/>
    </row>
    <row r="314" spans="2:22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4"/>
    </row>
    <row r="315" spans="2:22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4"/>
    </row>
    <row r="316" spans="2:22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4"/>
    </row>
    <row r="317" spans="2:22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4"/>
    </row>
    <row r="318" spans="2:22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4"/>
    </row>
    <row r="319" spans="2:22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4"/>
    </row>
    <row r="320" spans="2:22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4"/>
    </row>
    <row r="321" spans="2:22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4"/>
    </row>
    <row r="322" spans="2:22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4"/>
    </row>
    <row r="323" spans="2:22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4"/>
    </row>
    <row r="324" spans="2:22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4"/>
    </row>
    <row r="325" spans="2:22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4"/>
    </row>
    <row r="326" spans="2:22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4"/>
    </row>
    <row r="327" spans="2:22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4"/>
    </row>
    <row r="328" spans="2:22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4"/>
    </row>
    <row r="329" spans="2:22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4"/>
    </row>
    <row r="330" spans="2:22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4"/>
    </row>
    <row r="331" spans="2:22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4"/>
    </row>
    <row r="332" spans="2:22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4"/>
    </row>
    <row r="333" spans="2:22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4"/>
    </row>
    <row r="334" spans="2:22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4"/>
    </row>
    <row r="335" spans="2:22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4"/>
    </row>
    <row r="336" spans="2:22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4"/>
    </row>
    <row r="337" spans="2:22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4"/>
    </row>
    <row r="338" spans="2:22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4"/>
    </row>
    <row r="339" spans="2:22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4"/>
    </row>
    <row r="340" spans="2:22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4"/>
    </row>
    <row r="341" spans="2:22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4"/>
    </row>
    <row r="342" spans="2:22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4"/>
    </row>
    <row r="343" spans="2:22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4"/>
    </row>
    <row r="344" spans="2:22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4"/>
    </row>
    <row r="345" spans="2:22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4"/>
    </row>
    <row r="346" spans="2:22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4"/>
    </row>
    <row r="347" spans="2:22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4"/>
    </row>
    <row r="348" spans="2:22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4"/>
    </row>
    <row r="349" spans="2:22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4"/>
    </row>
    <row r="350" spans="2:22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4"/>
    </row>
    <row r="351" spans="2:22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4"/>
    </row>
    <row r="352" spans="2:22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4"/>
    </row>
    <row r="353" spans="2:22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4"/>
    </row>
    <row r="354" spans="2:22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4"/>
    </row>
    <row r="355" spans="2:22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4"/>
    </row>
    <row r="356" spans="2:22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4"/>
    </row>
    <row r="357" spans="2:22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4"/>
    </row>
    <row r="358" spans="2:22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4"/>
    </row>
    <row r="359" spans="2:22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4"/>
    </row>
    <row r="360" spans="2:22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4"/>
    </row>
    <row r="361" spans="2:22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4"/>
    </row>
    <row r="362" spans="2:22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4"/>
    </row>
    <row r="363" spans="2:22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4"/>
    </row>
    <row r="364" spans="2:22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4"/>
    </row>
    <row r="365" spans="2:22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4"/>
    </row>
    <row r="366" spans="2:22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4"/>
    </row>
    <row r="367" spans="2:22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4"/>
    </row>
    <row r="368" spans="2:22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4"/>
    </row>
    <row r="369" spans="2:22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4"/>
    </row>
    <row r="370" spans="2:22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4"/>
    </row>
    <row r="371" spans="2:22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4"/>
    </row>
    <row r="372" spans="2:22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4"/>
    </row>
    <row r="373" spans="2:22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4"/>
    </row>
    <row r="374" spans="2:22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4"/>
    </row>
    <row r="375" spans="2:22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4"/>
    </row>
    <row r="376" spans="2:22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4"/>
    </row>
    <row r="377" spans="2:22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4"/>
    </row>
    <row r="378" spans="2:22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4"/>
    </row>
    <row r="379" spans="2:22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4"/>
    </row>
    <row r="380" spans="2:22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4"/>
    </row>
    <row r="381" spans="2:22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4"/>
    </row>
    <row r="382" spans="2:22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4"/>
    </row>
    <row r="383" spans="2:22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4"/>
    </row>
    <row r="384" spans="2:22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4"/>
    </row>
    <row r="385" spans="2:22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4"/>
    </row>
    <row r="386" spans="2:22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4"/>
    </row>
    <row r="387" spans="2:22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4"/>
    </row>
    <row r="388" spans="2:22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4"/>
    </row>
    <row r="389" spans="2:22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4"/>
    </row>
    <row r="390" spans="2:22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4"/>
    </row>
    <row r="391" spans="2:22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4"/>
    </row>
    <row r="392" spans="2:22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4"/>
    </row>
    <row r="393" spans="2:22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4"/>
    </row>
    <row r="394" spans="2:22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4"/>
    </row>
    <row r="395" spans="2:22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4"/>
    </row>
    <row r="396" spans="2:22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4"/>
    </row>
    <row r="397" spans="2:22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4"/>
    </row>
    <row r="398" spans="2:22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4"/>
    </row>
    <row r="399" spans="2:22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4"/>
    </row>
    <row r="400" spans="2:22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4"/>
    </row>
    <row r="401" spans="2:22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4"/>
    </row>
    <row r="402" spans="2:22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4"/>
    </row>
    <row r="403" spans="2:22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4"/>
    </row>
    <row r="404" spans="2:22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4"/>
    </row>
    <row r="405" spans="2:22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4"/>
    </row>
    <row r="406" spans="2:22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4"/>
    </row>
    <row r="407" spans="2:22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4"/>
    </row>
    <row r="408" spans="2:22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4"/>
    </row>
    <row r="409" spans="2:22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4"/>
    </row>
    <row r="410" spans="2:22" x14ac:dyDescent="0.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4"/>
    </row>
    <row r="411" spans="2:22" x14ac:dyDescent="0.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4"/>
    </row>
    <row r="412" spans="2:22" x14ac:dyDescent="0.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4"/>
    </row>
    <row r="413" spans="2:22" x14ac:dyDescent="0.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4"/>
    </row>
    <row r="414" spans="2:22" x14ac:dyDescent="0.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4"/>
    </row>
    <row r="415" spans="2:22" x14ac:dyDescent="0.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4"/>
    </row>
    <row r="416" spans="2:22" x14ac:dyDescent="0.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4"/>
    </row>
    <row r="417" spans="2:22" x14ac:dyDescent="0.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4"/>
    </row>
    <row r="418" spans="2:22" x14ac:dyDescent="0.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4"/>
    </row>
    <row r="419" spans="2:22" x14ac:dyDescent="0.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4"/>
    </row>
    <row r="420" spans="2:22" x14ac:dyDescent="0.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4"/>
    </row>
    <row r="421" spans="2:22" x14ac:dyDescent="0.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4"/>
    </row>
    <row r="422" spans="2:22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4"/>
    </row>
    <row r="423" spans="2:22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4"/>
    </row>
    <row r="424" spans="2:22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4"/>
    </row>
    <row r="425" spans="2:22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4"/>
    </row>
    <row r="426" spans="2:22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4"/>
    </row>
    <row r="427" spans="2:22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4"/>
    </row>
    <row r="428" spans="2:22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4"/>
    </row>
    <row r="429" spans="2:22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4"/>
    </row>
    <row r="430" spans="2:22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4"/>
    </row>
    <row r="431" spans="2:22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4"/>
    </row>
    <row r="432" spans="2:22" x14ac:dyDescent="0.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4"/>
    </row>
    <row r="433" spans="2:22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4"/>
    </row>
    <row r="434" spans="2:22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4"/>
    </row>
    <row r="435" spans="2:22" x14ac:dyDescent="0.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4"/>
    </row>
    <row r="436" spans="2:22" x14ac:dyDescent="0.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4"/>
    </row>
    <row r="437" spans="2:22" x14ac:dyDescent="0.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4"/>
    </row>
    <row r="438" spans="2:22" x14ac:dyDescent="0.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4"/>
    </row>
    <row r="439" spans="2:22" x14ac:dyDescent="0.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4"/>
    </row>
    <row r="440" spans="2:22" x14ac:dyDescent="0.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4"/>
    </row>
    <row r="441" spans="2:22" x14ac:dyDescent="0.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4"/>
    </row>
    <row r="442" spans="2:22" x14ac:dyDescent="0.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4"/>
    </row>
    <row r="443" spans="2:22" x14ac:dyDescent="0.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4"/>
    </row>
    <row r="444" spans="2:22" x14ac:dyDescent="0.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4"/>
    </row>
    <row r="445" spans="2:22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4"/>
    </row>
    <row r="446" spans="2:22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4"/>
    </row>
    <row r="447" spans="2:22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4"/>
    </row>
    <row r="448" spans="2:22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4"/>
    </row>
    <row r="449" spans="2:22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4"/>
    </row>
    <row r="450" spans="2:22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4"/>
    </row>
    <row r="451" spans="2:22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4"/>
    </row>
    <row r="452" spans="2:22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4"/>
    </row>
    <row r="453" spans="2:22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4"/>
    </row>
    <row r="454" spans="2:22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4"/>
    </row>
    <row r="455" spans="2:22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4"/>
    </row>
    <row r="456" spans="2:22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4"/>
    </row>
    <row r="457" spans="2:22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4"/>
    </row>
    <row r="458" spans="2:22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4"/>
    </row>
    <row r="459" spans="2:22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4"/>
    </row>
    <row r="460" spans="2:22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4"/>
    </row>
    <row r="461" spans="2:22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4"/>
    </row>
    <row r="462" spans="2:22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4"/>
    </row>
    <row r="463" spans="2:22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4"/>
    </row>
    <row r="464" spans="2:22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4"/>
    </row>
    <row r="465" spans="2:22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4"/>
    </row>
    <row r="466" spans="2:22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4"/>
    </row>
    <row r="467" spans="2:22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4"/>
    </row>
    <row r="468" spans="2:22" x14ac:dyDescent="0.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4"/>
    </row>
    <row r="469" spans="2:22" x14ac:dyDescent="0.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4"/>
    </row>
    <row r="470" spans="2:22" x14ac:dyDescent="0.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4"/>
    </row>
    <row r="471" spans="2:22" x14ac:dyDescent="0.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4"/>
    </row>
    <row r="472" spans="2:22" x14ac:dyDescent="0.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4"/>
    </row>
    <row r="473" spans="2:22" x14ac:dyDescent="0.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4"/>
    </row>
    <row r="474" spans="2:22" x14ac:dyDescent="0.2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4"/>
    </row>
    <row r="475" spans="2:22" x14ac:dyDescent="0.2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4"/>
    </row>
    <row r="476" spans="2:22" x14ac:dyDescent="0.2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4"/>
    </row>
    <row r="477" spans="2:22" x14ac:dyDescent="0.2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4"/>
    </row>
    <row r="478" spans="2:22" x14ac:dyDescent="0.2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4"/>
    </row>
    <row r="479" spans="2:22" x14ac:dyDescent="0.2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4"/>
    </row>
    <row r="480" spans="2:22" x14ac:dyDescent="0.2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4"/>
    </row>
    <row r="481" spans="2:22" x14ac:dyDescent="0.2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4"/>
    </row>
    <row r="482" spans="2:22" x14ac:dyDescent="0.2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4"/>
    </row>
    <row r="483" spans="2:22" x14ac:dyDescent="0.2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4"/>
    </row>
    <row r="484" spans="2:22" x14ac:dyDescent="0.2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4"/>
    </row>
    <row r="485" spans="2:22" x14ac:dyDescent="0.2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4"/>
    </row>
    <row r="486" spans="2:22" x14ac:dyDescent="0.2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4"/>
    </row>
    <row r="487" spans="2:22" x14ac:dyDescent="0.2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4"/>
    </row>
    <row r="488" spans="2:22" x14ac:dyDescent="0.2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4"/>
    </row>
    <row r="489" spans="2:22" x14ac:dyDescent="0.2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4"/>
    </row>
    <row r="490" spans="2:22" x14ac:dyDescent="0.2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4"/>
    </row>
    <row r="491" spans="2:22" x14ac:dyDescent="0.2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4"/>
    </row>
    <row r="492" spans="2:22" x14ac:dyDescent="0.2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4"/>
    </row>
    <row r="493" spans="2:22" x14ac:dyDescent="0.2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4"/>
    </row>
    <row r="494" spans="2:22" x14ac:dyDescent="0.2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4"/>
    </row>
    <row r="495" spans="2:22" x14ac:dyDescent="0.2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4"/>
    </row>
    <row r="496" spans="2:22" x14ac:dyDescent="0.2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4"/>
    </row>
    <row r="497" spans="2:22" x14ac:dyDescent="0.2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4"/>
    </row>
    <row r="498" spans="2:22" x14ac:dyDescent="0.2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4"/>
    </row>
    <row r="499" spans="2:22" x14ac:dyDescent="0.2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4"/>
    </row>
    <row r="500" spans="2:22" x14ac:dyDescent="0.2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4"/>
    </row>
    <row r="501" spans="2:22" x14ac:dyDescent="0.2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4"/>
    </row>
    <row r="502" spans="2:22" x14ac:dyDescent="0.2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4"/>
    </row>
    <row r="503" spans="2:22" x14ac:dyDescent="0.2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4"/>
    </row>
    <row r="504" spans="2:22" x14ac:dyDescent="0.2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4"/>
    </row>
    <row r="505" spans="2:22" x14ac:dyDescent="0.2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4"/>
    </row>
    <row r="506" spans="2:22" x14ac:dyDescent="0.2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4"/>
    </row>
    <row r="507" spans="2:22" x14ac:dyDescent="0.2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4"/>
    </row>
    <row r="508" spans="2:22" x14ac:dyDescent="0.2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4"/>
    </row>
    <row r="509" spans="2:22" x14ac:dyDescent="0.2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4"/>
    </row>
    <row r="510" spans="2:22" x14ac:dyDescent="0.2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4"/>
    </row>
    <row r="511" spans="2:22" x14ac:dyDescent="0.2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4"/>
    </row>
    <row r="512" spans="2:22" x14ac:dyDescent="0.2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4"/>
    </row>
    <row r="513" spans="2:22" x14ac:dyDescent="0.2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4"/>
    </row>
    <row r="514" spans="2:22" x14ac:dyDescent="0.2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4"/>
    </row>
    <row r="515" spans="2:22" x14ac:dyDescent="0.2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4"/>
    </row>
    <row r="516" spans="2:22" x14ac:dyDescent="0.2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4"/>
    </row>
    <row r="517" spans="2:22" x14ac:dyDescent="0.2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4"/>
    </row>
    <row r="518" spans="2:22" x14ac:dyDescent="0.2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4"/>
    </row>
    <row r="519" spans="2:22" x14ac:dyDescent="0.2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4"/>
    </row>
    <row r="520" spans="2:22" x14ac:dyDescent="0.2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4"/>
    </row>
    <row r="521" spans="2:22" x14ac:dyDescent="0.2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4"/>
    </row>
    <row r="522" spans="2:22" x14ac:dyDescent="0.2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4"/>
    </row>
    <row r="523" spans="2:22" x14ac:dyDescent="0.2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4"/>
    </row>
    <row r="524" spans="2:22" x14ac:dyDescent="0.2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4"/>
    </row>
    <row r="525" spans="2:22" x14ac:dyDescent="0.2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4"/>
    </row>
    <row r="526" spans="2:22" x14ac:dyDescent="0.2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4"/>
    </row>
    <row r="527" spans="2:22" x14ac:dyDescent="0.2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4"/>
    </row>
    <row r="528" spans="2:22" x14ac:dyDescent="0.2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4"/>
    </row>
    <row r="529" spans="2:22" x14ac:dyDescent="0.2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4"/>
    </row>
    <row r="530" spans="2:22" x14ac:dyDescent="0.2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4"/>
    </row>
    <row r="531" spans="2:22" x14ac:dyDescent="0.2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4"/>
    </row>
    <row r="532" spans="2:22" x14ac:dyDescent="0.2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4"/>
    </row>
    <row r="533" spans="2:22" x14ac:dyDescent="0.2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4"/>
    </row>
    <row r="534" spans="2:22" x14ac:dyDescent="0.2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4"/>
    </row>
    <row r="535" spans="2:22" x14ac:dyDescent="0.2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4"/>
    </row>
    <row r="536" spans="2:22" x14ac:dyDescent="0.2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4"/>
    </row>
    <row r="537" spans="2:22" x14ac:dyDescent="0.2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4"/>
    </row>
    <row r="538" spans="2:22" x14ac:dyDescent="0.2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4"/>
    </row>
    <row r="539" spans="2:22" x14ac:dyDescent="0.2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4"/>
    </row>
    <row r="540" spans="2:22" x14ac:dyDescent="0.2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4"/>
    </row>
    <row r="541" spans="2:22" x14ac:dyDescent="0.2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4"/>
    </row>
    <row r="542" spans="2:22" x14ac:dyDescent="0.2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4"/>
    </row>
    <row r="543" spans="2:22" x14ac:dyDescent="0.2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4"/>
    </row>
    <row r="544" spans="2:22" x14ac:dyDescent="0.2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4"/>
    </row>
    <row r="545" spans="2:22" x14ac:dyDescent="0.2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4"/>
    </row>
    <row r="546" spans="2:22" x14ac:dyDescent="0.2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4"/>
    </row>
    <row r="547" spans="2:22" x14ac:dyDescent="0.2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4"/>
    </row>
    <row r="548" spans="2:22" x14ac:dyDescent="0.2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4"/>
    </row>
    <row r="549" spans="2:22" x14ac:dyDescent="0.2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4"/>
    </row>
    <row r="550" spans="2:22" x14ac:dyDescent="0.2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4"/>
    </row>
    <row r="551" spans="2:22" x14ac:dyDescent="0.2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4"/>
    </row>
    <row r="552" spans="2:22" x14ac:dyDescent="0.2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4"/>
    </row>
    <row r="553" spans="2:22" x14ac:dyDescent="0.2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4"/>
    </row>
    <row r="554" spans="2:22" x14ac:dyDescent="0.2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4"/>
    </row>
    <row r="555" spans="2:22" x14ac:dyDescent="0.2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4"/>
    </row>
    <row r="556" spans="2:22" x14ac:dyDescent="0.2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4"/>
    </row>
    <row r="557" spans="2:22" x14ac:dyDescent="0.2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4"/>
    </row>
    <row r="558" spans="2:22" x14ac:dyDescent="0.2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4"/>
    </row>
    <row r="559" spans="2:22" x14ac:dyDescent="0.2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4"/>
    </row>
    <row r="560" spans="2:22" x14ac:dyDescent="0.2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4"/>
    </row>
    <row r="561" spans="2:22" x14ac:dyDescent="0.2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4"/>
    </row>
    <row r="562" spans="2:22" x14ac:dyDescent="0.2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4"/>
    </row>
    <row r="563" spans="2:22" x14ac:dyDescent="0.2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4"/>
    </row>
    <row r="564" spans="2:22" x14ac:dyDescent="0.2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4"/>
    </row>
    <row r="565" spans="2:22" x14ac:dyDescent="0.2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4"/>
    </row>
    <row r="566" spans="2:22" x14ac:dyDescent="0.2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4"/>
    </row>
    <row r="567" spans="2:22" x14ac:dyDescent="0.2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4"/>
    </row>
    <row r="568" spans="2:22" x14ac:dyDescent="0.2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4"/>
    </row>
    <row r="569" spans="2:22" x14ac:dyDescent="0.2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4"/>
    </row>
    <row r="570" spans="2:22" x14ac:dyDescent="0.2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4"/>
    </row>
    <row r="571" spans="2:22" x14ac:dyDescent="0.2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4"/>
    </row>
    <row r="572" spans="2:22" x14ac:dyDescent="0.2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4"/>
    </row>
    <row r="573" spans="2:22" x14ac:dyDescent="0.2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4"/>
    </row>
    <row r="574" spans="2:22" x14ac:dyDescent="0.2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4"/>
    </row>
    <row r="575" spans="2:22" x14ac:dyDescent="0.2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4"/>
    </row>
    <row r="576" spans="2:22" x14ac:dyDescent="0.2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4"/>
    </row>
    <row r="577" spans="2:22" x14ac:dyDescent="0.2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4"/>
    </row>
    <row r="578" spans="2:22" x14ac:dyDescent="0.2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4"/>
    </row>
    <row r="579" spans="2:22" x14ac:dyDescent="0.2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4"/>
    </row>
    <row r="580" spans="2:22" x14ac:dyDescent="0.2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4"/>
    </row>
    <row r="581" spans="2:22" x14ac:dyDescent="0.2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4"/>
    </row>
    <row r="582" spans="2:22" x14ac:dyDescent="0.2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4"/>
    </row>
    <row r="583" spans="2:22" x14ac:dyDescent="0.2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4"/>
    </row>
    <row r="584" spans="2:22" x14ac:dyDescent="0.2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4"/>
    </row>
    <row r="585" spans="2:22" x14ac:dyDescent="0.2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4"/>
    </row>
    <row r="586" spans="2:22" x14ac:dyDescent="0.2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4"/>
    </row>
    <row r="587" spans="2:22" x14ac:dyDescent="0.2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4"/>
    </row>
    <row r="588" spans="2:22" x14ac:dyDescent="0.2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4"/>
    </row>
    <row r="589" spans="2:22" x14ac:dyDescent="0.2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4"/>
    </row>
    <row r="590" spans="2:22" x14ac:dyDescent="0.2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4"/>
    </row>
    <row r="591" spans="2:22" x14ac:dyDescent="0.2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4"/>
    </row>
    <row r="592" spans="2:22" x14ac:dyDescent="0.2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4"/>
    </row>
    <row r="593" spans="2:22" x14ac:dyDescent="0.2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4"/>
    </row>
    <row r="594" spans="2:22" x14ac:dyDescent="0.2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4"/>
    </row>
    <row r="595" spans="2:22" x14ac:dyDescent="0.2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4"/>
    </row>
    <row r="596" spans="2:22" x14ac:dyDescent="0.2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4"/>
    </row>
    <row r="597" spans="2:22" x14ac:dyDescent="0.2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4"/>
    </row>
    <row r="598" spans="2:22" x14ac:dyDescent="0.2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4"/>
    </row>
    <row r="599" spans="2:22" x14ac:dyDescent="0.2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4"/>
    </row>
    <row r="600" spans="2:22" x14ac:dyDescent="0.2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4"/>
    </row>
    <row r="601" spans="2:22" x14ac:dyDescent="0.2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4"/>
    </row>
    <row r="602" spans="2:22" x14ac:dyDescent="0.2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4"/>
    </row>
    <row r="603" spans="2:22" x14ac:dyDescent="0.2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4"/>
    </row>
    <row r="604" spans="2:22" x14ac:dyDescent="0.2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4"/>
    </row>
    <row r="605" spans="2:22" x14ac:dyDescent="0.2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4"/>
    </row>
    <row r="606" spans="2:22" x14ac:dyDescent="0.2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4"/>
    </row>
    <row r="607" spans="2:22" x14ac:dyDescent="0.2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4"/>
    </row>
    <row r="608" spans="2:22" x14ac:dyDescent="0.2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4"/>
    </row>
    <row r="609" spans="2:22" x14ac:dyDescent="0.2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4"/>
    </row>
    <row r="610" spans="2:22" x14ac:dyDescent="0.2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4"/>
    </row>
    <row r="611" spans="2:22" x14ac:dyDescent="0.2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4"/>
    </row>
    <row r="612" spans="2:22" x14ac:dyDescent="0.2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4"/>
    </row>
    <row r="613" spans="2:22" x14ac:dyDescent="0.2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4"/>
    </row>
    <row r="614" spans="2:22" x14ac:dyDescent="0.2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4"/>
    </row>
    <row r="615" spans="2:22" x14ac:dyDescent="0.2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4"/>
    </row>
    <row r="616" spans="2:22" x14ac:dyDescent="0.2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4"/>
    </row>
    <row r="617" spans="2:22" x14ac:dyDescent="0.2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4"/>
    </row>
    <row r="618" spans="2:22" x14ac:dyDescent="0.2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4"/>
    </row>
    <row r="619" spans="2:22" x14ac:dyDescent="0.2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4"/>
    </row>
    <row r="620" spans="2:22" x14ac:dyDescent="0.2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4"/>
    </row>
    <row r="621" spans="2:22" x14ac:dyDescent="0.2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4"/>
    </row>
    <row r="622" spans="2:22" x14ac:dyDescent="0.2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4"/>
    </row>
    <row r="623" spans="2:22" x14ac:dyDescent="0.2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4"/>
    </row>
    <row r="624" spans="2:22" x14ac:dyDescent="0.2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4"/>
    </row>
    <row r="625" spans="2:22" x14ac:dyDescent="0.2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4"/>
    </row>
    <row r="626" spans="2:22" x14ac:dyDescent="0.2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4"/>
    </row>
    <row r="627" spans="2:22" x14ac:dyDescent="0.2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4"/>
    </row>
    <row r="628" spans="2:22" x14ac:dyDescent="0.2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4"/>
    </row>
    <row r="629" spans="2:22" x14ac:dyDescent="0.2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4"/>
    </row>
    <row r="630" spans="2:22" x14ac:dyDescent="0.2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4"/>
    </row>
    <row r="631" spans="2:22" x14ac:dyDescent="0.2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4"/>
    </row>
    <row r="632" spans="2:22" x14ac:dyDescent="0.2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4"/>
    </row>
    <row r="633" spans="2:22" x14ac:dyDescent="0.2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4"/>
    </row>
    <row r="634" spans="2:22" x14ac:dyDescent="0.2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4"/>
    </row>
    <row r="635" spans="2:22" x14ac:dyDescent="0.2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4"/>
    </row>
    <row r="636" spans="2:22" x14ac:dyDescent="0.2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4"/>
    </row>
    <row r="637" spans="2:22" x14ac:dyDescent="0.2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4"/>
    </row>
    <row r="638" spans="2:22" x14ac:dyDescent="0.2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4"/>
    </row>
    <row r="639" spans="2:22" x14ac:dyDescent="0.2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4"/>
    </row>
    <row r="640" spans="2:22" x14ac:dyDescent="0.2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4"/>
    </row>
    <row r="641" spans="2:22" x14ac:dyDescent="0.2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4"/>
    </row>
    <row r="642" spans="2:22" x14ac:dyDescent="0.2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4"/>
    </row>
    <row r="643" spans="2:22" x14ac:dyDescent="0.2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4"/>
    </row>
    <row r="644" spans="2:22" x14ac:dyDescent="0.2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4"/>
    </row>
    <row r="645" spans="2:22" x14ac:dyDescent="0.2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4"/>
    </row>
    <row r="646" spans="2:22" x14ac:dyDescent="0.2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4"/>
    </row>
    <row r="647" spans="2:22" x14ac:dyDescent="0.2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4"/>
    </row>
    <row r="648" spans="2:22" x14ac:dyDescent="0.2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4"/>
    </row>
    <row r="649" spans="2:22" x14ac:dyDescent="0.2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4"/>
    </row>
    <row r="650" spans="2:22" x14ac:dyDescent="0.2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4"/>
    </row>
    <row r="651" spans="2:22" x14ac:dyDescent="0.2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4"/>
    </row>
    <row r="652" spans="2:22" x14ac:dyDescent="0.2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4"/>
    </row>
    <row r="653" spans="2:22" x14ac:dyDescent="0.2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4"/>
    </row>
    <row r="654" spans="2:22" x14ac:dyDescent="0.2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4"/>
    </row>
    <row r="655" spans="2:22" x14ac:dyDescent="0.2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4"/>
    </row>
    <row r="656" spans="2:22" x14ac:dyDescent="0.2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4"/>
    </row>
    <row r="657" spans="2:22" x14ac:dyDescent="0.2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4"/>
    </row>
    <row r="658" spans="2:22" x14ac:dyDescent="0.2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4"/>
    </row>
    <row r="659" spans="2:22" x14ac:dyDescent="0.2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4"/>
    </row>
    <row r="660" spans="2:22" x14ac:dyDescent="0.2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4"/>
    </row>
    <row r="661" spans="2:22" x14ac:dyDescent="0.2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4"/>
    </row>
    <row r="662" spans="2:22" x14ac:dyDescent="0.2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4"/>
    </row>
    <row r="663" spans="2:22" x14ac:dyDescent="0.2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4"/>
    </row>
    <row r="664" spans="2:22" x14ac:dyDescent="0.2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4"/>
    </row>
    <row r="665" spans="2:22" x14ac:dyDescent="0.2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4"/>
    </row>
    <row r="666" spans="2:22" x14ac:dyDescent="0.2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4"/>
    </row>
    <row r="667" spans="2:22" x14ac:dyDescent="0.2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4"/>
    </row>
    <row r="668" spans="2:22" x14ac:dyDescent="0.2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4"/>
    </row>
    <row r="669" spans="2:22" x14ac:dyDescent="0.2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4"/>
    </row>
    <row r="670" spans="2:22" x14ac:dyDescent="0.2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4"/>
    </row>
    <row r="671" spans="2:22" x14ac:dyDescent="0.2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4"/>
    </row>
    <row r="672" spans="2:22" x14ac:dyDescent="0.2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4"/>
    </row>
    <row r="673" spans="2:22" x14ac:dyDescent="0.2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4"/>
    </row>
    <row r="674" spans="2:22" x14ac:dyDescent="0.2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4"/>
    </row>
    <row r="675" spans="2:22" x14ac:dyDescent="0.2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4"/>
    </row>
    <row r="676" spans="2:22" x14ac:dyDescent="0.2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4"/>
    </row>
    <row r="677" spans="2:22" x14ac:dyDescent="0.2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4"/>
    </row>
    <row r="678" spans="2:22" x14ac:dyDescent="0.2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4"/>
    </row>
    <row r="679" spans="2:22" x14ac:dyDescent="0.2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4"/>
    </row>
    <row r="680" spans="2:22" x14ac:dyDescent="0.2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4"/>
    </row>
    <row r="681" spans="2:22" x14ac:dyDescent="0.2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4"/>
    </row>
    <row r="682" spans="2:22" x14ac:dyDescent="0.2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4"/>
    </row>
    <row r="683" spans="2:22" x14ac:dyDescent="0.2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4"/>
    </row>
    <row r="684" spans="2:22" x14ac:dyDescent="0.2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4"/>
    </row>
    <row r="685" spans="2:22" x14ac:dyDescent="0.2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4"/>
    </row>
    <row r="686" spans="2:22" x14ac:dyDescent="0.2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4"/>
    </row>
    <row r="687" spans="2:22" x14ac:dyDescent="0.2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4"/>
    </row>
    <row r="688" spans="2:22" x14ac:dyDescent="0.2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4"/>
    </row>
    <row r="689" spans="2:22" x14ac:dyDescent="0.2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4"/>
    </row>
    <row r="690" spans="2:22" x14ac:dyDescent="0.2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4"/>
    </row>
    <row r="691" spans="2:22" x14ac:dyDescent="0.2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4"/>
    </row>
    <row r="692" spans="2:22" x14ac:dyDescent="0.2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4"/>
    </row>
    <row r="693" spans="2:22" x14ac:dyDescent="0.2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4"/>
    </row>
    <row r="694" spans="2:22" x14ac:dyDescent="0.2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4"/>
    </row>
    <row r="695" spans="2:22" x14ac:dyDescent="0.2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4"/>
    </row>
    <row r="696" spans="2:22" x14ac:dyDescent="0.2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4"/>
    </row>
    <row r="697" spans="2:22" x14ac:dyDescent="0.2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4"/>
    </row>
    <row r="698" spans="2:22" x14ac:dyDescent="0.2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4"/>
    </row>
    <row r="699" spans="2:22" x14ac:dyDescent="0.2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4"/>
    </row>
    <row r="700" spans="2:22" x14ac:dyDescent="0.2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4"/>
    </row>
    <row r="701" spans="2:22" x14ac:dyDescent="0.2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4"/>
    </row>
    <row r="702" spans="2:22" x14ac:dyDescent="0.2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4"/>
    </row>
    <row r="703" spans="2:22" x14ac:dyDescent="0.2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4"/>
    </row>
    <row r="704" spans="2:22" x14ac:dyDescent="0.2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4"/>
    </row>
    <row r="705" spans="2:22" x14ac:dyDescent="0.2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4"/>
    </row>
    <row r="706" spans="2:22" x14ac:dyDescent="0.2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4"/>
    </row>
    <row r="707" spans="2:22" x14ac:dyDescent="0.2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4"/>
    </row>
    <row r="708" spans="2:22" x14ac:dyDescent="0.2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4"/>
    </row>
    <row r="709" spans="2:22" x14ac:dyDescent="0.2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4"/>
    </row>
    <row r="710" spans="2:22" x14ac:dyDescent="0.2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4"/>
    </row>
    <row r="711" spans="2:22" x14ac:dyDescent="0.2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4"/>
    </row>
    <row r="712" spans="2:22" x14ac:dyDescent="0.2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4"/>
    </row>
    <row r="713" spans="2:22" x14ac:dyDescent="0.2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4"/>
    </row>
    <row r="714" spans="2:22" x14ac:dyDescent="0.2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4"/>
    </row>
    <row r="715" spans="2:22" x14ac:dyDescent="0.2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4"/>
    </row>
    <row r="716" spans="2:22" x14ac:dyDescent="0.2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4"/>
    </row>
    <row r="717" spans="2:22" x14ac:dyDescent="0.2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4"/>
    </row>
    <row r="718" spans="2:22" x14ac:dyDescent="0.2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4"/>
    </row>
    <row r="719" spans="2:22" x14ac:dyDescent="0.2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4"/>
    </row>
    <row r="720" spans="2:22" x14ac:dyDescent="0.2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4"/>
    </row>
    <row r="721" spans="2:22" x14ac:dyDescent="0.2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4"/>
    </row>
    <row r="722" spans="2:22" x14ac:dyDescent="0.2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4"/>
    </row>
    <row r="723" spans="2:22" x14ac:dyDescent="0.2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4"/>
    </row>
    <row r="724" spans="2:22" x14ac:dyDescent="0.2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4"/>
    </row>
    <row r="725" spans="2:22" x14ac:dyDescent="0.2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4"/>
    </row>
    <row r="726" spans="2:22" x14ac:dyDescent="0.2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4"/>
    </row>
    <row r="727" spans="2:22" x14ac:dyDescent="0.2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4"/>
    </row>
    <row r="728" spans="2:22" x14ac:dyDescent="0.2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4"/>
    </row>
    <row r="729" spans="2:22" x14ac:dyDescent="0.2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4"/>
    </row>
    <row r="730" spans="2:22" x14ac:dyDescent="0.2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4"/>
    </row>
    <row r="731" spans="2:22" x14ac:dyDescent="0.2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4"/>
    </row>
    <row r="732" spans="2:22" x14ac:dyDescent="0.2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4"/>
    </row>
    <row r="733" spans="2:22" x14ac:dyDescent="0.2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4"/>
    </row>
    <row r="734" spans="2:22" x14ac:dyDescent="0.2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4"/>
    </row>
    <row r="735" spans="2:22" x14ac:dyDescent="0.2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4"/>
    </row>
    <row r="736" spans="2:22" x14ac:dyDescent="0.2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4"/>
    </row>
    <row r="737" spans="2:22" x14ac:dyDescent="0.2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4"/>
    </row>
    <row r="738" spans="2:22" x14ac:dyDescent="0.2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4"/>
    </row>
    <row r="739" spans="2:22" x14ac:dyDescent="0.2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4"/>
    </row>
    <row r="740" spans="2:22" x14ac:dyDescent="0.2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4"/>
    </row>
    <row r="741" spans="2:22" x14ac:dyDescent="0.2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4"/>
    </row>
    <row r="742" spans="2:22" x14ac:dyDescent="0.2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4"/>
    </row>
    <row r="743" spans="2:22" x14ac:dyDescent="0.2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4"/>
    </row>
    <row r="744" spans="2:22" x14ac:dyDescent="0.2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4"/>
    </row>
    <row r="745" spans="2:22" x14ac:dyDescent="0.2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4"/>
    </row>
    <row r="746" spans="2:22" x14ac:dyDescent="0.2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4"/>
    </row>
    <row r="747" spans="2:22" x14ac:dyDescent="0.2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4"/>
    </row>
    <row r="748" spans="2:22" x14ac:dyDescent="0.2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4"/>
    </row>
    <row r="749" spans="2:22" x14ac:dyDescent="0.2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4"/>
    </row>
    <row r="750" spans="2:22" x14ac:dyDescent="0.2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4"/>
    </row>
    <row r="751" spans="2:22" x14ac:dyDescent="0.2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4"/>
    </row>
    <row r="752" spans="2:22" x14ac:dyDescent="0.2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4"/>
    </row>
    <row r="753" spans="2:22" x14ac:dyDescent="0.2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4"/>
    </row>
    <row r="754" spans="2:22" x14ac:dyDescent="0.2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4"/>
    </row>
    <row r="755" spans="2:22" x14ac:dyDescent="0.2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4"/>
    </row>
    <row r="756" spans="2:22" x14ac:dyDescent="0.2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4"/>
    </row>
    <row r="757" spans="2:22" x14ac:dyDescent="0.2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4"/>
    </row>
    <row r="758" spans="2:22" x14ac:dyDescent="0.2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4"/>
    </row>
    <row r="759" spans="2:22" x14ac:dyDescent="0.2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4"/>
    </row>
    <row r="760" spans="2:22" x14ac:dyDescent="0.2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4"/>
    </row>
    <row r="761" spans="2:22" x14ac:dyDescent="0.2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4"/>
    </row>
    <row r="762" spans="2:22" x14ac:dyDescent="0.2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4"/>
    </row>
    <row r="763" spans="2:22" x14ac:dyDescent="0.2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4"/>
    </row>
    <row r="764" spans="2:22" x14ac:dyDescent="0.2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4"/>
    </row>
    <row r="765" spans="2:22" x14ac:dyDescent="0.2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4"/>
    </row>
    <row r="766" spans="2:22" x14ac:dyDescent="0.2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4"/>
    </row>
    <row r="767" spans="2:22" x14ac:dyDescent="0.2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4"/>
    </row>
    <row r="768" spans="2:22" x14ac:dyDescent="0.2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4"/>
    </row>
    <row r="769" spans="2:22" x14ac:dyDescent="0.2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4"/>
    </row>
    <row r="770" spans="2:22" x14ac:dyDescent="0.2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4"/>
    </row>
    <row r="771" spans="2:22" x14ac:dyDescent="0.2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4"/>
    </row>
    <row r="772" spans="2:22" x14ac:dyDescent="0.2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4"/>
    </row>
    <row r="773" spans="2:22" x14ac:dyDescent="0.2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4"/>
    </row>
    <row r="774" spans="2:22" x14ac:dyDescent="0.2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4"/>
    </row>
    <row r="775" spans="2:22" x14ac:dyDescent="0.2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4"/>
    </row>
    <row r="776" spans="2:22" x14ac:dyDescent="0.2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4"/>
    </row>
    <row r="777" spans="2:22" x14ac:dyDescent="0.2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4"/>
    </row>
    <row r="778" spans="2:22" x14ac:dyDescent="0.2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4"/>
    </row>
    <row r="779" spans="2:22" x14ac:dyDescent="0.2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4"/>
    </row>
    <row r="780" spans="2:22" x14ac:dyDescent="0.2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4"/>
    </row>
    <row r="781" spans="2:22" x14ac:dyDescent="0.2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4"/>
    </row>
    <row r="782" spans="2:22" x14ac:dyDescent="0.2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4"/>
    </row>
    <row r="783" spans="2:22" x14ac:dyDescent="0.2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4"/>
    </row>
    <row r="784" spans="2:22" x14ac:dyDescent="0.2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4"/>
    </row>
    <row r="785" spans="2:22" x14ac:dyDescent="0.2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4"/>
    </row>
    <row r="786" spans="2:22" x14ac:dyDescent="0.2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4"/>
    </row>
    <row r="787" spans="2:22" x14ac:dyDescent="0.2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4"/>
    </row>
    <row r="788" spans="2:22" x14ac:dyDescent="0.2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4"/>
    </row>
    <row r="789" spans="2:22" x14ac:dyDescent="0.2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4"/>
    </row>
    <row r="790" spans="2:22" x14ac:dyDescent="0.2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4"/>
    </row>
    <row r="791" spans="2:22" x14ac:dyDescent="0.2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4"/>
    </row>
    <row r="792" spans="2:22" x14ac:dyDescent="0.2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4"/>
    </row>
    <row r="793" spans="2:22" x14ac:dyDescent="0.2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4"/>
    </row>
    <row r="794" spans="2:22" x14ac:dyDescent="0.2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4"/>
    </row>
    <row r="795" spans="2:22" x14ac:dyDescent="0.2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4"/>
    </row>
    <row r="796" spans="2:22" x14ac:dyDescent="0.2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4"/>
    </row>
  </sheetData>
  <mergeCells count="22">
    <mergeCell ref="C197:U197"/>
    <mergeCell ref="C201:D201"/>
    <mergeCell ref="C155:C156"/>
    <mergeCell ref="C187:D187"/>
    <mergeCell ref="B188:C188"/>
    <mergeCell ref="C195:U195"/>
    <mergeCell ref="A182:V182"/>
    <mergeCell ref="A155:A156"/>
    <mergeCell ref="B150:B153"/>
    <mergeCell ref="A7:V7"/>
    <mergeCell ref="U1:W1"/>
    <mergeCell ref="U2:W2"/>
    <mergeCell ref="U3:W3"/>
    <mergeCell ref="A6:V6"/>
    <mergeCell ref="A8:V8"/>
    <mergeCell ref="A9:V9"/>
    <mergeCell ref="R11:V11"/>
    <mergeCell ref="J11:Q11"/>
    <mergeCell ref="A11:A12"/>
    <mergeCell ref="B11:B12"/>
    <mergeCell ref="C11:C12"/>
    <mergeCell ref="D11:I11"/>
  </mergeCells>
  <phoneticPr fontId="0" type="noConversion"/>
  <pageMargins left="0.98425196850393704" right="0.19685039370078741" top="0.78740157480314965" bottom="0.39370078740157483" header="0.51181102362204722" footer="0.51181102362204722"/>
  <pageSetup paperSize="9" scale="9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БАЗА+ТЕК 2013г. МАЙ  (5)</vt:lpstr>
      <vt:lpstr>'БАЗА+ТЕК 2013г. МАЙ  (5)'!Заголовки_для_печати</vt:lpstr>
      <vt:lpstr>'БАЗА+ТЕК 2013г. МАЙ  (5)'!Область_печати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ees</cp:lastModifiedBy>
  <cp:lastPrinted>2013-05-30T09:15:48Z</cp:lastPrinted>
  <dcterms:created xsi:type="dcterms:W3CDTF">1999-04-26T06:27:52Z</dcterms:created>
  <dcterms:modified xsi:type="dcterms:W3CDTF">2013-07-12T13:15:42Z</dcterms:modified>
</cp:coreProperties>
</file>