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0455" windowHeight="7440" activeTab="1"/>
  </bookViews>
  <sheets>
    <sheet name="Калькуляция 1" sheetId="1" r:id="rId1"/>
    <sheet name="Калькуляция ГЭСН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79" i="2"/>
  <c r="M79"/>
  <c r="L79"/>
  <c r="K45"/>
  <c r="I42"/>
  <c r="K42"/>
  <c r="K88" i="1"/>
  <c r="K87"/>
  <c r="K86"/>
  <c r="J85"/>
  <c r="K84"/>
  <c r="K83"/>
  <c r="K82"/>
  <c r="K81"/>
  <c r="I81"/>
  <c r="J79"/>
  <c r="J78"/>
  <c r="I79"/>
  <c r="I78"/>
  <c r="J75"/>
  <c r="J77"/>
  <c r="K76"/>
  <c r="J76"/>
  <c r="I75"/>
  <c r="K83" i="2"/>
  <c r="K82"/>
  <c r="K75"/>
  <c r="K72"/>
  <c r="K44"/>
  <c r="K43"/>
  <c r="K41"/>
  <c r="K67" s="1"/>
  <c r="K35"/>
  <c r="K34"/>
  <c r="K33"/>
  <c r="K32"/>
  <c r="I31"/>
  <c r="K31" s="1"/>
  <c r="K30"/>
  <c r="K29"/>
  <c r="J29"/>
  <c r="K28"/>
  <c r="J28"/>
  <c r="K27"/>
  <c r="J27"/>
  <c r="K26"/>
  <c r="J25"/>
  <c r="K25" s="1"/>
  <c r="J24"/>
  <c r="K24" s="1"/>
  <c r="J23"/>
  <c r="K23" s="1"/>
  <c r="I23"/>
  <c r="J22"/>
  <c r="I22"/>
  <c r="K22" s="1"/>
  <c r="J21"/>
  <c r="K21" s="1"/>
  <c r="I21"/>
  <c r="K20"/>
  <c r="K19"/>
  <c r="J18"/>
  <c r="I18"/>
  <c r="K18" s="1"/>
  <c r="N46" i="1"/>
  <c r="K85" i="2" l="1"/>
  <c r="K76"/>
  <c r="K86"/>
  <c r="K87" s="1"/>
  <c r="K88" s="1"/>
  <c r="K90" s="1"/>
  <c r="K36"/>
  <c r="K89" s="1"/>
  <c r="K91" l="1"/>
  <c r="K92"/>
  <c r="O46" i="1" l="1"/>
  <c r="I85"/>
  <c r="L41"/>
  <c r="M41" s="1"/>
  <c r="I50"/>
  <c r="I51"/>
  <c r="I52"/>
  <c r="I53"/>
  <c r="I38"/>
  <c r="I39"/>
  <c r="I40"/>
  <c r="I42"/>
  <c r="I43"/>
  <c r="I44"/>
  <c r="I45"/>
  <c r="I46"/>
  <c r="I47"/>
  <c r="I48"/>
  <c r="K38"/>
  <c r="G28"/>
  <c r="I28" s="1"/>
  <c r="H26"/>
  <c r="I26" s="1"/>
  <c r="H25"/>
  <c r="I25" s="1"/>
  <c r="H24"/>
  <c r="H22"/>
  <c r="H21"/>
  <c r="I21" s="1"/>
  <c r="H20"/>
  <c r="H19"/>
  <c r="H18"/>
  <c r="H15"/>
  <c r="G20"/>
  <c r="I20" s="1"/>
  <c r="G19"/>
  <c r="G18"/>
  <c r="I16"/>
  <c r="I68"/>
  <c r="I69"/>
  <c r="I70"/>
  <c r="I71"/>
  <c r="I67"/>
  <c r="I17"/>
  <c r="I22"/>
  <c r="I23"/>
  <c r="I24"/>
  <c r="I27"/>
  <c r="I29"/>
  <c r="I30"/>
  <c r="I31"/>
  <c r="I32"/>
  <c r="I49"/>
  <c r="I54"/>
  <c r="I55"/>
  <c r="I56"/>
  <c r="I57"/>
  <c r="I58"/>
  <c r="I59"/>
  <c r="I60"/>
  <c r="I61"/>
  <c r="I62"/>
  <c r="G15"/>
  <c r="I15" l="1"/>
  <c r="I19"/>
  <c r="I18"/>
  <c r="I63"/>
  <c r="I72"/>
  <c r="K75" s="1"/>
  <c r="I33"/>
  <c r="I82" l="1"/>
  <c r="I83" s="1"/>
  <c r="J86" l="1"/>
  <c r="J87"/>
  <c r="I84"/>
  <c r="I86" s="1"/>
  <c r="I87" l="1"/>
  <c r="I88" s="1"/>
</calcChain>
</file>

<file path=xl/sharedStrings.xml><?xml version="1.0" encoding="utf-8"?>
<sst xmlns="http://schemas.openxmlformats.org/spreadsheetml/2006/main" count="233" uniqueCount="103">
  <si>
    <t>Утверждаю:</t>
  </si>
  <si>
    <t>Объект:  "Капитальный ремонт здания цеха покрытия труб каркасно-панельное НГДУ "Елховнефть" Инв№10100000282</t>
  </si>
  <si>
    <t>Калькуляция №1</t>
  </si>
  <si>
    <t>Изделие:  Музейный экспонат, муляж булита в разрезе, выполненый из гипсокартона</t>
  </si>
  <si>
    <t>Площадь поверхности  булита: 26,3 м2</t>
  </si>
  <si>
    <t>Кол-во изделий: 1,0 шт</t>
  </si>
  <si>
    <t>Размеры:  3,8х2,2 м</t>
  </si>
  <si>
    <t>№</t>
  </si>
  <si>
    <t>Наименование</t>
  </si>
  <si>
    <t>Ед. изм.</t>
  </si>
  <si>
    <t>кол-во</t>
  </si>
  <si>
    <t>стоим. за ед. в руб</t>
  </si>
  <si>
    <t>Общая стоимость в руб.</t>
  </si>
  <si>
    <t xml:space="preserve"> Материалы</t>
  </si>
  <si>
    <t>Профиль направляющий ПН 28/27/0,6</t>
  </si>
  <si>
    <t>Листы гипсокартонные ГКЛ 12,5 мм</t>
  </si>
  <si>
    <t>Профиль потолочный ПП 60/27/0,6</t>
  </si>
  <si>
    <t>Шуруп самонарезающий (LN) 3,5/9,5 мм</t>
  </si>
  <si>
    <t>Дюбель с шурупом 6/35 мм</t>
  </si>
  <si>
    <t>Шкурка шлифовальная двухслойная с зернистостью 40-25</t>
  </si>
  <si>
    <t>Краска акриловая ВД-АК 2180, ВГТ</t>
  </si>
  <si>
    <t>Ветошь</t>
  </si>
  <si>
    <t>Уголок маячковый</t>
  </si>
  <si>
    <t>Грунтовка «Бетоконтакт», КНАУФ</t>
  </si>
  <si>
    <t>Зарплата</t>
  </si>
  <si>
    <t>Устройство канта из уголков на другом  торце булита</t>
  </si>
  <si>
    <t>Третья шпатлевка при высококачественной окраске ГКЛ подготовленных под окраску</t>
  </si>
  <si>
    <t>Механизмы</t>
  </si>
  <si>
    <t>Шуруповерт</t>
  </si>
  <si>
    <t>Ножницы: электрические</t>
  </si>
  <si>
    <t>Перфораторы: электрические</t>
  </si>
  <si>
    <t>Лобзики электрические</t>
  </si>
  <si>
    <t>Автомобили бортовые, грузоподъемность до 5 т</t>
  </si>
  <si>
    <t>м2</t>
  </si>
  <si>
    <t>шт</t>
  </si>
  <si>
    <t>м</t>
  </si>
  <si>
    <t>кг</t>
  </si>
  <si>
    <t>ч.час.</t>
  </si>
  <si>
    <t>маш.час.</t>
  </si>
  <si>
    <t>Итого материалы</t>
  </si>
  <si>
    <t>Итого</t>
  </si>
  <si>
    <t>Накладные расходы</t>
  </si>
  <si>
    <t>Сметная прибыль</t>
  </si>
  <si>
    <t>%</t>
  </si>
  <si>
    <t xml:space="preserve">Итого механизмы </t>
  </si>
  <si>
    <t>Итого затрат</t>
  </si>
  <si>
    <t>НДС</t>
  </si>
  <si>
    <t>Итого с НДС</t>
  </si>
  <si>
    <t>Составил:</t>
  </si>
  <si>
    <t>Проверил:</t>
  </si>
  <si>
    <t>Шпаклевка «Шитрок»</t>
  </si>
  <si>
    <t>Шпаклевка «Ветонит»</t>
  </si>
  <si>
    <t>Грунтовка «Ротбанд», КНАУФ</t>
  </si>
  <si>
    <t>Клей «Метилан»</t>
  </si>
  <si>
    <t>Лента бумажная малярная</t>
  </si>
  <si>
    <t>Стеклообои  паутинка</t>
  </si>
  <si>
    <t>Плиты из экструдированного пенополистирола М35 толщиной 50мм</t>
  </si>
  <si>
    <t xml:space="preserve">Фанера 1525х1525х20мм </t>
  </si>
  <si>
    <t>л</t>
  </si>
  <si>
    <t>Разметка проектного положения металлического каркаса.</t>
  </si>
  <si>
    <t>Установка и крепление направляющих и стоечных профилей к металической  конструкциям .</t>
  </si>
  <si>
    <t>Резка гипсокартонных листов согласно шаблону</t>
  </si>
  <si>
    <t xml:space="preserve">Обшивка цилиндрической конструкции с гнутьем гипсокартона по шаблону </t>
  </si>
  <si>
    <t>Изготовление шаблонов из фанеры</t>
  </si>
  <si>
    <t>Крепление внутри булита круглых фанерных деталей изготовлленых  по шаблону для усиления цилиндрической конструкции</t>
  </si>
  <si>
    <t>Предварительное увлажнение  гипсокартонных листов для последующей обшивки цилиндрической конструкции</t>
  </si>
  <si>
    <t>Обшивка одного  торца булита пенополистеролом</t>
  </si>
  <si>
    <t>Обрезка пенополистерола  на торце до сферичной формы</t>
  </si>
  <si>
    <t>Грунтовка пенополистирола "Бетоноконтактом"</t>
  </si>
  <si>
    <t>Доводка торца булита штукатуркой до идеальной  сферической формы</t>
  </si>
  <si>
    <t>Покрытие поверхности булита  грунтовкой глубокого проникновения: за 2 раза</t>
  </si>
  <si>
    <t>Оклейка булита стеклообоями "Паутинка"</t>
  </si>
  <si>
    <t>Нанесение шпатлевки на трещины и раковины.</t>
  </si>
  <si>
    <t>Шлифовка подмазанных мест.</t>
  </si>
  <si>
    <t>Шпатлевание поверхности.</t>
  </si>
  <si>
    <t>Шлифовка прошпатлеванной поверхности.</t>
  </si>
  <si>
    <t>Грунтование поверхности.</t>
  </si>
  <si>
    <t>Шлифовка прогрунтованной поверхности.</t>
  </si>
  <si>
    <t>Обшивка основания булита гипсокартонными листами с креплением их самонарезающими винтами.</t>
  </si>
  <si>
    <t>Установка и крепление направляющих и крайних стоечных профилей для изготовления основания булита</t>
  </si>
  <si>
    <t>Установка стоечных профилей в направляющие с креплением в основании булита</t>
  </si>
  <si>
    <t>Высококачественная окраска водно-дисперсионными акриловыми составами 2 слоя</t>
  </si>
  <si>
    <t xml:space="preserve"> При ремонте и реконструкции зданий и сооружений работы, аналогичные технологическим процессам в новом строительстве ОЗП=1,15; ЭМ=1,25; ЗПМ=1,25; ТЗ=1,15; ТЗМ=1,25</t>
  </si>
  <si>
    <t>Непредвиденные затраты 1%</t>
  </si>
  <si>
    <t>Понижающий коэффициент К=0,69</t>
  </si>
  <si>
    <t>Итого затрат с материалом</t>
  </si>
  <si>
    <t>К</t>
  </si>
  <si>
    <t>118,00*0,94</t>
  </si>
  <si>
    <t>Обоснование</t>
  </si>
  <si>
    <t>на ед.</t>
  </si>
  <si>
    <t>Всего</t>
  </si>
  <si>
    <t>в текущих (прогнозных) ценах</t>
  </si>
  <si>
    <t>ГЭСН10-05-004-01</t>
  </si>
  <si>
    <t>Устройство перегородок из гипсокартонных листов (ГКЛ) по системе «КНАУФ» с двойным металлическим каркасом и двухслойной обшивкой с обеих сторон (С 115-1): глухих: 31,388 м2</t>
  </si>
  <si>
    <t>ГЭСН15-04-006-04</t>
  </si>
  <si>
    <t>Покрытие поверхностей грунтовкой глубокого проникновения: за 2 раза стен: 31,388 м2</t>
  </si>
  <si>
    <t>ГЭСН15-06-001-04</t>
  </si>
  <si>
    <t>ГЭСН15-04-027-05</t>
  </si>
  <si>
    <t>Третья шпатлевка при высококачественной окраске по штукатурке и сборным конструкциям: стен, подготовленных под окраску</t>
  </si>
  <si>
    <t>33,63</t>
  </si>
  <si>
    <t>Оклейка стеклобоями Паутинка: 31,388 м2</t>
  </si>
  <si>
    <t>ГЭСН15-04-007-05</t>
  </si>
  <si>
    <t>Окраска водно-дисперсионными акриловыми составами высококачественная: по штукатурке стен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</si>
</sst>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6" fillId="0" borderId="0" applyProtection="0"/>
    <xf numFmtId="0" fontId="7" fillId="0" borderId="3" applyProtection="0">
      <alignment horizontal="center"/>
    </xf>
    <xf numFmtId="0" fontId="7" fillId="0" borderId="3" applyProtection="0">
      <alignment horizontal="center"/>
    </xf>
    <xf numFmtId="0" fontId="7" fillId="0" borderId="0" applyProtection="0">
      <alignment horizontal="right" vertical="top" wrapText="1"/>
    </xf>
    <xf numFmtId="0" fontId="6" fillId="0" borderId="0" applyProtection="0"/>
    <xf numFmtId="2" fontId="8" fillId="0" borderId="0">
      <alignment horizontal="left" vertical="top"/>
    </xf>
    <xf numFmtId="0" fontId="6" fillId="0" borderId="0" applyProtection="0"/>
    <xf numFmtId="0" fontId="7" fillId="0" borderId="3" applyProtection="0">
      <alignment horizontal="center" wrapText="1"/>
    </xf>
    <xf numFmtId="0" fontId="7" fillId="0" borderId="3" applyProtection="0">
      <alignment horizontal="center"/>
    </xf>
    <xf numFmtId="0" fontId="7" fillId="0" borderId="3" applyProtection="0">
      <alignment horizontal="center"/>
    </xf>
    <xf numFmtId="0" fontId="7" fillId="0" borderId="3" applyProtection="0">
      <alignment horizontal="center"/>
    </xf>
    <xf numFmtId="0" fontId="7" fillId="0" borderId="0" applyProtection="0">
      <alignment horizontal="center" vertical="top" wrapText="1"/>
    </xf>
    <xf numFmtId="0" fontId="7" fillId="0" borderId="0" applyProtection="0">
      <alignment horizontal="center"/>
    </xf>
    <xf numFmtId="0" fontId="7" fillId="0" borderId="0" applyProtection="0">
      <alignment horizontal="left" vertical="top"/>
    </xf>
    <xf numFmtId="0" fontId="5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4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2" fontId="0" fillId="0" borderId="0" xfId="0" applyNumberFormat="1"/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/>
    <xf numFmtId="0" fontId="3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9" fontId="9" fillId="0" borderId="3" xfId="1" applyNumberFormat="1" applyFont="1" applyBorder="1" applyAlignment="1">
      <alignment horizontal="center" wrapText="1"/>
    </xf>
    <xf numFmtId="2" fontId="9" fillId="0" borderId="3" xfId="1" applyNumberFormat="1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wrapText="1"/>
    </xf>
  </cellXfs>
  <cellStyles count="17">
    <cellStyle name="Акт" xfId="2"/>
    <cellStyle name="ВедРесурсов" xfId="3"/>
    <cellStyle name="Итоги" xfId="4"/>
    <cellStyle name="ИтогоБазЦ" xfId="5"/>
    <cellStyle name="ИтогоРесМет" xfId="6"/>
    <cellStyle name="ИтогоТекЦ" xfId="7"/>
    <cellStyle name="ЛокСмета" xfId="8"/>
    <cellStyle name="ОбСмета" xfId="9"/>
    <cellStyle name="Обычный" xfId="0" builtinId="0"/>
    <cellStyle name="Обычный 2" xfId="1"/>
    <cellStyle name="Обычный 2 2" xfId="15"/>
    <cellStyle name="Обычный 3" xfId="16"/>
    <cellStyle name="РесСмета" xfId="10"/>
    <cellStyle name="СводРасч" xfId="11"/>
    <cellStyle name="Список ресурсов" xfId="12"/>
    <cellStyle name="Титул" xfId="13"/>
    <cellStyle name="Хвост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1"/>
  <sheetViews>
    <sheetView topLeftCell="A82" workbookViewId="0">
      <selection activeCell="F81" sqref="F81"/>
    </sheetView>
  </sheetViews>
  <sheetFormatPr defaultRowHeight="15"/>
  <cols>
    <col min="10" max="10" width="9.5703125" bestFit="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 t="s">
        <v>0</v>
      </c>
      <c r="I1" s="2"/>
    </row>
    <row r="2" spans="1:9">
      <c r="A2" s="1"/>
      <c r="B2" s="1"/>
      <c r="H2" s="1"/>
      <c r="I2" s="1"/>
    </row>
    <row r="4" spans="1:9">
      <c r="D4" s="25" t="s">
        <v>2</v>
      </c>
      <c r="E4" s="25"/>
      <c r="F4" s="25"/>
    </row>
    <row r="5" spans="1:9">
      <c r="A5" s="3" t="s">
        <v>1</v>
      </c>
      <c r="B5" s="1"/>
      <c r="C5" s="1"/>
      <c r="D5" s="1"/>
      <c r="E5" s="1"/>
      <c r="F5" s="1"/>
      <c r="G5" s="1"/>
      <c r="H5" s="1"/>
      <c r="I5" s="1"/>
    </row>
    <row r="6" spans="1:9">
      <c r="A6" s="4" t="s">
        <v>3</v>
      </c>
      <c r="B6" s="5"/>
      <c r="C6" s="5"/>
      <c r="D6" s="5"/>
      <c r="E6" s="5"/>
      <c r="F6" s="5"/>
      <c r="G6" s="5"/>
      <c r="H6" s="5"/>
      <c r="I6" s="5"/>
    </row>
    <row r="8" spans="1:9">
      <c r="A8" s="6" t="s">
        <v>4</v>
      </c>
    </row>
    <row r="9" spans="1:9">
      <c r="A9" s="6" t="s">
        <v>5</v>
      </c>
    </row>
    <row r="10" spans="1:9">
      <c r="A10" s="6" t="s">
        <v>6</v>
      </c>
    </row>
    <row r="12" spans="1:9" ht="36.75" customHeight="1">
      <c r="A12" s="7" t="s">
        <v>7</v>
      </c>
      <c r="B12" s="26" t="s">
        <v>8</v>
      </c>
      <c r="C12" s="27"/>
      <c r="D12" s="27"/>
      <c r="E12" s="28"/>
      <c r="F12" s="7" t="s">
        <v>9</v>
      </c>
      <c r="G12" s="7" t="s">
        <v>10</v>
      </c>
      <c r="H12" s="7" t="s">
        <v>11</v>
      </c>
      <c r="I12" s="7" t="s">
        <v>12</v>
      </c>
    </row>
    <row r="13" spans="1:9">
      <c r="A13" s="14"/>
      <c r="B13" s="8"/>
      <c r="C13" s="8"/>
      <c r="D13" s="8"/>
      <c r="E13" s="8"/>
      <c r="F13" s="8"/>
      <c r="G13" s="8"/>
      <c r="H13" s="8"/>
      <c r="I13" s="9"/>
    </row>
    <row r="14" spans="1:9">
      <c r="A14" s="15"/>
      <c r="B14" s="22" t="s">
        <v>13</v>
      </c>
      <c r="C14" s="23"/>
      <c r="D14" s="23"/>
      <c r="E14" s="24"/>
      <c r="F14" s="15"/>
      <c r="G14" s="10"/>
      <c r="H14" s="10"/>
      <c r="I14" s="10"/>
    </row>
    <row r="15" spans="1:9">
      <c r="A15" s="16"/>
      <c r="B15" s="19" t="s">
        <v>15</v>
      </c>
      <c r="C15" s="20"/>
      <c r="D15" s="20"/>
      <c r="E15" s="21"/>
      <c r="F15" s="16" t="s">
        <v>33</v>
      </c>
      <c r="G15" s="11">
        <f>2*19.42</f>
        <v>38.840000000000003</v>
      </c>
      <c r="H15" s="11">
        <f>317.03/3</f>
        <v>105.67666666666666</v>
      </c>
      <c r="I15" s="11">
        <f>H15*G15</f>
        <v>4104.481733333334</v>
      </c>
    </row>
    <row r="16" spans="1:9">
      <c r="A16" s="16"/>
      <c r="B16" s="19" t="s">
        <v>14</v>
      </c>
      <c r="C16" s="20"/>
      <c r="D16" s="20"/>
      <c r="E16" s="21"/>
      <c r="F16" s="16" t="s">
        <v>34</v>
      </c>
      <c r="G16" s="11">
        <v>8</v>
      </c>
      <c r="H16" s="11">
        <v>85.64</v>
      </c>
      <c r="I16" s="11">
        <f t="shared" ref="I16:I32" si="0">H16*G16</f>
        <v>685.12</v>
      </c>
    </row>
    <row r="17" spans="1:9">
      <c r="A17" s="16"/>
      <c r="B17" s="19" t="s">
        <v>16</v>
      </c>
      <c r="C17" s="20"/>
      <c r="D17" s="20"/>
      <c r="E17" s="21"/>
      <c r="F17" s="16" t="s">
        <v>34</v>
      </c>
      <c r="G17" s="11">
        <v>22</v>
      </c>
      <c r="H17" s="11">
        <v>121.81</v>
      </c>
      <c r="I17" s="11">
        <f t="shared" si="0"/>
        <v>2679.82</v>
      </c>
    </row>
    <row r="18" spans="1:9">
      <c r="A18" s="16"/>
      <c r="B18" s="19" t="s">
        <v>17</v>
      </c>
      <c r="C18" s="20"/>
      <c r="D18" s="20"/>
      <c r="E18" s="21"/>
      <c r="F18" s="16" t="s">
        <v>34</v>
      </c>
      <c r="G18" s="11">
        <f>2*686</f>
        <v>1372</v>
      </c>
      <c r="H18" s="11">
        <f>0.15*3.3</f>
        <v>0.49499999999999994</v>
      </c>
      <c r="I18" s="11">
        <f t="shared" si="0"/>
        <v>679.13999999999987</v>
      </c>
    </row>
    <row r="19" spans="1:9" ht="14.25" customHeight="1">
      <c r="A19" s="16"/>
      <c r="B19" s="19" t="s">
        <v>54</v>
      </c>
      <c r="C19" s="20"/>
      <c r="D19" s="20"/>
      <c r="E19" s="21"/>
      <c r="F19" s="16" t="s">
        <v>35</v>
      </c>
      <c r="G19" s="11">
        <f>29.52</f>
        <v>29.52</v>
      </c>
      <c r="H19" s="11">
        <f>93.36/50</f>
        <v>1.8672</v>
      </c>
      <c r="I19" s="11">
        <f t="shared" si="0"/>
        <v>55.119743999999997</v>
      </c>
    </row>
    <row r="20" spans="1:9" ht="14.25" customHeight="1">
      <c r="A20" s="16"/>
      <c r="B20" s="19" t="s">
        <v>57</v>
      </c>
      <c r="C20" s="20"/>
      <c r="D20" s="20"/>
      <c r="E20" s="21"/>
      <c r="F20" s="16" t="s">
        <v>33</v>
      </c>
      <c r="G20" s="11">
        <f>3.42*4</f>
        <v>13.68</v>
      </c>
      <c r="H20" s="11">
        <f>987.42/2.33</f>
        <v>423.78540772532187</v>
      </c>
      <c r="I20" s="11">
        <f t="shared" si="0"/>
        <v>5797.3843776824033</v>
      </c>
    </row>
    <row r="21" spans="1:9">
      <c r="A21" s="16"/>
      <c r="B21" s="19" t="s">
        <v>51</v>
      </c>
      <c r="C21" s="20"/>
      <c r="D21" s="20"/>
      <c r="E21" s="21"/>
      <c r="F21" s="16" t="s">
        <v>36</v>
      </c>
      <c r="G21" s="11">
        <v>1.9419999999999999</v>
      </c>
      <c r="H21" s="11">
        <f>607.82/25</f>
        <v>24.312800000000003</v>
      </c>
      <c r="I21" s="11">
        <f t="shared" si="0"/>
        <v>47.215457600000008</v>
      </c>
    </row>
    <row r="22" spans="1:9">
      <c r="A22" s="16"/>
      <c r="B22" s="19" t="s">
        <v>52</v>
      </c>
      <c r="C22" s="20"/>
      <c r="D22" s="20"/>
      <c r="E22" s="21"/>
      <c r="F22" s="16" t="s">
        <v>36</v>
      </c>
      <c r="G22" s="11">
        <v>3.8839999999999999</v>
      </c>
      <c r="H22" s="11">
        <f>765.34/10</f>
        <v>76.534000000000006</v>
      </c>
      <c r="I22" s="11">
        <f t="shared" si="0"/>
        <v>297.25805600000001</v>
      </c>
    </row>
    <row r="23" spans="1:9">
      <c r="A23" s="16"/>
      <c r="B23" s="19" t="s">
        <v>53</v>
      </c>
      <c r="C23" s="20"/>
      <c r="D23" s="20"/>
      <c r="E23" s="21"/>
      <c r="F23" s="16" t="s">
        <v>34</v>
      </c>
      <c r="G23" s="11">
        <v>1</v>
      </c>
      <c r="H23" s="11">
        <v>215</v>
      </c>
      <c r="I23" s="11">
        <f t="shared" si="0"/>
        <v>215</v>
      </c>
    </row>
    <row r="24" spans="1:9">
      <c r="A24" s="16"/>
      <c r="B24" s="19" t="s">
        <v>50</v>
      </c>
      <c r="C24" s="20"/>
      <c r="D24" s="20"/>
      <c r="E24" s="21"/>
      <c r="F24" s="16" t="s">
        <v>36</v>
      </c>
      <c r="G24" s="11">
        <v>14.95</v>
      </c>
      <c r="H24" s="11">
        <f>1773.73/28</f>
        <v>63.347500000000004</v>
      </c>
      <c r="I24" s="11">
        <f t="shared" si="0"/>
        <v>947.04512499999998</v>
      </c>
    </row>
    <row r="25" spans="1:9">
      <c r="A25" s="16"/>
      <c r="B25" s="19" t="s">
        <v>18</v>
      </c>
      <c r="C25" s="20"/>
      <c r="D25" s="20"/>
      <c r="E25" s="21"/>
      <c r="F25" s="16" t="s">
        <v>34</v>
      </c>
      <c r="G25" s="11">
        <v>33</v>
      </c>
      <c r="H25" s="11">
        <f>3.3*0.34</f>
        <v>1.1220000000000001</v>
      </c>
      <c r="I25" s="11">
        <f t="shared" si="0"/>
        <v>37.026000000000003</v>
      </c>
    </row>
    <row r="26" spans="1:9" ht="15.75" customHeight="1">
      <c r="A26" s="16"/>
      <c r="B26" s="19" t="s">
        <v>55</v>
      </c>
      <c r="C26" s="20"/>
      <c r="D26" s="20"/>
      <c r="E26" s="21"/>
      <c r="F26" s="16" t="s">
        <v>33</v>
      </c>
      <c r="G26" s="11">
        <v>19.420000000000002</v>
      </c>
      <c r="H26" s="11">
        <f>14.54/10</f>
        <v>1.454</v>
      </c>
      <c r="I26" s="11">
        <f t="shared" si="0"/>
        <v>28.236680000000003</v>
      </c>
    </row>
    <row r="27" spans="1:9" ht="23.25" customHeight="1">
      <c r="A27" s="16"/>
      <c r="B27" s="19" t="s">
        <v>19</v>
      </c>
      <c r="C27" s="20"/>
      <c r="D27" s="20"/>
      <c r="E27" s="21"/>
      <c r="F27" s="16" t="s">
        <v>33</v>
      </c>
      <c r="G27" s="11">
        <v>1.5</v>
      </c>
      <c r="H27" s="11">
        <v>119.17</v>
      </c>
      <c r="I27" s="11">
        <f t="shared" si="0"/>
        <v>178.755</v>
      </c>
    </row>
    <row r="28" spans="1:9">
      <c r="A28" s="16"/>
      <c r="B28" s="19" t="s">
        <v>20</v>
      </c>
      <c r="C28" s="20"/>
      <c r="D28" s="20"/>
      <c r="E28" s="21"/>
      <c r="F28" s="16" t="s">
        <v>58</v>
      </c>
      <c r="G28" s="11">
        <f>1.6*9</f>
        <v>14.4</v>
      </c>
      <c r="H28" s="11">
        <v>539</v>
      </c>
      <c r="I28" s="11">
        <f t="shared" si="0"/>
        <v>7761.6</v>
      </c>
    </row>
    <row r="29" spans="1:9">
      <c r="A29" s="16"/>
      <c r="B29" s="19" t="s">
        <v>21</v>
      </c>
      <c r="C29" s="20"/>
      <c r="D29" s="20"/>
      <c r="E29" s="21"/>
      <c r="F29" s="16" t="s">
        <v>36</v>
      </c>
      <c r="G29" s="11">
        <v>1</v>
      </c>
      <c r="H29" s="11">
        <v>27.9</v>
      </c>
      <c r="I29" s="11">
        <f t="shared" si="0"/>
        <v>27.9</v>
      </c>
    </row>
    <row r="30" spans="1:9" ht="24" customHeight="1">
      <c r="A30" s="16"/>
      <c r="B30" s="19" t="s">
        <v>56</v>
      </c>
      <c r="C30" s="20"/>
      <c r="D30" s="20"/>
      <c r="E30" s="21"/>
      <c r="F30" s="16" t="s">
        <v>33</v>
      </c>
      <c r="G30" s="11">
        <v>3.42</v>
      </c>
      <c r="H30" s="11">
        <v>252</v>
      </c>
      <c r="I30" s="11">
        <f t="shared" si="0"/>
        <v>861.84</v>
      </c>
    </row>
    <row r="31" spans="1:9">
      <c r="A31" s="16"/>
      <c r="B31" s="19" t="s">
        <v>22</v>
      </c>
      <c r="C31" s="20"/>
      <c r="D31" s="20"/>
      <c r="E31" s="21"/>
      <c r="F31" s="16" t="s">
        <v>35</v>
      </c>
      <c r="G31" s="11">
        <v>11</v>
      </c>
      <c r="H31" s="11">
        <v>4.3</v>
      </c>
      <c r="I31" s="11">
        <f t="shared" si="0"/>
        <v>47.3</v>
      </c>
    </row>
    <row r="32" spans="1:9">
      <c r="A32" s="16"/>
      <c r="B32" s="19" t="s">
        <v>23</v>
      </c>
      <c r="C32" s="20"/>
      <c r="D32" s="20"/>
      <c r="E32" s="21"/>
      <c r="F32" s="16" t="s">
        <v>36</v>
      </c>
      <c r="G32" s="11">
        <v>0.5</v>
      </c>
      <c r="H32" s="11">
        <v>98.34</v>
      </c>
      <c r="I32" s="11">
        <f t="shared" si="0"/>
        <v>49.17</v>
      </c>
    </row>
    <row r="33" spans="1:15">
      <c r="A33" s="16">
        <v>1</v>
      </c>
      <c r="B33" s="19" t="s">
        <v>39</v>
      </c>
      <c r="C33" s="20"/>
      <c r="D33" s="20"/>
      <c r="E33" s="21"/>
      <c r="F33" s="16"/>
      <c r="G33" s="11"/>
      <c r="H33" s="11"/>
      <c r="I33" s="11">
        <f>SUM(I14:I32)</f>
        <v>24499.412173615736</v>
      </c>
    </row>
    <row r="34" spans="1:15">
      <c r="A34" s="16"/>
      <c r="B34" s="19"/>
      <c r="C34" s="20"/>
      <c r="D34" s="20"/>
      <c r="E34" s="21"/>
      <c r="F34" s="16"/>
      <c r="G34" s="11"/>
      <c r="H34" s="11"/>
      <c r="I34" s="11"/>
    </row>
    <row r="35" spans="1:15">
      <c r="A35" s="16"/>
      <c r="B35" s="19"/>
      <c r="C35" s="20"/>
      <c r="D35" s="20"/>
      <c r="E35" s="21"/>
      <c r="F35" s="16"/>
      <c r="G35" s="11"/>
      <c r="H35" s="11"/>
      <c r="I35" s="11"/>
    </row>
    <row r="36" spans="1:15">
      <c r="A36" s="16"/>
      <c r="B36" s="22"/>
      <c r="C36" s="23"/>
      <c r="D36" s="23"/>
      <c r="E36" s="24"/>
      <c r="F36" s="16"/>
      <c r="G36" s="11"/>
      <c r="H36" s="11"/>
      <c r="I36" s="11"/>
    </row>
    <row r="37" spans="1:15">
      <c r="A37" s="16"/>
      <c r="B37" s="22" t="s">
        <v>24</v>
      </c>
      <c r="C37" s="23"/>
      <c r="D37" s="23"/>
      <c r="E37" s="24"/>
      <c r="F37" s="16"/>
      <c r="G37" s="11"/>
      <c r="H37" s="11"/>
      <c r="I37" s="11"/>
    </row>
    <row r="38" spans="1:15" ht="21.75" customHeight="1">
      <c r="A38" s="16"/>
      <c r="B38" s="19" t="s">
        <v>59</v>
      </c>
      <c r="C38" s="20"/>
      <c r="D38" s="20"/>
      <c r="E38" s="21"/>
      <c r="F38" s="16" t="s">
        <v>37</v>
      </c>
      <c r="G38" s="11">
        <v>3.5</v>
      </c>
      <c r="H38" s="11">
        <v>180.46</v>
      </c>
      <c r="I38" s="11">
        <f>H38*G38</f>
        <v>631.61</v>
      </c>
      <c r="J38">
        <v>89.704999999999998</v>
      </c>
      <c r="K38">
        <f>8*10*2</f>
        <v>160</v>
      </c>
      <c r="M38">
        <v>179.41</v>
      </c>
    </row>
    <row r="39" spans="1:15" ht="15" customHeight="1">
      <c r="A39" s="16"/>
      <c r="B39" s="19" t="s">
        <v>63</v>
      </c>
      <c r="C39" s="20"/>
      <c r="D39" s="20"/>
      <c r="E39" s="21"/>
      <c r="F39" s="16" t="s">
        <v>37</v>
      </c>
      <c r="G39" s="11">
        <v>17</v>
      </c>
      <c r="H39" s="11">
        <v>180.46</v>
      </c>
      <c r="I39" s="11">
        <f t="shared" ref="I39:I48" si="1">H39*G39</f>
        <v>3067.82</v>
      </c>
    </row>
    <row r="40" spans="1:15" ht="22.5" customHeight="1">
      <c r="A40" s="16"/>
      <c r="B40" s="19" t="s">
        <v>60</v>
      </c>
      <c r="C40" s="20"/>
      <c r="D40" s="20"/>
      <c r="E40" s="21"/>
      <c r="F40" s="16" t="s">
        <v>37</v>
      </c>
      <c r="G40" s="11">
        <v>25</v>
      </c>
      <c r="H40" s="11">
        <v>180.46</v>
      </c>
      <c r="I40" s="11">
        <f t="shared" si="1"/>
        <v>4511.5</v>
      </c>
    </row>
    <row r="41" spans="1:15" ht="37.5" customHeight="1">
      <c r="A41" s="16"/>
      <c r="B41" s="19" t="s">
        <v>64</v>
      </c>
      <c r="C41" s="20"/>
      <c r="D41" s="20"/>
      <c r="E41" s="21"/>
      <c r="F41" s="16"/>
      <c r="G41" s="11">
        <v>25</v>
      </c>
      <c r="H41" s="11">
        <v>180.46</v>
      </c>
      <c r="I41" s="11"/>
      <c r="L41" s="18">
        <f>SUM(G38:G62)</f>
        <v>231.89999999999998</v>
      </c>
      <c r="M41" s="18">
        <f>M38-L41</f>
        <v>-52.489999999999981</v>
      </c>
      <c r="N41">
        <v>5.12</v>
      </c>
    </row>
    <row r="42" spans="1:15">
      <c r="A42" s="16"/>
      <c r="B42" s="19" t="s">
        <v>61</v>
      </c>
      <c r="C42" s="20"/>
      <c r="D42" s="20"/>
      <c r="E42" s="21"/>
      <c r="F42" s="16" t="s">
        <v>37</v>
      </c>
      <c r="G42" s="11">
        <v>3.5</v>
      </c>
      <c r="H42" s="11">
        <v>180.46</v>
      </c>
      <c r="I42" s="11">
        <f t="shared" si="1"/>
        <v>631.61</v>
      </c>
      <c r="N42">
        <v>3.76</v>
      </c>
    </row>
    <row r="43" spans="1:15" ht="34.5" customHeight="1">
      <c r="A43" s="16"/>
      <c r="B43" s="19" t="s">
        <v>65</v>
      </c>
      <c r="C43" s="20"/>
      <c r="D43" s="20"/>
      <c r="E43" s="21"/>
      <c r="F43" s="16" t="s">
        <v>37</v>
      </c>
      <c r="G43" s="11">
        <v>2.5</v>
      </c>
      <c r="H43" s="11">
        <v>180.46</v>
      </c>
      <c r="I43" s="11">
        <f t="shared" si="1"/>
        <v>451.15000000000003</v>
      </c>
      <c r="N43">
        <v>57.13</v>
      </c>
    </row>
    <row r="44" spans="1:15" ht="23.25" customHeight="1">
      <c r="A44" s="16"/>
      <c r="B44" s="19" t="s">
        <v>62</v>
      </c>
      <c r="C44" s="20"/>
      <c r="D44" s="20"/>
      <c r="E44" s="21"/>
      <c r="F44" s="16" t="s">
        <v>37</v>
      </c>
      <c r="G44" s="11">
        <v>27.8</v>
      </c>
      <c r="H44" s="11">
        <v>180.46</v>
      </c>
      <c r="I44" s="11">
        <f t="shared" si="1"/>
        <v>5016.7880000000005</v>
      </c>
      <c r="N44">
        <v>5.12</v>
      </c>
    </row>
    <row r="45" spans="1:15" ht="15" customHeight="1">
      <c r="A45" s="16"/>
      <c r="B45" s="19" t="s">
        <v>66</v>
      </c>
      <c r="C45" s="20"/>
      <c r="D45" s="20"/>
      <c r="E45" s="21"/>
      <c r="F45" s="16" t="s">
        <v>37</v>
      </c>
      <c r="G45" s="11">
        <v>2.5</v>
      </c>
      <c r="H45" s="11">
        <v>180.46</v>
      </c>
      <c r="I45" s="11">
        <f t="shared" si="1"/>
        <v>451.15000000000003</v>
      </c>
      <c r="N45">
        <v>21.46</v>
      </c>
    </row>
    <row r="46" spans="1:15" ht="23.25" customHeight="1">
      <c r="A46" s="16"/>
      <c r="B46" s="19" t="s">
        <v>67</v>
      </c>
      <c r="C46" s="20"/>
      <c r="D46" s="20"/>
      <c r="E46" s="21"/>
      <c r="F46" s="16" t="s">
        <v>37</v>
      </c>
      <c r="G46" s="11">
        <v>1.5</v>
      </c>
      <c r="H46" s="11">
        <v>180.46</v>
      </c>
      <c r="I46" s="11">
        <f t="shared" si="1"/>
        <v>270.69</v>
      </c>
      <c r="N46">
        <f>SUM(N42:N45)</f>
        <v>87.47</v>
      </c>
      <c r="O46" s="18">
        <f>SUM(G38:G62)</f>
        <v>231.89999999999998</v>
      </c>
    </row>
    <row r="47" spans="1:15" ht="15" customHeight="1">
      <c r="A47" s="16"/>
      <c r="B47" s="19" t="s">
        <v>68</v>
      </c>
      <c r="C47" s="20"/>
      <c r="D47" s="20"/>
      <c r="E47" s="21"/>
      <c r="F47" s="16" t="s">
        <v>37</v>
      </c>
      <c r="G47" s="11">
        <v>0.6</v>
      </c>
      <c r="H47" s="11">
        <v>180.46</v>
      </c>
      <c r="I47" s="11">
        <f t="shared" si="1"/>
        <v>108.276</v>
      </c>
    </row>
    <row r="48" spans="1:15" ht="24" customHeight="1">
      <c r="A48" s="16"/>
      <c r="B48" s="19" t="s">
        <v>69</v>
      </c>
      <c r="C48" s="20"/>
      <c r="D48" s="20"/>
      <c r="E48" s="21"/>
      <c r="F48" s="16" t="s">
        <v>37</v>
      </c>
      <c r="G48" s="11">
        <v>25</v>
      </c>
      <c r="H48" s="11">
        <v>180.46</v>
      </c>
      <c r="I48" s="11">
        <f t="shared" si="1"/>
        <v>4511.5</v>
      </c>
    </row>
    <row r="49" spans="1:10" ht="15.75" customHeight="1">
      <c r="A49" s="16"/>
      <c r="B49" s="19" t="s">
        <v>25</v>
      </c>
      <c r="C49" s="20"/>
      <c r="D49" s="20"/>
      <c r="E49" s="21"/>
      <c r="F49" s="16" t="s">
        <v>37</v>
      </c>
      <c r="G49" s="11">
        <v>4.5</v>
      </c>
      <c r="H49" s="11">
        <v>180.46</v>
      </c>
      <c r="I49" s="11">
        <f t="shared" ref="I49:I62" si="2">H49*G49</f>
        <v>812.07</v>
      </c>
    </row>
    <row r="50" spans="1:10" ht="36.75" customHeight="1">
      <c r="A50" s="16"/>
      <c r="B50" s="19" t="s">
        <v>79</v>
      </c>
      <c r="C50" s="20"/>
      <c r="D50" s="20"/>
      <c r="E50" s="21"/>
      <c r="F50" s="16" t="s">
        <v>37</v>
      </c>
      <c r="G50" s="11">
        <v>8.5</v>
      </c>
      <c r="H50" s="11">
        <v>180.46</v>
      </c>
      <c r="I50" s="11">
        <f t="shared" ref="I50:I52" si="3">H50*G50</f>
        <v>1533.91</v>
      </c>
    </row>
    <row r="51" spans="1:10" ht="24.75" customHeight="1">
      <c r="A51" s="16"/>
      <c r="B51" s="19" t="s">
        <v>80</v>
      </c>
      <c r="C51" s="20"/>
      <c r="D51" s="20"/>
      <c r="E51" s="21"/>
      <c r="F51" s="16" t="s">
        <v>37</v>
      </c>
      <c r="G51" s="11">
        <v>8.5</v>
      </c>
      <c r="H51" s="11">
        <v>180.46</v>
      </c>
      <c r="I51" s="11">
        <f t="shared" si="3"/>
        <v>1533.91</v>
      </c>
    </row>
    <row r="52" spans="1:10" ht="35.25" customHeight="1">
      <c r="A52" s="16"/>
      <c r="B52" s="19" t="s">
        <v>78</v>
      </c>
      <c r="C52" s="20"/>
      <c r="D52" s="20"/>
      <c r="E52" s="21"/>
      <c r="F52" s="16" t="s">
        <v>37</v>
      </c>
      <c r="G52" s="11">
        <v>12.5</v>
      </c>
      <c r="H52" s="11">
        <v>180.46</v>
      </c>
      <c r="I52" s="11">
        <f t="shared" si="3"/>
        <v>2255.75</v>
      </c>
    </row>
    <row r="53" spans="1:10" ht="24.75" customHeight="1">
      <c r="A53" s="16"/>
      <c r="B53" s="19" t="s">
        <v>70</v>
      </c>
      <c r="C53" s="20"/>
      <c r="D53" s="20"/>
      <c r="E53" s="21"/>
      <c r="F53" s="16" t="s">
        <v>37</v>
      </c>
      <c r="G53" s="11">
        <v>2.5</v>
      </c>
      <c r="H53" s="11">
        <v>180.46</v>
      </c>
      <c r="I53" s="11">
        <f t="shared" ref="I53" si="4">H53*G53</f>
        <v>451.15000000000003</v>
      </c>
    </row>
    <row r="54" spans="1:10">
      <c r="A54" s="16"/>
      <c r="B54" s="19" t="s">
        <v>71</v>
      </c>
      <c r="C54" s="20"/>
      <c r="D54" s="20"/>
      <c r="E54" s="21"/>
      <c r="F54" s="16" t="s">
        <v>37</v>
      </c>
      <c r="G54" s="11">
        <v>2.5</v>
      </c>
      <c r="H54" s="11">
        <v>180.46</v>
      </c>
      <c r="I54" s="11">
        <f t="shared" si="2"/>
        <v>451.15000000000003</v>
      </c>
    </row>
    <row r="55" spans="1:10">
      <c r="A55" s="16"/>
      <c r="B55" s="19" t="s">
        <v>72</v>
      </c>
      <c r="C55" s="20"/>
      <c r="D55" s="20"/>
      <c r="E55" s="21"/>
      <c r="F55" s="16" t="s">
        <v>37</v>
      </c>
      <c r="G55" s="11">
        <v>2</v>
      </c>
      <c r="H55" s="11">
        <v>180.46</v>
      </c>
      <c r="I55" s="11">
        <f t="shared" si="2"/>
        <v>360.92</v>
      </c>
    </row>
    <row r="56" spans="1:10">
      <c r="A56" s="16"/>
      <c r="B56" s="19" t="s">
        <v>73</v>
      </c>
      <c r="C56" s="20"/>
      <c r="D56" s="20"/>
      <c r="E56" s="21"/>
      <c r="F56" s="16" t="s">
        <v>37</v>
      </c>
      <c r="G56" s="11">
        <v>5</v>
      </c>
      <c r="H56" s="11">
        <v>180.46</v>
      </c>
      <c r="I56" s="11">
        <f t="shared" si="2"/>
        <v>902.30000000000007</v>
      </c>
    </row>
    <row r="57" spans="1:10" ht="21.75" customHeight="1">
      <c r="A57" s="16"/>
      <c r="B57" s="19" t="s">
        <v>74</v>
      </c>
      <c r="C57" s="20"/>
      <c r="D57" s="20"/>
      <c r="E57" s="21"/>
      <c r="F57" s="16" t="s">
        <v>37</v>
      </c>
      <c r="G57" s="11">
        <v>8.5</v>
      </c>
      <c r="H57" s="11">
        <v>180.46</v>
      </c>
      <c r="I57" s="11">
        <f t="shared" si="2"/>
        <v>1533.91</v>
      </c>
    </row>
    <row r="58" spans="1:10">
      <c r="A58" s="16"/>
      <c r="B58" s="19" t="s">
        <v>75</v>
      </c>
      <c r="C58" s="20"/>
      <c r="D58" s="20"/>
      <c r="E58" s="21"/>
      <c r="F58" s="16" t="s">
        <v>37</v>
      </c>
      <c r="G58" s="11">
        <v>3.5</v>
      </c>
      <c r="H58" s="11">
        <v>180.46</v>
      </c>
      <c r="I58" s="11">
        <f t="shared" si="2"/>
        <v>631.61</v>
      </c>
    </row>
    <row r="59" spans="1:10" ht="23.25" customHeight="1">
      <c r="A59" s="16"/>
      <c r="B59" s="19" t="s">
        <v>76</v>
      </c>
      <c r="C59" s="20"/>
      <c r="D59" s="20"/>
      <c r="E59" s="21"/>
      <c r="F59" s="16" t="s">
        <v>37</v>
      </c>
      <c r="G59" s="11">
        <v>1.5</v>
      </c>
      <c r="H59" s="11">
        <v>180.46</v>
      </c>
      <c r="I59" s="11">
        <f t="shared" si="2"/>
        <v>270.69</v>
      </c>
    </row>
    <row r="60" spans="1:10">
      <c r="A60" s="16"/>
      <c r="B60" s="19" t="s">
        <v>77</v>
      </c>
      <c r="C60" s="20"/>
      <c r="D60" s="20"/>
      <c r="E60" s="21"/>
      <c r="F60" s="16" t="s">
        <v>37</v>
      </c>
      <c r="G60" s="11">
        <v>2.5</v>
      </c>
      <c r="H60" s="11">
        <v>180.46</v>
      </c>
      <c r="I60" s="11">
        <f t="shared" si="2"/>
        <v>451.15000000000003</v>
      </c>
    </row>
    <row r="61" spans="1:10" ht="24.75" customHeight="1">
      <c r="A61" s="16"/>
      <c r="B61" s="19" t="s">
        <v>26</v>
      </c>
      <c r="C61" s="20"/>
      <c r="D61" s="20"/>
      <c r="E61" s="21"/>
      <c r="F61" s="16" t="s">
        <v>37</v>
      </c>
      <c r="G61" s="11">
        <v>8.5</v>
      </c>
      <c r="H61" s="11">
        <v>180.46</v>
      </c>
      <c r="I61" s="11">
        <f t="shared" si="2"/>
        <v>1533.91</v>
      </c>
    </row>
    <row r="62" spans="1:10" ht="23.25" customHeight="1">
      <c r="A62" s="17"/>
      <c r="B62" s="19" t="s">
        <v>81</v>
      </c>
      <c r="C62" s="20"/>
      <c r="D62" s="20"/>
      <c r="E62" s="21"/>
      <c r="F62" s="17" t="s">
        <v>37</v>
      </c>
      <c r="G62" s="12">
        <v>27.5</v>
      </c>
      <c r="H62" s="11">
        <v>180.46</v>
      </c>
      <c r="I62" s="11">
        <f t="shared" si="2"/>
        <v>4962.6500000000005</v>
      </c>
    </row>
    <row r="63" spans="1:10" ht="12.75" customHeight="1">
      <c r="A63" s="17">
        <v>2</v>
      </c>
      <c r="B63" s="19" t="s">
        <v>40</v>
      </c>
      <c r="C63" s="20"/>
      <c r="D63" s="20"/>
      <c r="E63" s="21"/>
      <c r="F63" s="17"/>
      <c r="G63" s="12"/>
      <c r="H63" s="12"/>
      <c r="I63" s="12">
        <f>SUM(I38:I62)</f>
        <v>37337.173999999999</v>
      </c>
      <c r="J63">
        <v>16709</v>
      </c>
    </row>
    <row r="64" spans="1:10" ht="13.5" customHeight="1">
      <c r="A64" s="17"/>
      <c r="B64" s="19"/>
      <c r="C64" s="20"/>
      <c r="D64" s="20"/>
      <c r="E64" s="21"/>
      <c r="F64" s="17"/>
      <c r="G64" s="12"/>
      <c r="H64" s="12"/>
      <c r="I64" s="12"/>
    </row>
    <row r="65" spans="1:11" ht="13.5" customHeight="1">
      <c r="A65" s="17"/>
      <c r="B65" s="19"/>
      <c r="C65" s="20"/>
      <c r="D65" s="20"/>
      <c r="E65" s="21"/>
      <c r="F65" s="17"/>
      <c r="G65" s="12"/>
      <c r="H65" s="12"/>
      <c r="I65" s="12"/>
    </row>
    <row r="66" spans="1:11">
      <c r="A66" s="17"/>
      <c r="B66" s="22" t="s">
        <v>27</v>
      </c>
      <c r="C66" s="23"/>
      <c r="D66" s="23"/>
      <c r="E66" s="24"/>
      <c r="F66" s="17"/>
      <c r="G66" s="12"/>
      <c r="H66" s="12"/>
      <c r="I66" s="12"/>
    </row>
    <row r="67" spans="1:11">
      <c r="A67" s="17"/>
      <c r="B67" s="19" t="s">
        <v>28</v>
      </c>
      <c r="C67" s="20"/>
      <c r="D67" s="20"/>
      <c r="E67" s="21"/>
      <c r="F67" s="17" t="s">
        <v>38</v>
      </c>
      <c r="G67" s="12">
        <v>48</v>
      </c>
      <c r="H67" s="12">
        <v>11.13</v>
      </c>
      <c r="I67" s="12">
        <f>H67*G67</f>
        <v>534.24</v>
      </c>
    </row>
    <row r="68" spans="1:11">
      <c r="A68" s="17"/>
      <c r="B68" s="19" t="s">
        <v>29</v>
      </c>
      <c r="C68" s="20"/>
      <c r="D68" s="20"/>
      <c r="E68" s="21"/>
      <c r="F68" s="17" t="s">
        <v>38</v>
      </c>
      <c r="G68" s="12">
        <v>16</v>
      </c>
      <c r="H68" s="12">
        <v>12.72</v>
      </c>
      <c r="I68" s="12">
        <f t="shared" ref="I68:I71" si="5">H68*G68</f>
        <v>203.52</v>
      </c>
    </row>
    <row r="69" spans="1:11">
      <c r="A69" s="17"/>
      <c r="B69" s="19" t="s">
        <v>30</v>
      </c>
      <c r="C69" s="20"/>
      <c r="D69" s="20"/>
      <c r="E69" s="21"/>
      <c r="F69" s="17" t="s">
        <v>38</v>
      </c>
      <c r="G69" s="12">
        <v>2.5</v>
      </c>
      <c r="H69" s="12">
        <v>9.4499999999999993</v>
      </c>
      <c r="I69" s="12">
        <f t="shared" si="5"/>
        <v>23.625</v>
      </c>
    </row>
    <row r="70" spans="1:11">
      <c r="A70" s="17"/>
      <c r="B70" s="19" t="s">
        <v>31</v>
      </c>
      <c r="C70" s="20"/>
      <c r="D70" s="20"/>
      <c r="E70" s="21"/>
      <c r="F70" s="17" t="s">
        <v>38</v>
      </c>
      <c r="G70" s="12">
        <v>8.5</v>
      </c>
      <c r="H70" s="12">
        <v>5.67</v>
      </c>
      <c r="I70" s="12">
        <f t="shared" si="5"/>
        <v>48.195</v>
      </c>
    </row>
    <row r="71" spans="1:11">
      <c r="A71" s="17"/>
      <c r="B71" s="19" t="s">
        <v>32</v>
      </c>
      <c r="C71" s="20"/>
      <c r="D71" s="20"/>
      <c r="E71" s="21"/>
      <c r="F71" s="17" t="s">
        <v>38</v>
      </c>
      <c r="G71" s="12">
        <v>2.5</v>
      </c>
      <c r="H71" s="12">
        <v>604.85</v>
      </c>
      <c r="I71" s="12">
        <f t="shared" si="5"/>
        <v>1512.125</v>
      </c>
    </row>
    <row r="72" spans="1:11">
      <c r="A72" s="17">
        <v>5</v>
      </c>
      <c r="B72" s="19" t="s">
        <v>44</v>
      </c>
      <c r="C72" s="20"/>
      <c r="D72" s="20"/>
      <c r="E72" s="21"/>
      <c r="F72" s="17"/>
      <c r="G72" s="12"/>
      <c r="H72" s="12"/>
      <c r="I72" s="12">
        <f>SUM(I67:I71)</f>
        <v>2321.7049999999999</v>
      </c>
      <c r="J72">
        <v>55.33</v>
      </c>
    </row>
    <row r="73" spans="1:11">
      <c r="A73" s="17"/>
      <c r="B73" s="19"/>
      <c r="C73" s="20"/>
      <c r="D73" s="20"/>
      <c r="E73" s="21"/>
      <c r="F73" s="17"/>
      <c r="G73" s="12"/>
      <c r="H73" s="12"/>
      <c r="I73" s="12"/>
    </row>
    <row r="74" spans="1:11">
      <c r="A74" s="17"/>
      <c r="B74" s="19"/>
      <c r="C74" s="20"/>
      <c r="D74" s="20"/>
      <c r="E74" s="21"/>
      <c r="F74" s="17"/>
      <c r="G74" s="12"/>
      <c r="H74" s="12"/>
      <c r="I74" s="12"/>
    </row>
    <row r="75" spans="1:11" ht="46.5" customHeight="1">
      <c r="A75" s="17"/>
      <c r="B75" s="19" t="s">
        <v>82</v>
      </c>
      <c r="C75" s="20"/>
      <c r="D75" s="20"/>
      <c r="E75" s="21"/>
      <c r="F75" s="17"/>
      <c r="G75" s="12"/>
      <c r="H75" s="12"/>
      <c r="I75" s="12">
        <f>SUM(J75:K75)</f>
        <v>45839.881349999996</v>
      </c>
      <c r="J75">
        <f>I63*1.15</f>
        <v>42937.750099999997</v>
      </c>
      <c r="K75">
        <f>I72*1.25</f>
        <v>2902.1312499999999</v>
      </c>
    </row>
    <row r="76" spans="1:11">
      <c r="A76" s="17"/>
      <c r="B76" s="19"/>
      <c r="C76" s="20"/>
      <c r="D76" s="20"/>
      <c r="E76" s="21"/>
      <c r="F76" s="17"/>
      <c r="G76" s="12"/>
      <c r="H76" s="12"/>
      <c r="I76" s="12"/>
      <c r="J76">
        <f>J63*1.15</f>
        <v>19215.349999999999</v>
      </c>
      <c r="K76">
        <f>J72*1.25</f>
        <v>69.162499999999994</v>
      </c>
    </row>
    <row r="77" spans="1:11">
      <c r="A77" s="17"/>
      <c r="B77" s="19"/>
      <c r="C77" s="20"/>
      <c r="D77" s="20"/>
      <c r="E77" s="21"/>
      <c r="F77" s="17"/>
      <c r="G77" s="12"/>
      <c r="H77" s="12"/>
      <c r="I77" s="12"/>
      <c r="J77">
        <f>SUM(J76:K76)</f>
        <v>19284.512499999997</v>
      </c>
    </row>
    <row r="78" spans="1:11">
      <c r="A78" s="17">
        <v>3</v>
      </c>
      <c r="B78" s="19" t="s">
        <v>41</v>
      </c>
      <c r="C78" s="20"/>
      <c r="D78" s="20"/>
      <c r="E78" s="21"/>
      <c r="F78" s="17" t="s">
        <v>43</v>
      </c>
      <c r="G78" s="13" t="s">
        <v>87</v>
      </c>
      <c r="H78" s="12"/>
      <c r="I78" s="12">
        <f>J75*0.94*1.18</f>
        <v>47626.552410919991</v>
      </c>
      <c r="J78">
        <f>J76*1.18*0.94</f>
        <v>21313.666219999996</v>
      </c>
    </row>
    <row r="79" spans="1:11">
      <c r="A79" s="17">
        <v>4</v>
      </c>
      <c r="B79" s="19" t="s">
        <v>42</v>
      </c>
      <c r="C79" s="20"/>
      <c r="D79" s="20"/>
      <c r="E79" s="21"/>
      <c r="F79" s="17" t="s">
        <v>43</v>
      </c>
      <c r="G79" s="12">
        <v>65</v>
      </c>
      <c r="H79" s="12"/>
      <c r="I79" s="12">
        <f>J75*0.65</f>
        <v>27909.537564999999</v>
      </c>
      <c r="J79">
        <f>J76*0.65</f>
        <v>12489.977499999999</v>
      </c>
    </row>
    <row r="80" spans="1:11">
      <c r="A80" s="17"/>
      <c r="B80" s="19"/>
      <c r="C80" s="20"/>
      <c r="D80" s="20"/>
      <c r="E80" s="21"/>
      <c r="F80" s="17"/>
      <c r="G80" s="12"/>
      <c r="H80" s="12"/>
      <c r="I80" s="12"/>
    </row>
    <row r="81" spans="1:11">
      <c r="A81" s="17"/>
      <c r="B81" s="19" t="s">
        <v>45</v>
      </c>
      <c r="C81" s="20"/>
      <c r="D81" s="20"/>
      <c r="E81" s="21"/>
      <c r="F81" s="17"/>
      <c r="G81" s="12"/>
      <c r="H81" s="12"/>
      <c r="I81" s="12">
        <f>SUM(I75:I79)</f>
        <v>121375.97132591999</v>
      </c>
      <c r="K81">
        <f>SUM(J77:J79)</f>
        <v>53088.156219999997</v>
      </c>
    </row>
    <row r="82" spans="1:11">
      <c r="A82" s="17"/>
      <c r="B82" s="19" t="s">
        <v>83</v>
      </c>
      <c r="C82" s="20"/>
      <c r="D82" s="20"/>
      <c r="E82" s="21"/>
      <c r="F82" s="17" t="s">
        <v>43</v>
      </c>
      <c r="G82" s="12">
        <v>1</v>
      </c>
      <c r="H82" s="12"/>
      <c r="I82" s="12">
        <f>I81*0.01</f>
        <v>1213.7597132592</v>
      </c>
      <c r="K82">
        <f>0.01*K81</f>
        <v>530.88156219999996</v>
      </c>
    </row>
    <row r="83" spans="1:11">
      <c r="A83" s="17"/>
      <c r="B83" s="19" t="s">
        <v>45</v>
      </c>
      <c r="C83" s="20"/>
      <c r="D83" s="20"/>
      <c r="E83" s="21"/>
      <c r="F83" s="17"/>
      <c r="G83" s="12"/>
      <c r="H83" s="12"/>
      <c r="I83" s="12">
        <f>SUM(I81:I82)</f>
        <v>122589.7310391792</v>
      </c>
      <c r="K83">
        <f>SUM(K81:K82)</f>
        <v>53619.037782199994</v>
      </c>
    </row>
    <row r="84" spans="1:11">
      <c r="A84" s="17"/>
      <c r="B84" s="19" t="s">
        <v>84</v>
      </c>
      <c r="C84" s="20"/>
      <c r="D84" s="20"/>
      <c r="E84" s="21"/>
      <c r="F84" s="17" t="s">
        <v>86</v>
      </c>
      <c r="G84" s="12">
        <v>0.69</v>
      </c>
      <c r="H84" s="12"/>
      <c r="I84" s="12">
        <f>I83*0.69</f>
        <v>84586.914417033637</v>
      </c>
      <c r="K84">
        <f>0.69*K83</f>
        <v>36997.136069717992</v>
      </c>
    </row>
    <row r="85" spans="1:11">
      <c r="A85" s="17"/>
      <c r="B85" s="19" t="s">
        <v>39</v>
      </c>
      <c r="C85" s="20"/>
      <c r="D85" s="20"/>
      <c r="E85" s="21"/>
      <c r="F85" s="17"/>
      <c r="G85" s="12"/>
      <c r="H85" s="12"/>
      <c r="I85" s="12">
        <f>I33</f>
        <v>24499.412173615736</v>
      </c>
      <c r="J85" s="18">
        <f>I85+I83</f>
        <v>147089.14321279494</v>
      </c>
    </row>
    <row r="86" spans="1:11">
      <c r="A86" s="17"/>
      <c r="B86" s="19" t="s">
        <v>85</v>
      </c>
      <c r="C86" s="20"/>
      <c r="D86" s="20"/>
      <c r="E86" s="21"/>
      <c r="F86" s="17"/>
      <c r="G86" s="12"/>
      <c r="H86" s="12"/>
      <c r="I86" s="12">
        <f>SUM(I84:I85)</f>
        <v>109086.32659064938</v>
      </c>
      <c r="J86">
        <f>0.18*J85</f>
        <v>26476.045778303087</v>
      </c>
      <c r="K86" s="18">
        <f>K84+I85</f>
        <v>61496.548243333731</v>
      </c>
    </row>
    <row r="87" spans="1:11">
      <c r="A87" s="17"/>
      <c r="B87" s="19" t="s">
        <v>46</v>
      </c>
      <c r="C87" s="20"/>
      <c r="D87" s="20"/>
      <c r="E87" s="21"/>
      <c r="F87" s="17" t="s">
        <v>43</v>
      </c>
      <c r="G87" s="12">
        <v>18</v>
      </c>
      <c r="H87" s="12"/>
      <c r="I87" s="12">
        <f>0.18*I86</f>
        <v>19635.538786316887</v>
      </c>
      <c r="J87" s="18">
        <f>SUM(J85:J86)</f>
        <v>173565.18899109802</v>
      </c>
      <c r="K87">
        <f>0.18*K86</f>
        <v>11069.378683800071</v>
      </c>
    </row>
    <row r="88" spans="1:11">
      <c r="A88" s="17"/>
      <c r="B88" s="19" t="s">
        <v>47</v>
      </c>
      <c r="C88" s="20"/>
      <c r="D88" s="20"/>
      <c r="E88" s="21"/>
      <c r="F88" s="17"/>
      <c r="G88" s="12"/>
      <c r="H88" s="12"/>
      <c r="I88" s="12">
        <f>SUM(I86:I87)</f>
        <v>128721.86537696626</v>
      </c>
      <c r="K88" s="18">
        <f>SUM(K86:K87)</f>
        <v>72565.926927133798</v>
      </c>
    </row>
    <row r="90" spans="1:11">
      <c r="A90" s="2" t="s">
        <v>48</v>
      </c>
      <c r="B90" s="1"/>
      <c r="C90" s="1"/>
      <c r="D90" s="1"/>
    </row>
    <row r="91" spans="1:11">
      <c r="A91" s="2" t="s">
        <v>49</v>
      </c>
      <c r="B91" s="5"/>
      <c r="C91" s="5"/>
      <c r="D91" s="5"/>
    </row>
  </sheetData>
  <mergeCells count="77">
    <mergeCell ref="B84:E84"/>
    <mergeCell ref="B77:E77"/>
    <mergeCell ref="B78:E78"/>
    <mergeCell ref="B79:E79"/>
    <mergeCell ref="B73:E73"/>
    <mergeCell ref="B74:E74"/>
    <mergeCell ref="B75:E75"/>
    <mergeCell ref="B76:E76"/>
    <mergeCell ref="B82:E82"/>
    <mergeCell ref="B55:E55"/>
    <mergeCell ref="B56:E56"/>
    <mergeCell ref="B57:E57"/>
    <mergeCell ref="B54:E54"/>
    <mergeCell ref="B86:E86"/>
    <mergeCell ref="B85:E85"/>
    <mergeCell ref="B58:E58"/>
    <mergeCell ref="B59:E59"/>
    <mergeCell ref="B60:E60"/>
    <mergeCell ref="B65:E65"/>
    <mergeCell ref="B66:E66"/>
    <mergeCell ref="B67:E67"/>
    <mergeCell ref="B68:E68"/>
    <mergeCell ref="B80:E80"/>
    <mergeCell ref="B81:E81"/>
    <mergeCell ref="B83:E83"/>
    <mergeCell ref="B24:E24"/>
    <mergeCell ref="D4:F4"/>
    <mergeCell ref="B12:E12"/>
    <mergeCell ref="B14:E14"/>
    <mergeCell ref="B15:E15"/>
    <mergeCell ref="B16:E16"/>
    <mergeCell ref="B17:E17"/>
    <mergeCell ref="B18:E18"/>
    <mergeCell ref="B19:E19"/>
    <mergeCell ref="B21:E21"/>
    <mergeCell ref="B22:E22"/>
    <mergeCell ref="B23:E23"/>
    <mergeCell ref="B31:E31"/>
    <mergeCell ref="B32:E32"/>
    <mergeCell ref="B25:E25"/>
    <mergeCell ref="B26:E26"/>
    <mergeCell ref="B27:E27"/>
    <mergeCell ref="B28:E28"/>
    <mergeCell ref="B29:E29"/>
    <mergeCell ref="B30:E30"/>
    <mergeCell ref="B49:E49"/>
    <mergeCell ref="B62:E62"/>
    <mergeCell ref="B36:E36"/>
    <mergeCell ref="B37:E37"/>
    <mergeCell ref="B39:E39"/>
    <mergeCell ref="B44:E44"/>
    <mergeCell ref="B45:E45"/>
    <mergeCell ref="B38:E38"/>
    <mergeCell ref="B40:E40"/>
    <mergeCell ref="B41:E41"/>
    <mergeCell ref="B43:E43"/>
    <mergeCell ref="B42:E42"/>
    <mergeCell ref="B50:E50"/>
    <mergeCell ref="B51:E51"/>
    <mergeCell ref="B52:E52"/>
    <mergeCell ref="B53:E53"/>
    <mergeCell ref="B87:E87"/>
    <mergeCell ref="B88:E88"/>
    <mergeCell ref="B20:E20"/>
    <mergeCell ref="B69:E69"/>
    <mergeCell ref="B70:E70"/>
    <mergeCell ref="B71:E71"/>
    <mergeCell ref="B72:E72"/>
    <mergeCell ref="B33:E33"/>
    <mergeCell ref="B34:E34"/>
    <mergeCell ref="B35:E35"/>
    <mergeCell ref="B63:E63"/>
    <mergeCell ref="B64:E64"/>
    <mergeCell ref="B61:E61"/>
    <mergeCell ref="B46:E46"/>
    <mergeCell ref="B47:E47"/>
    <mergeCell ref="B48:E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5"/>
  <sheetViews>
    <sheetView tabSelected="1" topLeftCell="A97" workbookViewId="0">
      <selection activeCell="K119" sqref="K119"/>
    </sheetView>
  </sheetViews>
  <sheetFormatPr defaultRowHeight="15"/>
  <cols>
    <col min="1" max="1" width="2.85546875" customWidth="1"/>
    <col min="2" max="2" width="7.85546875" customWidth="1"/>
    <col min="7" max="7" width="7.140625" customWidth="1"/>
    <col min="8" max="9" width="6.5703125" customWidth="1"/>
  </cols>
  <sheetData>
    <row r="1" spans="1:11">
      <c r="B1" s="2" t="s">
        <v>0</v>
      </c>
      <c r="C1" s="2"/>
      <c r="D1" s="2"/>
      <c r="E1" s="2"/>
      <c r="F1" s="2"/>
      <c r="G1" s="2"/>
      <c r="H1" s="2"/>
      <c r="I1" s="2"/>
      <c r="J1" s="2" t="s">
        <v>0</v>
      </c>
      <c r="K1" s="2"/>
    </row>
    <row r="2" spans="1:11">
      <c r="B2" s="1"/>
      <c r="C2" s="1"/>
      <c r="J2" s="1"/>
      <c r="K2" s="1"/>
    </row>
    <row r="4" spans="1:11">
      <c r="E4" s="25" t="s">
        <v>2</v>
      </c>
      <c r="F4" s="25"/>
      <c r="G4" s="25"/>
      <c r="H4" s="29"/>
    </row>
    <row r="5" spans="1:11">
      <c r="B5" s="3" t="s">
        <v>1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B6" s="4" t="s">
        <v>3</v>
      </c>
      <c r="C6" s="5"/>
      <c r="D6" s="5"/>
      <c r="E6" s="5"/>
      <c r="F6" s="5"/>
      <c r="G6" s="5"/>
      <c r="H6" s="5"/>
      <c r="I6" s="5"/>
      <c r="J6" s="5"/>
      <c r="K6" s="5"/>
    </row>
    <row r="8" spans="1:11">
      <c r="B8" s="6" t="s">
        <v>4</v>
      </c>
    </row>
    <row r="9" spans="1:11">
      <c r="B9" s="6" t="s">
        <v>5</v>
      </c>
    </row>
    <row r="10" spans="1:11">
      <c r="B10" s="6" t="s">
        <v>6</v>
      </c>
    </row>
    <row r="12" spans="1:11" ht="14.25" customHeight="1"/>
    <row r="13" spans="1:11" ht="25.5" customHeight="1">
      <c r="A13" s="33" t="s">
        <v>7</v>
      </c>
      <c r="B13" s="33" t="s">
        <v>88</v>
      </c>
      <c r="C13" s="33" t="s">
        <v>8</v>
      </c>
      <c r="D13" s="33"/>
      <c r="E13" s="33"/>
      <c r="F13" s="33"/>
      <c r="G13" s="33" t="s">
        <v>9</v>
      </c>
      <c r="H13" s="33" t="s">
        <v>10</v>
      </c>
      <c r="I13" s="33"/>
      <c r="J13" s="37" t="s">
        <v>91</v>
      </c>
      <c r="K13" s="38"/>
    </row>
    <row r="14" spans="1:11" ht="33.75">
      <c r="A14" s="33"/>
      <c r="B14" s="33"/>
      <c r="C14" s="33"/>
      <c r="D14" s="33"/>
      <c r="E14" s="33"/>
      <c r="F14" s="33"/>
      <c r="G14" s="33"/>
      <c r="H14" s="34" t="s">
        <v>89</v>
      </c>
      <c r="I14" s="34" t="s">
        <v>90</v>
      </c>
      <c r="J14" s="34" t="s">
        <v>11</v>
      </c>
      <c r="K14" s="34" t="s">
        <v>12</v>
      </c>
    </row>
    <row r="15" spans="1:11">
      <c r="A15" s="7">
        <v>1</v>
      </c>
      <c r="B15" s="7">
        <v>2</v>
      </c>
      <c r="C15" s="30">
        <v>3</v>
      </c>
      <c r="D15" s="32"/>
      <c r="E15" s="32"/>
      <c r="F15" s="31"/>
      <c r="G15" s="7">
        <v>4</v>
      </c>
      <c r="H15" s="7">
        <v>5</v>
      </c>
      <c r="I15" s="7">
        <v>5</v>
      </c>
      <c r="J15" s="7">
        <v>6</v>
      </c>
      <c r="K15" s="7">
        <v>7</v>
      </c>
    </row>
    <row r="16" spans="1:11">
      <c r="A16" s="35"/>
      <c r="B16" s="36"/>
      <c r="C16" s="8"/>
      <c r="D16" s="8"/>
      <c r="E16" s="8"/>
      <c r="F16" s="8"/>
      <c r="G16" s="8"/>
      <c r="H16" s="8"/>
      <c r="I16" s="8"/>
      <c r="J16" s="8"/>
      <c r="K16" s="9"/>
    </row>
    <row r="17" spans="1:11">
      <c r="A17" s="39"/>
      <c r="B17" s="16"/>
      <c r="C17" s="40" t="s">
        <v>13</v>
      </c>
      <c r="D17" s="40"/>
      <c r="E17" s="40"/>
      <c r="F17" s="40"/>
      <c r="G17" s="16"/>
      <c r="H17" s="16"/>
      <c r="I17" s="11"/>
      <c r="J17" s="11"/>
      <c r="K17" s="11"/>
    </row>
    <row r="18" spans="1:11">
      <c r="A18" s="39"/>
      <c r="B18" s="16"/>
      <c r="C18" s="41" t="s">
        <v>15</v>
      </c>
      <c r="D18" s="41"/>
      <c r="E18" s="41"/>
      <c r="F18" s="41"/>
      <c r="G18" s="16" t="s">
        <v>33</v>
      </c>
      <c r="H18" s="16"/>
      <c r="I18" s="11">
        <f>2*19.42</f>
        <v>38.840000000000003</v>
      </c>
      <c r="J18" s="11">
        <f>317.03/3</f>
        <v>105.67666666666666</v>
      </c>
      <c r="K18" s="11">
        <f>J18*I18</f>
        <v>4104.481733333334</v>
      </c>
    </row>
    <row r="19" spans="1:11">
      <c r="A19" s="39"/>
      <c r="B19" s="16"/>
      <c r="C19" s="41" t="s">
        <v>14</v>
      </c>
      <c r="D19" s="41"/>
      <c r="E19" s="41"/>
      <c r="F19" s="41"/>
      <c r="G19" s="16" t="s">
        <v>34</v>
      </c>
      <c r="H19" s="16"/>
      <c r="I19" s="11">
        <v>8</v>
      </c>
      <c r="J19" s="11">
        <v>85.64</v>
      </c>
      <c r="K19" s="11">
        <f t="shared" ref="K19:K35" si="0">J19*I19</f>
        <v>685.12</v>
      </c>
    </row>
    <row r="20" spans="1:11">
      <c r="A20" s="39"/>
      <c r="B20" s="16"/>
      <c r="C20" s="41" t="s">
        <v>16</v>
      </c>
      <c r="D20" s="41"/>
      <c r="E20" s="41"/>
      <c r="F20" s="41"/>
      <c r="G20" s="16" t="s">
        <v>34</v>
      </c>
      <c r="H20" s="16"/>
      <c r="I20" s="11">
        <v>22</v>
      </c>
      <c r="J20" s="11">
        <v>121.81</v>
      </c>
      <c r="K20" s="11">
        <f t="shared" si="0"/>
        <v>2679.82</v>
      </c>
    </row>
    <row r="21" spans="1:11">
      <c r="A21" s="39"/>
      <c r="B21" s="16"/>
      <c r="C21" s="41" t="s">
        <v>17</v>
      </c>
      <c r="D21" s="41"/>
      <c r="E21" s="41"/>
      <c r="F21" s="41"/>
      <c r="G21" s="16" t="s">
        <v>34</v>
      </c>
      <c r="H21" s="16"/>
      <c r="I21" s="11">
        <f>2*686</f>
        <v>1372</v>
      </c>
      <c r="J21" s="11">
        <f>0.15*3.3</f>
        <v>0.49499999999999994</v>
      </c>
      <c r="K21" s="11">
        <f t="shared" si="0"/>
        <v>679.13999999999987</v>
      </c>
    </row>
    <row r="22" spans="1:11">
      <c r="A22" s="39"/>
      <c r="B22" s="16"/>
      <c r="C22" s="41" t="s">
        <v>54</v>
      </c>
      <c r="D22" s="41"/>
      <c r="E22" s="41"/>
      <c r="F22" s="41"/>
      <c r="G22" s="16" t="s">
        <v>35</v>
      </c>
      <c r="H22" s="16"/>
      <c r="I22" s="11">
        <f>29.52</f>
        <v>29.52</v>
      </c>
      <c r="J22" s="11">
        <f>93.36/50</f>
        <v>1.8672</v>
      </c>
      <c r="K22" s="11">
        <f t="shared" si="0"/>
        <v>55.119743999999997</v>
      </c>
    </row>
    <row r="23" spans="1:11">
      <c r="A23" s="39"/>
      <c r="B23" s="16"/>
      <c r="C23" s="41" t="s">
        <v>57</v>
      </c>
      <c r="D23" s="41"/>
      <c r="E23" s="41"/>
      <c r="F23" s="41"/>
      <c r="G23" s="16" t="s">
        <v>33</v>
      </c>
      <c r="H23" s="16"/>
      <c r="I23" s="11">
        <f>3.42*4</f>
        <v>13.68</v>
      </c>
      <c r="J23" s="11">
        <f>987.42/2.33</f>
        <v>423.78540772532187</v>
      </c>
      <c r="K23" s="11">
        <f t="shared" si="0"/>
        <v>5797.3843776824033</v>
      </c>
    </row>
    <row r="24" spans="1:11">
      <c r="A24" s="39"/>
      <c r="B24" s="16"/>
      <c r="C24" s="41" t="s">
        <v>51</v>
      </c>
      <c r="D24" s="41"/>
      <c r="E24" s="41"/>
      <c r="F24" s="41"/>
      <c r="G24" s="16" t="s">
        <v>36</v>
      </c>
      <c r="H24" s="16"/>
      <c r="I24" s="11">
        <v>1.9419999999999999</v>
      </c>
      <c r="J24" s="11">
        <f>607.82/25</f>
        <v>24.312800000000003</v>
      </c>
      <c r="K24" s="11">
        <f t="shared" si="0"/>
        <v>47.215457600000008</v>
      </c>
    </row>
    <row r="25" spans="1:11">
      <c r="A25" s="39"/>
      <c r="B25" s="16"/>
      <c r="C25" s="41" t="s">
        <v>52</v>
      </c>
      <c r="D25" s="41"/>
      <c r="E25" s="41"/>
      <c r="F25" s="41"/>
      <c r="G25" s="16" t="s">
        <v>36</v>
      </c>
      <c r="H25" s="16"/>
      <c r="I25" s="11">
        <v>3.8839999999999999</v>
      </c>
      <c r="J25" s="11">
        <f>765.34/10</f>
        <v>76.534000000000006</v>
      </c>
      <c r="K25" s="11">
        <f t="shared" si="0"/>
        <v>297.25805600000001</v>
      </c>
    </row>
    <row r="26" spans="1:11">
      <c r="A26" s="39"/>
      <c r="B26" s="16"/>
      <c r="C26" s="41" t="s">
        <v>53</v>
      </c>
      <c r="D26" s="41"/>
      <c r="E26" s="41"/>
      <c r="F26" s="41"/>
      <c r="G26" s="16" t="s">
        <v>34</v>
      </c>
      <c r="H26" s="16"/>
      <c r="I26" s="11">
        <v>1</v>
      </c>
      <c r="J26" s="11">
        <v>215</v>
      </c>
      <c r="K26" s="11">
        <f t="shared" si="0"/>
        <v>215</v>
      </c>
    </row>
    <row r="27" spans="1:11">
      <c r="A27" s="39"/>
      <c r="B27" s="16"/>
      <c r="C27" s="41" t="s">
        <v>50</v>
      </c>
      <c r="D27" s="41"/>
      <c r="E27" s="41"/>
      <c r="F27" s="41"/>
      <c r="G27" s="16" t="s">
        <v>36</v>
      </c>
      <c r="H27" s="16"/>
      <c r="I27" s="11">
        <v>14.95</v>
      </c>
      <c r="J27" s="11">
        <f>1773.73/28</f>
        <v>63.347500000000004</v>
      </c>
      <c r="K27" s="11">
        <f t="shared" si="0"/>
        <v>947.04512499999998</v>
      </c>
    </row>
    <row r="28" spans="1:11">
      <c r="A28" s="39"/>
      <c r="B28" s="16"/>
      <c r="C28" s="41" t="s">
        <v>18</v>
      </c>
      <c r="D28" s="41"/>
      <c r="E28" s="41"/>
      <c r="F28" s="41"/>
      <c r="G28" s="16" t="s">
        <v>34</v>
      </c>
      <c r="H28" s="16"/>
      <c r="I28" s="11">
        <v>33</v>
      </c>
      <c r="J28" s="11">
        <f>3.3*0.34</f>
        <v>1.1220000000000001</v>
      </c>
      <c r="K28" s="11">
        <f t="shared" si="0"/>
        <v>37.026000000000003</v>
      </c>
    </row>
    <row r="29" spans="1:11">
      <c r="A29" s="39"/>
      <c r="B29" s="16"/>
      <c r="C29" s="41" t="s">
        <v>55</v>
      </c>
      <c r="D29" s="41"/>
      <c r="E29" s="41"/>
      <c r="F29" s="41"/>
      <c r="G29" s="16" t="s">
        <v>33</v>
      </c>
      <c r="H29" s="16"/>
      <c r="I29" s="11">
        <v>19.420000000000002</v>
      </c>
      <c r="J29" s="11">
        <f>14.54/10</f>
        <v>1.454</v>
      </c>
      <c r="K29" s="11">
        <f t="shared" si="0"/>
        <v>28.236680000000003</v>
      </c>
    </row>
    <row r="30" spans="1:11">
      <c r="A30" s="39"/>
      <c r="B30" s="16"/>
      <c r="C30" s="41" t="s">
        <v>19</v>
      </c>
      <c r="D30" s="41"/>
      <c r="E30" s="41"/>
      <c r="F30" s="41"/>
      <c r="G30" s="16" t="s">
        <v>33</v>
      </c>
      <c r="H30" s="16"/>
      <c r="I30" s="11">
        <v>1.5</v>
      </c>
      <c r="J30" s="11">
        <v>119.17</v>
      </c>
      <c r="K30" s="11">
        <f t="shared" si="0"/>
        <v>178.755</v>
      </c>
    </row>
    <row r="31" spans="1:11">
      <c r="A31" s="39"/>
      <c r="B31" s="16"/>
      <c r="C31" s="41" t="s">
        <v>20</v>
      </c>
      <c r="D31" s="41"/>
      <c r="E31" s="41"/>
      <c r="F31" s="41"/>
      <c r="G31" s="16" t="s">
        <v>58</v>
      </c>
      <c r="H31" s="16"/>
      <c r="I31" s="11">
        <f>1.6*9</f>
        <v>14.4</v>
      </c>
      <c r="J31" s="11">
        <v>539</v>
      </c>
      <c r="K31" s="11">
        <f t="shared" si="0"/>
        <v>7761.6</v>
      </c>
    </row>
    <row r="32" spans="1:11">
      <c r="A32" s="39"/>
      <c r="B32" s="16"/>
      <c r="C32" s="41" t="s">
        <v>21</v>
      </c>
      <c r="D32" s="41"/>
      <c r="E32" s="41"/>
      <c r="F32" s="41"/>
      <c r="G32" s="16" t="s">
        <v>36</v>
      </c>
      <c r="H32" s="16"/>
      <c r="I32" s="11">
        <v>1</v>
      </c>
      <c r="J32" s="11">
        <v>27.9</v>
      </c>
      <c r="K32" s="11">
        <f t="shared" si="0"/>
        <v>27.9</v>
      </c>
    </row>
    <row r="33" spans="1:11">
      <c r="A33" s="39"/>
      <c r="B33" s="16"/>
      <c r="C33" s="41" t="s">
        <v>56</v>
      </c>
      <c r="D33" s="41"/>
      <c r="E33" s="41"/>
      <c r="F33" s="41"/>
      <c r="G33" s="16" t="s">
        <v>33</v>
      </c>
      <c r="H33" s="16"/>
      <c r="I33" s="11">
        <v>3.42</v>
      </c>
      <c r="J33" s="11">
        <v>252</v>
      </c>
      <c r="K33" s="11">
        <f t="shared" si="0"/>
        <v>861.84</v>
      </c>
    </row>
    <row r="34" spans="1:11">
      <c r="A34" s="39"/>
      <c r="B34" s="16"/>
      <c r="C34" s="41" t="s">
        <v>22</v>
      </c>
      <c r="D34" s="41"/>
      <c r="E34" s="41"/>
      <c r="F34" s="41"/>
      <c r="G34" s="16" t="s">
        <v>35</v>
      </c>
      <c r="H34" s="16"/>
      <c r="I34" s="11">
        <v>11</v>
      </c>
      <c r="J34" s="11">
        <v>4.3</v>
      </c>
      <c r="K34" s="11">
        <f t="shared" si="0"/>
        <v>47.3</v>
      </c>
    </row>
    <row r="35" spans="1:11">
      <c r="A35" s="39"/>
      <c r="B35" s="16"/>
      <c r="C35" s="41" t="s">
        <v>23</v>
      </c>
      <c r="D35" s="41"/>
      <c r="E35" s="41"/>
      <c r="F35" s="41"/>
      <c r="G35" s="16" t="s">
        <v>36</v>
      </c>
      <c r="H35" s="16"/>
      <c r="I35" s="11">
        <v>0.5</v>
      </c>
      <c r="J35" s="11">
        <v>98.34</v>
      </c>
      <c r="K35" s="11">
        <f t="shared" si="0"/>
        <v>49.17</v>
      </c>
    </row>
    <row r="36" spans="1:11">
      <c r="A36" s="39"/>
      <c r="B36" s="16"/>
      <c r="C36" s="41" t="s">
        <v>39</v>
      </c>
      <c r="D36" s="41"/>
      <c r="E36" s="41"/>
      <c r="F36" s="41"/>
      <c r="G36" s="16"/>
      <c r="H36" s="16"/>
      <c r="I36" s="11"/>
      <c r="J36" s="11"/>
      <c r="K36" s="11">
        <f>SUM(K17:K35)</f>
        <v>24499.412173615736</v>
      </c>
    </row>
    <row r="37" spans="1:11">
      <c r="A37" s="39"/>
      <c r="B37" s="16"/>
      <c r="C37" s="41"/>
      <c r="D37" s="41"/>
      <c r="E37" s="41"/>
      <c r="F37" s="41"/>
      <c r="G37" s="16"/>
      <c r="H37" s="16"/>
      <c r="I37" s="11"/>
      <c r="J37" s="11"/>
      <c r="K37" s="11"/>
    </row>
    <row r="38" spans="1:11">
      <c r="A38" s="39"/>
      <c r="B38" s="16"/>
      <c r="C38" s="41"/>
      <c r="D38" s="41"/>
      <c r="E38" s="41"/>
      <c r="F38" s="41"/>
      <c r="G38" s="16"/>
      <c r="H38" s="16"/>
      <c r="I38" s="11"/>
      <c r="J38" s="11"/>
      <c r="K38" s="11"/>
    </row>
    <row r="39" spans="1:11">
      <c r="A39" s="39"/>
      <c r="B39" s="16"/>
      <c r="C39" s="40"/>
      <c r="D39" s="40"/>
      <c r="E39" s="40"/>
      <c r="F39" s="40"/>
      <c r="G39" s="16"/>
      <c r="H39" s="16"/>
      <c r="I39" s="11"/>
      <c r="J39" s="11"/>
      <c r="K39" s="11"/>
    </row>
    <row r="40" spans="1:11">
      <c r="A40" s="39"/>
      <c r="B40" s="16"/>
      <c r="C40" s="40" t="s">
        <v>24</v>
      </c>
      <c r="D40" s="40"/>
      <c r="E40" s="40"/>
      <c r="F40" s="40"/>
      <c r="G40" s="16"/>
      <c r="H40" s="16"/>
      <c r="I40" s="11"/>
      <c r="J40" s="11"/>
      <c r="K40" s="11"/>
    </row>
    <row r="41" spans="1:11" ht="45" customHeight="1">
      <c r="A41" s="39"/>
      <c r="B41" s="34" t="s">
        <v>92</v>
      </c>
      <c r="C41" s="44" t="s">
        <v>93</v>
      </c>
      <c r="D41" s="44"/>
      <c r="E41" s="44"/>
      <c r="F41" s="44"/>
      <c r="G41" s="16" t="s">
        <v>37</v>
      </c>
      <c r="H41" s="16">
        <v>182</v>
      </c>
      <c r="I41" s="11">
        <v>57.13</v>
      </c>
      <c r="J41" s="11">
        <v>180.46</v>
      </c>
      <c r="K41" s="11">
        <f>J41*I41</f>
        <v>10309.679800000002</v>
      </c>
    </row>
    <row r="42" spans="1:11" ht="26.25" customHeight="1">
      <c r="A42" s="39"/>
      <c r="B42" s="34" t="s">
        <v>96</v>
      </c>
      <c r="C42" s="45" t="s">
        <v>100</v>
      </c>
      <c r="D42" s="46"/>
      <c r="E42" s="46"/>
      <c r="F42" s="47"/>
      <c r="G42" s="16" t="s">
        <v>37</v>
      </c>
      <c r="H42" s="42" t="s">
        <v>99</v>
      </c>
      <c r="I42" s="43">
        <f>0.31388*H42</f>
        <v>10.5557844</v>
      </c>
      <c r="J42" s="11">
        <v>180.46</v>
      </c>
      <c r="K42" s="11">
        <f t="shared" ref="K42" si="1">J42*I42</f>
        <v>1904.8968528240002</v>
      </c>
    </row>
    <row r="43" spans="1:11" ht="22.5">
      <c r="A43" s="39"/>
      <c r="B43" s="34" t="s">
        <v>94</v>
      </c>
      <c r="C43" s="44" t="s">
        <v>95</v>
      </c>
      <c r="D43" s="44"/>
      <c r="E43" s="44"/>
      <c r="F43" s="44"/>
      <c r="G43" s="16" t="s">
        <v>37</v>
      </c>
      <c r="H43" s="16">
        <v>16.32</v>
      </c>
      <c r="I43" s="11">
        <v>5.12</v>
      </c>
      <c r="J43" s="11">
        <v>180.46</v>
      </c>
      <c r="K43" s="11">
        <f t="shared" ref="K43:K66" si="2">J43*I43</f>
        <v>923.9552000000001</v>
      </c>
    </row>
    <row r="44" spans="1:11" ht="38.25" customHeight="1">
      <c r="A44" s="39"/>
      <c r="B44" s="34" t="s">
        <v>97</v>
      </c>
      <c r="C44" s="44" t="s">
        <v>98</v>
      </c>
      <c r="D44" s="44"/>
      <c r="E44" s="44"/>
      <c r="F44" s="44"/>
      <c r="G44" s="16" t="s">
        <v>37</v>
      </c>
      <c r="H44" s="16">
        <v>11.99</v>
      </c>
      <c r="I44" s="11">
        <v>3.76</v>
      </c>
      <c r="J44" s="11">
        <v>180.46</v>
      </c>
      <c r="K44" s="11">
        <f t="shared" si="2"/>
        <v>678.52959999999996</v>
      </c>
    </row>
    <row r="45" spans="1:11" ht="30" customHeight="1">
      <c r="A45" s="39"/>
      <c r="B45" s="34" t="s">
        <v>101</v>
      </c>
      <c r="C45" s="44" t="s">
        <v>102</v>
      </c>
      <c r="D45" s="44"/>
      <c r="E45" s="44"/>
      <c r="F45" s="44"/>
      <c r="G45" s="16" t="s">
        <v>37</v>
      </c>
      <c r="H45" s="16">
        <v>68.37</v>
      </c>
      <c r="I45" s="11">
        <v>21.46</v>
      </c>
      <c r="J45" s="11">
        <v>180.46</v>
      </c>
      <c r="K45" s="11">
        <f t="shared" si="2"/>
        <v>3872.6716000000001</v>
      </c>
    </row>
    <row r="46" spans="1:11">
      <c r="A46" s="39"/>
      <c r="B46" s="16"/>
      <c r="C46" s="41"/>
      <c r="D46" s="41"/>
      <c r="E46" s="41"/>
      <c r="F46" s="41"/>
      <c r="G46" s="16"/>
      <c r="H46" s="16"/>
      <c r="I46" s="11"/>
      <c r="J46" s="11"/>
      <c r="K46" s="11"/>
    </row>
    <row r="47" spans="1:11">
      <c r="A47" s="39"/>
      <c r="B47" s="16"/>
      <c r="C47" s="41"/>
      <c r="D47" s="41"/>
      <c r="E47" s="41"/>
      <c r="F47" s="41"/>
      <c r="G47" s="16"/>
      <c r="H47" s="16"/>
      <c r="I47" s="11"/>
      <c r="J47" s="11"/>
      <c r="K47" s="11"/>
    </row>
    <row r="48" spans="1:11">
      <c r="A48" s="39"/>
      <c r="B48" s="16"/>
      <c r="C48" s="41"/>
      <c r="D48" s="41"/>
      <c r="E48" s="41"/>
      <c r="F48" s="41"/>
      <c r="G48" s="16"/>
      <c r="H48" s="16"/>
      <c r="I48" s="11"/>
      <c r="J48" s="11"/>
      <c r="K48" s="11"/>
    </row>
    <row r="49" spans="1:11">
      <c r="A49" s="39"/>
      <c r="B49" s="16"/>
      <c r="C49" s="41"/>
      <c r="D49" s="41"/>
      <c r="E49" s="41"/>
      <c r="F49" s="41"/>
      <c r="G49" s="16"/>
      <c r="H49" s="16"/>
      <c r="I49" s="11"/>
      <c r="J49" s="11"/>
      <c r="K49" s="11"/>
    </row>
    <row r="50" spans="1:11">
      <c r="A50" s="39"/>
      <c r="B50" s="16"/>
      <c r="C50" s="41"/>
      <c r="D50" s="41"/>
      <c r="E50" s="41"/>
      <c r="F50" s="41"/>
      <c r="G50" s="16"/>
      <c r="H50" s="16"/>
      <c r="I50" s="11"/>
      <c r="J50" s="11"/>
      <c r="K50" s="11"/>
    </row>
    <row r="51" spans="1:11">
      <c r="A51" s="39"/>
      <c r="B51" s="16"/>
      <c r="C51" s="41"/>
      <c r="D51" s="41"/>
      <c r="E51" s="41"/>
      <c r="F51" s="41"/>
      <c r="G51" s="16"/>
      <c r="H51" s="16"/>
      <c r="I51" s="11"/>
      <c r="J51" s="11"/>
      <c r="K51" s="11"/>
    </row>
    <row r="52" spans="1:11">
      <c r="A52" s="39"/>
      <c r="B52" s="16"/>
      <c r="C52" s="41"/>
      <c r="D52" s="41"/>
      <c r="E52" s="41"/>
      <c r="F52" s="41"/>
      <c r="G52" s="16"/>
      <c r="H52" s="16"/>
      <c r="I52" s="11"/>
      <c r="J52" s="11"/>
      <c r="K52" s="11"/>
    </row>
    <row r="53" spans="1:11">
      <c r="A53" s="39"/>
      <c r="B53" s="16"/>
      <c r="C53" s="41"/>
      <c r="D53" s="41"/>
      <c r="E53" s="41"/>
      <c r="F53" s="41"/>
      <c r="G53" s="16"/>
      <c r="H53" s="16"/>
      <c r="I53" s="11"/>
      <c r="J53" s="11"/>
      <c r="K53" s="11"/>
    </row>
    <row r="54" spans="1:11">
      <c r="A54" s="39"/>
      <c r="B54" s="16"/>
      <c r="C54" s="41"/>
      <c r="D54" s="41"/>
      <c r="E54" s="41"/>
      <c r="F54" s="41"/>
      <c r="G54" s="16"/>
      <c r="H54" s="16"/>
      <c r="I54" s="11"/>
      <c r="J54" s="11"/>
      <c r="K54" s="11"/>
    </row>
    <row r="55" spans="1:11">
      <c r="A55" s="39"/>
      <c r="B55" s="16"/>
      <c r="C55" s="41"/>
      <c r="D55" s="41"/>
      <c r="E55" s="41"/>
      <c r="F55" s="41"/>
      <c r="G55" s="16"/>
      <c r="H55" s="16"/>
      <c r="I55" s="11"/>
      <c r="J55" s="11"/>
      <c r="K55" s="11"/>
    </row>
    <row r="56" spans="1:11">
      <c r="A56" s="39"/>
      <c r="B56" s="16"/>
      <c r="C56" s="41"/>
      <c r="D56" s="41"/>
      <c r="E56" s="41"/>
      <c r="F56" s="41"/>
      <c r="G56" s="16"/>
      <c r="H56" s="16"/>
      <c r="I56" s="11"/>
      <c r="J56" s="11"/>
      <c r="K56" s="11"/>
    </row>
    <row r="57" spans="1:11">
      <c r="A57" s="39"/>
      <c r="B57" s="16"/>
      <c r="C57" s="41"/>
      <c r="D57" s="41"/>
      <c r="E57" s="41"/>
      <c r="F57" s="41"/>
      <c r="G57" s="16"/>
      <c r="H57" s="16"/>
      <c r="I57" s="11"/>
      <c r="J57" s="11"/>
      <c r="K57" s="11"/>
    </row>
    <row r="58" spans="1:11">
      <c r="A58" s="39"/>
      <c r="B58" s="16"/>
      <c r="C58" s="41"/>
      <c r="D58" s="41"/>
      <c r="E58" s="41"/>
      <c r="F58" s="41"/>
      <c r="G58" s="16"/>
      <c r="H58" s="16"/>
      <c r="I58" s="11"/>
      <c r="J58" s="11"/>
      <c r="K58" s="11"/>
    </row>
    <row r="59" spans="1:11">
      <c r="A59" s="39"/>
      <c r="B59" s="16"/>
      <c r="C59" s="41"/>
      <c r="D59" s="41"/>
      <c r="E59" s="41"/>
      <c r="F59" s="41"/>
      <c r="G59" s="16"/>
      <c r="H59" s="16"/>
      <c r="I59" s="11"/>
      <c r="J59" s="11"/>
      <c r="K59" s="11"/>
    </row>
    <row r="60" spans="1:11">
      <c r="A60" s="39"/>
      <c r="B60" s="16"/>
      <c r="C60" s="41"/>
      <c r="D60" s="41"/>
      <c r="E60" s="41"/>
      <c r="F60" s="41"/>
      <c r="G60" s="16"/>
      <c r="H60" s="16"/>
      <c r="I60" s="11"/>
      <c r="J60" s="11"/>
      <c r="K60" s="11"/>
    </row>
    <row r="61" spans="1:11">
      <c r="A61" s="39"/>
      <c r="B61" s="16"/>
      <c r="C61" s="41"/>
      <c r="D61" s="41"/>
      <c r="E61" s="41"/>
      <c r="F61" s="41"/>
      <c r="G61" s="16"/>
      <c r="H61" s="16"/>
      <c r="I61" s="11"/>
      <c r="J61" s="11"/>
      <c r="K61" s="11"/>
    </row>
    <row r="62" spans="1:11">
      <c r="A62" s="39"/>
      <c r="B62" s="16"/>
      <c r="C62" s="41"/>
      <c r="D62" s="41"/>
      <c r="E62" s="41"/>
      <c r="F62" s="41"/>
      <c r="G62" s="16"/>
      <c r="H62" s="16"/>
      <c r="I62" s="11"/>
      <c r="J62" s="11"/>
      <c r="K62" s="11"/>
    </row>
    <row r="63" spans="1:11">
      <c r="A63" s="39"/>
      <c r="B63" s="16"/>
      <c r="C63" s="41"/>
      <c r="D63" s="41"/>
      <c r="E63" s="41"/>
      <c r="F63" s="41"/>
      <c r="G63" s="16"/>
      <c r="H63" s="16"/>
      <c r="I63" s="11"/>
      <c r="J63" s="11"/>
      <c r="K63" s="11"/>
    </row>
    <row r="64" spans="1:11">
      <c r="A64" s="39"/>
      <c r="B64" s="16"/>
      <c r="C64" s="41"/>
      <c r="D64" s="41"/>
      <c r="E64" s="41"/>
      <c r="F64" s="41"/>
      <c r="G64" s="16"/>
      <c r="H64" s="16"/>
      <c r="I64" s="11"/>
      <c r="J64" s="11"/>
      <c r="K64" s="11"/>
    </row>
    <row r="65" spans="1:13">
      <c r="A65" s="39"/>
      <c r="B65" s="16"/>
      <c r="C65" s="41"/>
      <c r="D65" s="41"/>
      <c r="E65" s="41"/>
      <c r="F65" s="41"/>
      <c r="G65" s="16"/>
      <c r="H65" s="16"/>
      <c r="I65" s="11"/>
      <c r="J65" s="11"/>
      <c r="K65" s="11"/>
    </row>
    <row r="66" spans="1:13">
      <c r="A66" s="39"/>
      <c r="B66" s="17"/>
      <c r="C66" s="41"/>
      <c r="D66" s="41"/>
      <c r="E66" s="41"/>
      <c r="F66" s="41"/>
      <c r="G66" s="17"/>
      <c r="H66" s="17"/>
      <c r="I66" s="12"/>
      <c r="J66" s="11"/>
      <c r="K66" s="11"/>
    </row>
    <row r="67" spans="1:13">
      <c r="A67" s="39"/>
      <c r="B67" s="17"/>
      <c r="C67" s="41" t="s">
        <v>40</v>
      </c>
      <c r="D67" s="41"/>
      <c r="E67" s="41"/>
      <c r="F67" s="41"/>
      <c r="G67" s="17"/>
      <c r="H67" s="17"/>
      <c r="I67" s="12"/>
      <c r="J67" s="12"/>
      <c r="K67" s="12">
        <f>SUM(K41:K66)</f>
        <v>17689.733052824002</v>
      </c>
    </row>
    <row r="68" spans="1:13">
      <c r="A68" s="39"/>
      <c r="B68" s="17"/>
      <c r="C68" s="41"/>
      <c r="D68" s="41"/>
      <c r="E68" s="41"/>
      <c r="F68" s="41"/>
      <c r="G68" s="17"/>
      <c r="H68" s="17"/>
      <c r="I68" s="12"/>
      <c r="J68" s="12"/>
      <c r="K68" s="12"/>
    </row>
    <row r="69" spans="1:13">
      <c r="A69" s="39"/>
      <c r="B69" s="17"/>
      <c r="C69" s="41"/>
      <c r="D69" s="41"/>
      <c r="E69" s="41"/>
      <c r="F69" s="41"/>
      <c r="G69" s="17"/>
      <c r="H69" s="17"/>
      <c r="I69" s="12"/>
      <c r="J69" s="12"/>
      <c r="K69" s="12"/>
    </row>
    <row r="70" spans="1:13">
      <c r="A70" s="39"/>
      <c r="B70" s="17"/>
      <c r="C70" s="40" t="s">
        <v>27</v>
      </c>
      <c r="D70" s="40"/>
      <c r="E70" s="40"/>
      <c r="F70" s="40"/>
      <c r="G70" s="17"/>
      <c r="H70" s="17"/>
      <c r="I70" s="12"/>
      <c r="J70" s="12"/>
      <c r="K70" s="12"/>
    </row>
    <row r="71" spans="1:13">
      <c r="A71" s="39"/>
      <c r="B71" s="17"/>
      <c r="C71" s="41"/>
      <c r="D71" s="41"/>
      <c r="E71" s="41"/>
      <c r="F71" s="41"/>
      <c r="G71" s="17"/>
      <c r="H71" s="17"/>
      <c r="I71" s="12"/>
      <c r="J71" s="12"/>
      <c r="K71" s="12"/>
    </row>
    <row r="72" spans="1:13">
      <c r="A72" s="39"/>
      <c r="B72" s="17"/>
      <c r="C72" s="41" t="s">
        <v>29</v>
      </c>
      <c r="D72" s="41"/>
      <c r="E72" s="41"/>
      <c r="F72" s="41"/>
      <c r="G72" s="17" t="s">
        <v>38</v>
      </c>
      <c r="H72" s="17">
        <v>0.21</v>
      </c>
      <c r="I72" s="12">
        <v>7.0000000000000007E-2</v>
      </c>
      <c r="J72" s="12">
        <v>12.72</v>
      </c>
      <c r="K72" s="12">
        <f t="shared" ref="K72:K75" si="3">J72*I72</f>
        <v>0.89040000000000008</v>
      </c>
    </row>
    <row r="73" spans="1:13">
      <c r="A73" s="39"/>
      <c r="B73" s="17"/>
      <c r="C73" s="41"/>
      <c r="D73" s="41"/>
      <c r="E73" s="41"/>
      <c r="F73" s="41"/>
      <c r="G73" s="17"/>
      <c r="H73" s="17"/>
      <c r="I73" s="12"/>
      <c r="J73" s="12"/>
      <c r="K73" s="12"/>
    </row>
    <row r="74" spans="1:13">
      <c r="A74" s="39"/>
      <c r="B74" s="17"/>
      <c r="C74" s="41"/>
      <c r="D74" s="41"/>
      <c r="E74" s="41"/>
      <c r="F74" s="41"/>
      <c r="G74" s="17"/>
      <c r="H74" s="17"/>
      <c r="I74" s="12"/>
      <c r="J74" s="12"/>
      <c r="K74" s="12"/>
    </row>
    <row r="75" spans="1:13">
      <c r="A75" s="39"/>
      <c r="B75" s="17"/>
      <c r="C75" s="41" t="s">
        <v>32</v>
      </c>
      <c r="D75" s="41"/>
      <c r="E75" s="41"/>
      <c r="F75" s="41"/>
      <c r="G75" s="17" t="s">
        <v>38</v>
      </c>
      <c r="H75" s="17">
        <v>0.26</v>
      </c>
      <c r="I75" s="12">
        <v>0.31387999999999999</v>
      </c>
      <c r="J75" s="12">
        <v>604.85</v>
      </c>
      <c r="K75" s="12">
        <f t="shared" si="3"/>
        <v>189.85031800000002</v>
      </c>
    </row>
    <row r="76" spans="1:13">
      <c r="A76" s="39"/>
      <c r="B76" s="17"/>
      <c r="C76" s="41" t="s">
        <v>44</v>
      </c>
      <c r="D76" s="41"/>
      <c r="E76" s="41"/>
      <c r="F76" s="41"/>
      <c r="G76" s="17"/>
      <c r="H76" s="17"/>
      <c r="I76" s="12"/>
      <c r="J76" s="12"/>
      <c r="K76" s="12">
        <f>SUM(K71:K75)</f>
        <v>190.74071800000002</v>
      </c>
    </row>
    <row r="77" spans="1:13">
      <c r="A77" s="39"/>
      <c r="B77" s="17"/>
      <c r="C77" s="41"/>
      <c r="D77" s="41"/>
      <c r="E77" s="41"/>
      <c r="F77" s="41"/>
      <c r="G77" s="17"/>
      <c r="H77" s="17"/>
      <c r="I77" s="12"/>
      <c r="J77" s="12"/>
      <c r="K77" s="12"/>
    </row>
    <row r="78" spans="1:13">
      <c r="A78" s="39"/>
      <c r="B78" s="17"/>
      <c r="C78" s="41"/>
      <c r="D78" s="41"/>
      <c r="E78" s="41"/>
      <c r="F78" s="41"/>
      <c r="G78" s="17"/>
      <c r="H78" s="17"/>
      <c r="I78" s="12"/>
      <c r="J78" s="12"/>
      <c r="K78" s="12"/>
    </row>
    <row r="79" spans="1:13" ht="45" customHeight="1">
      <c r="A79" s="39"/>
      <c r="B79" s="17"/>
      <c r="C79" s="41" t="s">
        <v>82</v>
      </c>
      <c r="D79" s="41"/>
      <c r="E79" s="41"/>
      <c r="F79" s="41"/>
      <c r="G79" s="17"/>
      <c r="H79" s="17"/>
      <c r="I79" s="12"/>
      <c r="J79" s="12"/>
      <c r="K79" s="12">
        <f>SUM(L79:M79)</f>
        <v>20581.618908247601</v>
      </c>
      <c r="L79">
        <f>K67*1.15</f>
        <v>20343.1930107476</v>
      </c>
      <c r="M79">
        <f>K76*1.25</f>
        <v>238.42589750000002</v>
      </c>
    </row>
    <row r="80" spans="1:13">
      <c r="A80" s="39"/>
      <c r="B80" s="17"/>
      <c r="C80" s="41"/>
      <c r="D80" s="41"/>
      <c r="E80" s="41"/>
      <c r="F80" s="41"/>
      <c r="G80" s="17"/>
      <c r="H80" s="17"/>
      <c r="I80" s="12"/>
      <c r="J80" s="12"/>
      <c r="K80" s="12"/>
    </row>
    <row r="81" spans="1:11">
      <c r="A81" s="39"/>
      <c r="B81" s="17"/>
      <c r="C81" s="41"/>
      <c r="D81" s="41"/>
      <c r="E81" s="41"/>
      <c r="F81" s="41"/>
      <c r="G81" s="17"/>
      <c r="H81" s="17"/>
      <c r="I81" s="12"/>
      <c r="J81" s="12"/>
      <c r="K81" s="12"/>
    </row>
    <row r="82" spans="1:11" ht="30" customHeight="1">
      <c r="A82" s="39"/>
      <c r="B82" s="17"/>
      <c r="C82" s="41" t="s">
        <v>41</v>
      </c>
      <c r="D82" s="41"/>
      <c r="E82" s="41"/>
      <c r="F82" s="41"/>
      <c r="G82" s="17" t="s">
        <v>43</v>
      </c>
      <c r="H82" s="17"/>
      <c r="I82" s="48" t="s">
        <v>87</v>
      </c>
      <c r="J82" s="12"/>
      <c r="K82" s="12">
        <f>L79*0.94*1.18</f>
        <v>22564.669687521236</v>
      </c>
    </row>
    <row r="83" spans="1:11">
      <c r="A83" s="39"/>
      <c r="B83" s="17"/>
      <c r="C83" s="41" t="s">
        <v>42</v>
      </c>
      <c r="D83" s="41"/>
      <c r="E83" s="41"/>
      <c r="F83" s="41"/>
      <c r="G83" s="17" t="s">
        <v>43</v>
      </c>
      <c r="H83" s="17"/>
      <c r="I83" s="12">
        <v>65</v>
      </c>
      <c r="J83" s="12"/>
      <c r="K83" s="12">
        <f>L79*0.65</f>
        <v>13223.07545698594</v>
      </c>
    </row>
    <row r="84" spans="1:11">
      <c r="A84" s="39"/>
      <c r="B84" s="17"/>
      <c r="C84" s="41"/>
      <c r="D84" s="41"/>
      <c r="E84" s="41"/>
      <c r="F84" s="41"/>
      <c r="G84" s="17"/>
      <c r="H84" s="17"/>
      <c r="I84" s="12"/>
      <c r="J84" s="12"/>
      <c r="K84" s="12"/>
    </row>
    <row r="85" spans="1:11">
      <c r="A85" s="39"/>
      <c r="B85" s="17"/>
      <c r="C85" s="41" t="s">
        <v>45</v>
      </c>
      <c r="D85" s="41"/>
      <c r="E85" s="41"/>
      <c r="F85" s="41"/>
      <c r="G85" s="17"/>
      <c r="H85" s="17"/>
      <c r="I85" s="12"/>
      <c r="J85" s="12"/>
      <c r="K85" s="12">
        <f>SUM(K79:K83)</f>
        <v>56369.364052754783</v>
      </c>
    </row>
    <row r="86" spans="1:11">
      <c r="A86" s="39"/>
      <c r="B86" s="17"/>
      <c r="C86" s="41" t="s">
        <v>83</v>
      </c>
      <c r="D86" s="41"/>
      <c r="E86" s="41"/>
      <c r="F86" s="41"/>
      <c r="G86" s="17" t="s">
        <v>43</v>
      </c>
      <c r="H86" s="17"/>
      <c r="I86" s="12">
        <v>1</v>
      </c>
      <c r="J86" s="12"/>
      <c r="K86" s="12">
        <f>K85*0.01</f>
        <v>563.69364052754781</v>
      </c>
    </row>
    <row r="87" spans="1:11">
      <c r="A87" s="39"/>
      <c r="B87" s="17"/>
      <c r="C87" s="41" t="s">
        <v>45</v>
      </c>
      <c r="D87" s="41"/>
      <c r="E87" s="41"/>
      <c r="F87" s="41"/>
      <c r="G87" s="17"/>
      <c r="H87" s="17"/>
      <c r="I87" s="12"/>
      <c r="J87" s="12"/>
      <c r="K87" s="12">
        <f>SUM(K85:K86)</f>
        <v>56933.057693282331</v>
      </c>
    </row>
    <row r="88" spans="1:11">
      <c r="A88" s="39"/>
      <c r="B88" s="17"/>
      <c r="C88" s="41" t="s">
        <v>84</v>
      </c>
      <c r="D88" s="41"/>
      <c r="E88" s="41"/>
      <c r="F88" s="41"/>
      <c r="G88" s="17" t="s">
        <v>86</v>
      </c>
      <c r="H88" s="17"/>
      <c r="I88" s="12">
        <v>0.69</v>
      </c>
      <c r="J88" s="12"/>
      <c r="K88" s="12">
        <f>K87*0.69</f>
        <v>39283.809808364807</v>
      </c>
    </row>
    <row r="89" spans="1:11">
      <c r="A89" s="39"/>
      <c r="B89" s="17"/>
      <c r="C89" s="41" t="s">
        <v>39</v>
      </c>
      <c r="D89" s="41"/>
      <c r="E89" s="41"/>
      <c r="F89" s="41"/>
      <c r="G89" s="17"/>
      <c r="H89" s="17"/>
      <c r="I89" s="12"/>
      <c r="J89" s="12"/>
      <c r="K89" s="12">
        <f>K36</f>
        <v>24499.412173615736</v>
      </c>
    </row>
    <row r="90" spans="1:11">
      <c r="A90" s="39"/>
      <c r="B90" s="17"/>
      <c r="C90" s="41" t="s">
        <v>85</v>
      </c>
      <c r="D90" s="41"/>
      <c r="E90" s="41"/>
      <c r="F90" s="41"/>
      <c r="G90" s="17"/>
      <c r="H90" s="17"/>
      <c r="I90" s="12"/>
      <c r="J90" s="12"/>
      <c r="K90" s="12">
        <f>SUM(K88:K89)</f>
        <v>63783.221981980547</v>
      </c>
    </row>
    <row r="91" spans="1:11">
      <c r="A91" s="39"/>
      <c r="B91" s="17"/>
      <c r="C91" s="41" t="s">
        <v>46</v>
      </c>
      <c r="D91" s="41"/>
      <c r="E91" s="41"/>
      <c r="F91" s="41"/>
      <c r="G91" s="17" t="s">
        <v>43</v>
      </c>
      <c r="H91" s="17"/>
      <c r="I91" s="12">
        <v>18</v>
      </c>
      <c r="J91" s="12"/>
      <c r="K91" s="12">
        <f>0.18*K90</f>
        <v>11480.979956756499</v>
      </c>
    </row>
    <row r="92" spans="1:11">
      <c r="A92" s="39"/>
      <c r="B92" s="17"/>
      <c r="C92" s="41" t="s">
        <v>47</v>
      </c>
      <c r="D92" s="41"/>
      <c r="E92" s="41"/>
      <c r="F92" s="41"/>
      <c r="G92" s="17"/>
      <c r="H92" s="17"/>
      <c r="I92" s="12"/>
      <c r="J92" s="12"/>
      <c r="K92" s="12">
        <f>SUM(K90:K91)</f>
        <v>75264.201938737038</v>
      </c>
    </row>
    <row r="94" spans="1:11">
      <c r="B94" s="2" t="s">
        <v>48</v>
      </c>
      <c r="C94" s="1"/>
      <c r="D94" s="1"/>
      <c r="E94" s="1"/>
    </row>
    <row r="95" spans="1:11">
      <c r="B95" s="2" t="s">
        <v>49</v>
      </c>
      <c r="C95" s="5"/>
      <c r="D95" s="5"/>
      <c r="E95" s="5"/>
    </row>
  </sheetData>
  <mergeCells count="84">
    <mergeCell ref="A13:A14"/>
    <mergeCell ref="C15:F15"/>
    <mergeCell ref="C42:F42"/>
    <mergeCell ref="B13:B14"/>
    <mergeCell ref="C13:F14"/>
    <mergeCell ref="G13:G14"/>
    <mergeCell ref="H13:I13"/>
    <mergeCell ref="J13:K13"/>
    <mergeCell ref="C88:F88"/>
    <mergeCell ref="C89:F89"/>
    <mergeCell ref="C90:F90"/>
    <mergeCell ref="C91:F91"/>
    <mergeCell ref="C92:F92"/>
    <mergeCell ref="C82:F82"/>
    <mergeCell ref="C83:F83"/>
    <mergeCell ref="C84:F84"/>
    <mergeCell ref="C85:F85"/>
    <mergeCell ref="C86:F86"/>
    <mergeCell ref="C87:F87"/>
    <mergeCell ref="C76:F76"/>
    <mergeCell ref="C77:F77"/>
    <mergeCell ref="C78:F78"/>
    <mergeCell ref="C79:F79"/>
    <mergeCell ref="C80:F80"/>
    <mergeCell ref="C81:F81"/>
    <mergeCell ref="C70:F70"/>
    <mergeCell ref="C71:F71"/>
    <mergeCell ref="C72:F72"/>
    <mergeCell ref="C73:F73"/>
    <mergeCell ref="C74:F74"/>
    <mergeCell ref="C75:F75"/>
    <mergeCell ref="C64:F64"/>
    <mergeCell ref="C65:F65"/>
    <mergeCell ref="C66:F66"/>
    <mergeCell ref="C67:F67"/>
    <mergeCell ref="C68:F68"/>
    <mergeCell ref="C69:F69"/>
    <mergeCell ref="C58:F58"/>
    <mergeCell ref="C59:F59"/>
    <mergeCell ref="C60:F60"/>
    <mergeCell ref="C61:F61"/>
    <mergeCell ref="C62:F62"/>
    <mergeCell ref="C63:F63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C51:F51"/>
    <mergeCell ref="C39:F39"/>
    <mergeCell ref="C40:F40"/>
    <mergeCell ref="C41:F41"/>
    <mergeCell ref="C43:F43"/>
    <mergeCell ref="C44:F44"/>
    <mergeCell ref="C45:F45"/>
    <mergeCell ref="C33:F33"/>
    <mergeCell ref="C34:F34"/>
    <mergeCell ref="C35:F35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C21:F21"/>
    <mergeCell ref="C22:F22"/>
    <mergeCell ref="C23:F23"/>
    <mergeCell ref="C24:F24"/>
    <mergeCell ref="C25:F25"/>
    <mergeCell ref="C26:F26"/>
    <mergeCell ref="E4:G4"/>
    <mergeCell ref="C17:F17"/>
    <mergeCell ref="C18:F18"/>
    <mergeCell ref="C19:F19"/>
    <mergeCell ref="C20:F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Калькуляция 1</vt:lpstr>
      <vt:lpstr>Калькуляция ГЭСН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Gidro</dc:creator>
  <cp:lastModifiedBy>Gidro</cp:lastModifiedBy>
  <cp:lastPrinted>2017-08-17T06:41:36Z</cp:lastPrinted>
  <dcterms:created xsi:type="dcterms:W3CDTF">2017-08-16T08:14:28Z</dcterms:created>
  <dcterms:modified xsi:type="dcterms:W3CDTF">2017-08-18T10:30:32Z</dcterms:modified>
</cp:coreProperties>
</file>