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5940" windowWidth="15480" windowHeight="5775"/>
  </bookViews>
  <sheets>
    <sheet name="Мои данные" sheetId="1" r:id="rId1"/>
  </sheets>
  <definedNames>
    <definedName name="_xlnm.Print_Titles" localSheetId="0">'Мои данные'!$14:$14</definedName>
    <definedName name="_xlnm.Print_Area" localSheetId="0">'Мои данные'!$A$1:$L$60</definedName>
  </definedNames>
  <calcPr calcId="145621" fullCalcOnLoad="1" refMode="R1C1"/>
</workbook>
</file>

<file path=xl/calcChain.xml><?xml version="1.0" encoding="utf-8"?>
<calcChain xmlns="http://schemas.openxmlformats.org/spreadsheetml/2006/main">
  <c r="L52" i="1" l="1"/>
  <c r="L51" i="1"/>
  <c r="L50" i="1"/>
  <c r="L26" i="1"/>
  <c r="L42" i="1"/>
  <c r="L44" i="1"/>
  <c r="L45" i="1"/>
  <c r="L46" i="1"/>
  <c r="L48" i="1"/>
  <c r="L17" i="1"/>
  <c r="L19" i="1"/>
  <c r="L20" i="1"/>
  <c r="L21" i="1"/>
  <c r="L23" i="1"/>
  <c r="F27" i="1"/>
  <c r="F26" i="1"/>
  <c r="F39" i="1"/>
  <c r="F41" i="1"/>
  <c r="F37" i="1"/>
  <c r="F25" i="1"/>
  <c r="F16" i="1"/>
  <c r="L27" i="1" l="1"/>
  <c r="L28" i="1" s="1"/>
  <c r="L30" i="1" s="1"/>
  <c r="L31" i="1" s="1"/>
  <c r="L32" i="1" s="1"/>
  <c r="L34" i="1" l="1"/>
  <c r="L49" i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сметы&gt;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4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4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4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4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49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L49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A50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L50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</commentList>
</comments>
</file>

<file path=xl/sharedStrings.xml><?xml version="1.0" encoding="utf-8"?>
<sst xmlns="http://schemas.openxmlformats.org/spreadsheetml/2006/main" count="76" uniqueCount="55">
  <si>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</si>
  <si>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</si>
  <si>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</si>
  <si>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</si>
  <si>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СМЕТА № </t>
  </si>
  <si>
    <t>Форма 2пс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</si>
  <si>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</si>
  <si>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</si>
  <si>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</t>
  </si>
  <si>
    <t>Стоимость работ</t>
  </si>
  <si>
    <t>тыс.руб</t>
  </si>
  <si>
    <t xml:space="preserve">Приложение к Договору № </t>
  </si>
  <si>
    <t>Кабельные линии напряжением до 35 кВ с интервалами протяженности: свыше 100 до 500 м</t>
  </si>
  <si>
    <t>цены 2001</t>
  </si>
  <si>
    <t>Итоги по разделу 1 Наружное электроснабжение :</t>
  </si>
  <si>
    <t xml:space="preserve">  Проектные работы</t>
  </si>
  <si>
    <t xml:space="preserve">  Итого</t>
  </si>
  <si>
    <t xml:space="preserve">    Справочно, в ценах 2001г.:</t>
  </si>
  <si>
    <t xml:space="preserve">  Итого по разделу 1 Наружное электроснабжение</t>
  </si>
  <si>
    <t>Спортивно-оздоровительные учреждения общей площадью: до 4000 м2</t>
  </si>
  <si>
    <t>Итоги по разделу 2 Внутреннее электроснабжение :</t>
  </si>
  <si>
    <t xml:space="preserve">  Проектные работы: Объекты жилищно-гражданского строительства</t>
  </si>
  <si>
    <t xml:space="preserve">  Итого по разделу 2 Внутреннее электроснабжение</t>
  </si>
  <si>
    <t xml:space="preserve">                                   Релейная защита электрических сетей напряжением до 20 кВ</t>
  </si>
  <si>
    <t>Разветвленная секционированная электрическая сеть: с числом источников питания до двух с количеством выключателей свыше 10</t>
  </si>
  <si>
    <t xml:space="preserve">                                   Расчет токов короткого замыкания электрических сетей напряжением 3-20 кВ</t>
  </si>
  <si>
    <t xml:space="preserve">                                   Диспетчерское управление и телемеханизация энергетических объектов энергосистем</t>
  </si>
  <si>
    <t>Диспетчерское управление энергетическими объектами (электростанциями, подстанциями): в распределительной электросети</t>
  </si>
  <si>
    <t>Итоги по разделу 3 Автоматизированная система управления :</t>
  </si>
  <si>
    <t xml:space="preserve">  Итого по разделу 3 Автоматизированная система управления</t>
  </si>
  <si>
    <t xml:space="preserve">  НДС 18%</t>
  </si>
  <si>
    <t xml:space="preserve">  ВСЕГО по смете</t>
  </si>
  <si>
    <t>Стадия РД ПЗ=0.6 (;</t>
  </si>
  <si>
    <t>ОП п.1.5 Рабочая документация ПЗ=0.6;</t>
  </si>
  <si>
    <t xml:space="preserve">                            Наружное электроснабжение</t>
  </si>
  <si>
    <t>(7763*1+42*100)*0,6</t>
  </si>
  <si>
    <t xml:space="preserve">  Всего с учетом Приложение №3 к письму Минрегионразвития №21331-СД/10 от 12.11.2013 г. 3,64</t>
  </si>
  <si>
    <t xml:space="preserve">                            Внутреннее электроснабжение</t>
  </si>
  <si>
    <t>(505800*1+340*774,3)*0,6</t>
  </si>
  <si>
    <t xml:space="preserve">
СБЦП03-4-5-А
 "Объекты жилищно-гражданского строительства (2010г.)"
ОП п.1.5 Рабочая документация ПЗ=0.6;</t>
  </si>
  <si>
    <t xml:space="preserve">                            Автоматизированная система управления</t>
  </si>
  <si>
    <t>(9440*1)*0,6</t>
  </si>
  <si>
    <t xml:space="preserve">
СБЦП06-38-3-А
 "Коммунальные инженерные сети и сооружения (2012 г.)"</t>
  </si>
  <si>
    <t>(4720*1)*0,6</t>
  </si>
  <si>
    <t xml:space="preserve">
СБЦП06-40-3-А
 "Коммунальные инженерные сети и сооружения (2012 г.)"</t>
  </si>
  <si>
    <t>(930*1)*0,6</t>
  </si>
  <si>
    <t xml:space="preserve">
СБЦП06-34-2-Б
 "Коммунальные инженерные сети и сооружения (2012 г.)"</t>
  </si>
  <si>
    <t>Итого затраты по разделу</t>
  </si>
  <si>
    <t>Итого затраты по смете</t>
  </si>
  <si>
    <t xml:space="preserve">
СБЦП06-17-2-А
 "Коммунальные инженерные сети и сооружения (2012 г.)"
Стадия РД ПЗ=0.6</t>
  </si>
  <si>
    <t>Стадия РД Раздел "Инженерное оборудование, сети, инженерно-технические мероприятия, технологические решения": Электроснабжение 5,0%</t>
  </si>
  <si>
    <t>461,437*5%</t>
  </si>
  <si>
    <t>Стадия РД: Смета на строительство 9,0%</t>
  </si>
  <si>
    <t>23,072*9%</t>
  </si>
  <si>
    <t>Итого затраты по смете с учетом районного коэфф. К=1,08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</si>
</sst>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charset val="204"/>
    </font>
    <font>
      <b/>
      <sz val="13"/>
      <name val="Arial"/>
      <family val="2"/>
      <charset val="204"/>
    </font>
    <font>
      <b/>
      <sz val="13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4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indent="1"/>
    </xf>
    <xf numFmtId="0" fontId="8" fillId="0" borderId="0" xfId="21" applyFont="1" applyBorder="1" applyAlignment="1">
      <alignment horizontal="left" wrapText="1"/>
    </xf>
    <xf numFmtId="0" fontId="10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8" fillId="0" borderId="2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vertical="top" wrapText="1"/>
    </xf>
    <xf numFmtId="0" fontId="8" fillId="0" borderId="3" xfId="12" applyFont="1" applyBorder="1">
      <alignment horizontal="center" wrapText="1"/>
    </xf>
    <xf numFmtId="49" fontId="13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8" fontId="8" fillId="0" borderId="1" xfId="0" applyNumberFormat="1" applyFont="1" applyBorder="1" applyAlignment="1">
      <alignment horizontal="right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0" fontId="8" fillId="0" borderId="3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168" fontId="8" fillId="0" borderId="3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8" fillId="0" borderId="1" xfId="5" applyFont="1" applyBorder="1" applyAlignment="1">
      <alignment horizontal="left" vertical="top" wrapText="1"/>
    </xf>
    <xf numFmtId="168" fontId="8" fillId="0" borderId="1" xfId="5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left" vertical="top" wrapText="1"/>
    </xf>
    <xf numFmtId="168" fontId="9" fillId="0" borderId="1" xfId="5" applyNumberFormat="1" applyFont="1" applyBorder="1" applyAlignment="1">
      <alignment horizontal="righ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12</xdr:row>
          <xdr:rowOff>1104900</xdr:rowOff>
        </xdr:from>
        <xdr:to>
          <xdr:col>1</xdr:col>
          <xdr:colOff>1209675</xdr:colOff>
          <xdr:row>12</xdr:row>
          <xdr:rowOff>1352550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Q52"/>
  <sheetViews>
    <sheetView showGridLines="0" tabSelected="1" view="pageBreakPreview" zoomScale="85" zoomScaleNormal="100" zoomScaleSheetLayoutView="85" workbookViewId="0">
      <selection activeCell="D58" sqref="D58"/>
    </sheetView>
  </sheetViews>
  <sheetFormatPr defaultRowHeight="15" x14ac:dyDescent="0.2"/>
  <cols>
    <col min="1" max="1" width="9.140625" style="1"/>
    <col min="2" max="2" width="50.42578125" style="1" customWidth="1"/>
    <col min="3" max="3" width="41.42578125" style="1" customWidth="1"/>
    <col min="4" max="4" width="21.7109375" style="1" customWidth="1"/>
    <col min="5" max="10" width="22.140625" style="1" hidden="1" customWidth="1"/>
    <col min="11" max="11" width="73.7109375" style="1" hidden="1" customWidth="1"/>
    <col min="12" max="12" width="16" style="1" customWidth="1"/>
    <col min="13" max="15" width="9.140625" style="1" customWidth="1"/>
    <col min="16" max="16384" width="9.140625" style="1"/>
  </cols>
  <sheetData>
    <row r="1" spans="1:17" x14ac:dyDescent="0.2">
      <c r="A1" s="12"/>
      <c r="B1" s="12"/>
      <c r="C1" s="12"/>
      <c r="D1" s="12"/>
      <c r="L1" s="2" t="s">
        <v>5</v>
      </c>
    </row>
    <row r="2" spans="1:17" x14ac:dyDescent="0.2">
      <c r="A2" s="17" t="s">
        <v>11</v>
      </c>
      <c r="B2" s="17"/>
      <c r="C2" s="17"/>
      <c r="D2" s="17"/>
    </row>
    <row r="3" spans="1:17" ht="18" x14ac:dyDescent="0.25">
      <c r="A3" s="13" t="s">
        <v>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7" x14ac:dyDescent="0.2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7" ht="15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7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7" x14ac:dyDescent="0.2">
      <c r="A9" s="9" t="s">
        <v>2</v>
      </c>
      <c r="B9" s="3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7" x14ac:dyDescent="0.2">
      <c r="A10" s="3"/>
      <c r="B10" s="3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7" x14ac:dyDescent="0.2">
      <c r="A11" s="9" t="s">
        <v>3</v>
      </c>
      <c r="B11" s="3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7" x14ac:dyDescent="0.2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  <c r="L12" s="5" t="s">
        <v>10</v>
      </c>
    </row>
    <row r="13" spans="1:17" s="7" customFormat="1" ht="121.5" customHeight="1" x14ac:dyDescent="0.2">
      <c r="A13" s="6" t="s">
        <v>0</v>
      </c>
      <c r="B13" s="6" t="s">
        <v>6</v>
      </c>
      <c r="C13" s="6" t="s">
        <v>7</v>
      </c>
      <c r="D13" s="6" t="s">
        <v>8</v>
      </c>
      <c r="E13" s="6"/>
      <c r="F13" s="6"/>
      <c r="G13" s="6"/>
      <c r="H13" s="6"/>
      <c r="I13" s="6"/>
      <c r="J13" s="6"/>
      <c r="K13" s="6"/>
      <c r="L13" s="6" t="s">
        <v>9</v>
      </c>
    </row>
    <row r="14" spans="1:17" x14ac:dyDescent="0.2">
      <c r="A14" s="18">
        <v>1</v>
      </c>
      <c r="B14" s="18">
        <v>2</v>
      </c>
      <c r="C14" s="18">
        <v>3</v>
      </c>
      <c r="D14" s="18">
        <v>4</v>
      </c>
      <c r="E14" s="18"/>
      <c r="F14" s="18"/>
      <c r="G14" s="18"/>
      <c r="H14" s="18"/>
      <c r="I14" s="18"/>
      <c r="J14" s="18"/>
      <c r="K14" s="18"/>
      <c r="L14" s="18">
        <v>5</v>
      </c>
    </row>
    <row r="15" spans="1:17" s="8" customFormat="1" ht="23.1" customHeight="1" x14ac:dyDescent="0.2">
      <c r="A15" s="19" t="s">
        <v>34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7" s="10" customFormat="1" ht="75" x14ac:dyDescent="0.2">
      <c r="A16" s="21">
        <v>1</v>
      </c>
      <c r="B16" s="22" t="s">
        <v>12</v>
      </c>
      <c r="C16" s="22" t="s">
        <v>49</v>
      </c>
      <c r="D16" s="23" t="s">
        <v>35</v>
      </c>
      <c r="E16" s="24">
        <v>1</v>
      </c>
      <c r="F16" s="24" t="str">
        <f ca="1">IF(INDIRECT("J" &amp; ROW())="текущие цены", IF(INDIRECT("G" &amp; ROW())="", "0", "0"), IF(INDIRECT("G" &amp; ROW())="", "4657.8","7763"))</f>
        <v>7763</v>
      </c>
      <c r="G16" s="24">
        <v>0.6</v>
      </c>
      <c r="H16" s="24"/>
      <c r="I16" s="24"/>
      <c r="J16" s="24" t="s">
        <v>13</v>
      </c>
      <c r="K16" s="24" t="s">
        <v>32</v>
      </c>
      <c r="L16" s="25">
        <v>7.1780000000000008</v>
      </c>
      <c r="M16" s="8"/>
      <c r="N16" s="8"/>
      <c r="O16" s="8"/>
      <c r="P16" s="8"/>
      <c r="Q16" s="8"/>
    </row>
    <row r="17" spans="1:17" x14ac:dyDescent="0.2">
      <c r="A17" s="31" t="s">
        <v>47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25">
        <f>7178/1000</f>
        <v>7.1779999999999999</v>
      </c>
      <c r="M17" s="8"/>
      <c r="N17" s="8"/>
      <c r="O17" s="8"/>
      <c r="P17" s="8"/>
      <c r="Q17" s="8"/>
    </row>
    <row r="18" spans="1:17" x14ac:dyDescent="0.2">
      <c r="A18" s="33" t="s">
        <v>14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25"/>
      <c r="M18" s="8"/>
      <c r="N18" s="8"/>
      <c r="O18" s="8"/>
      <c r="P18" s="8"/>
      <c r="Q18" s="8"/>
    </row>
    <row r="19" spans="1:17" x14ac:dyDescent="0.2">
      <c r="A19" s="31" t="s">
        <v>15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25">
        <f>7178/1000</f>
        <v>7.1779999999999999</v>
      </c>
      <c r="M19" s="8"/>
      <c r="N19" s="8"/>
      <c r="O19" s="8"/>
      <c r="P19" s="8"/>
      <c r="Q19" s="8"/>
    </row>
    <row r="20" spans="1:17" x14ac:dyDescent="0.2">
      <c r="A20" s="31" t="s">
        <v>16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25">
        <f>7178/1000</f>
        <v>7.1779999999999999</v>
      </c>
      <c r="M20" s="8"/>
      <c r="N20" s="8"/>
      <c r="O20" s="8"/>
      <c r="P20" s="8"/>
      <c r="Q20" s="8"/>
    </row>
    <row r="21" spans="1:17" x14ac:dyDescent="0.2">
      <c r="A21" s="31" t="s">
        <v>36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25">
        <f>26128/1000</f>
        <v>26.128</v>
      </c>
      <c r="M21" s="8"/>
      <c r="N21" s="8"/>
      <c r="O21" s="8"/>
      <c r="P21" s="8"/>
      <c r="Q21" s="8"/>
    </row>
    <row r="22" spans="1:17" ht="15.95" customHeight="1" x14ac:dyDescent="0.2">
      <c r="A22" s="31" t="s">
        <v>17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25"/>
      <c r="M22" s="8"/>
      <c r="N22" s="8"/>
      <c r="O22" s="8"/>
      <c r="P22" s="8"/>
      <c r="Q22" s="8"/>
    </row>
    <row r="23" spans="1:17" x14ac:dyDescent="0.2">
      <c r="A23" s="35" t="s">
        <v>18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0">
        <f>26128/1000</f>
        <v>26.128</v>
      </c>
      <c r="M23" s="8"/>
      <c r="N23" s="8"/>
      <c r="O23" s="8"/>
      <c r="P23" s="8"/>
      <c r="Q23" s="8"/>
    </row>
    <row r="24" spans="1:17" ht="16.5" x14ac:dyDescent="0.2">
      <c r="A24" s="19" t="s">
        <v>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8"/>
      <c r="N24" s="8"/>
      <c r="O24" s="8"/>
      <c r="P24" s="8"/>
      <c r="Q24" s="8"/>
    </row>
    <row r="25" spans="1:17" ht="108.75" customHeight="1" x14ac:dyDescent="0.2">
      <c r="A25" s="21">
        <v>3</v>
      </c>
      <c r="B25" s="22" t="s">
        <v>19</v>
      </c>
      <c r="C25" s="22" t="s">
        <v>39</v>
      </c>
      <c r="D25" s="23" t="s">
        <v>38</v>
      </c>
      <c r="E25" s="24">
        <v>1</v>
      </c>
      <c r="F25" s="24" t="str">
        <f ca="1">IF(INDIRECT("J" &amp; ROW())="текущие цены", IF(INDIRECT("G" &amp; ROW())="", "0", "0"), IF(INDIRECT("G" &amp; ROW())="", "303480","505800"))</f>
        <v>505800</v>
      </c>
      <c r="G25" s="24">
        <v>0.6</v>
      </c>
      <c r="H25" s="24"/>
      <c r="I25" s="24"/>
      <c r="J25" s="24" t="s">
        <v>13</v>
      </c>
      <c r="K25" s="24" t="s">
        <v>33</v>
      </c>
      <c r="L25" s="25">
        <v>461.43700000000001</v>
      </c>
      <c r="M25" s="8"/>
      <c r="N25" s="8"/>
      <c r="O25" s="8"/>
      <c r="P25" s="8"/>
      <c r="Q25" s="8"/>
    </row>
    <row r="26" spans="1:17" ht="75.75" customHeight="1" x14ac:dyDescent="0.2">
      <c r="A26" s="21"/>
      <c r="B26" s="22"/>
      <c r="C26" s="22" t="s">
        <v>50</v>
      </c>
      <c r="D26" s="23" t="s">
        <v>51</v>
      </c>
      <c r="E26" s="24">
        <v>1</v>
      </c>
      <c r="F26" s="24" t="str">
        <f ca="1">IF(INDIRECT("J" &amp; ROW())="текущие цены", IF(INDIRECT("G" &amp; ROW())="", "0", "0"), IF(INDIRECT("G" &amp; ROW())="", "303480","505800"))</f>
        <v>505800</v>
      </c>
      <c r="G26" s="24">
        <v>0.6</v>
      </c>
      <c r="H26" s="24"/>
      <c r="I26" s="24"/>
      <c r="J26" s="24" t="s">
        <v>13</v>
      </c>
      <c r="K26" s="24" t="s">
        <v>33</v>
      </c>
      <c r="L26" s="25">
        <f>ROUND(L25*5%,3)</f>
        <v>23.071999999999999</v>
      </c>
      <c r="M26" s="8"/>
      <c r="N26" s="8"/>
      <c r="O26" s="8"/>
      <c r="P26" s="8"/>
      <c r="Q26" s="8"/>
    </row>
    <row r="27" spans="1:17" ht="42" customHeight="1" x14ac:dyDescent="0.2">
      <c r="A27" s="21"/>
      <c r="B27" s="22"/>
      <c r="C27" s="22" t="s">
        <v>52</v>
      </c>
      <c r="D27" s="23" t="s">
        <v>53</v>
      </c>
      <c r="E27" s="24">
        <v>1</v>
      </c>
      <c r="F27" s="24" t="str">
        <f ca="1">IF(INDIRECT("J" &amp; ROW())="текущие цены", IF(INDIRECT("G" &amp; ROW())="", "0", "0"), IF(INDIRECT("G" &amp; ROW())="", "303480","505800"))</f>
        <v>505800</v>
      </c>
      <c r="G27" s="24">
        <v>0.6</v>
      </c>
      <c r="H27" s="24"/>
      <c r="I27" s="24"/>
      <c r="J27" s="24" t="s">
        <v>13</v>
      </c>
      <c r="K27" s="24" t="s">
        <v>33</v>
      </c>
      <c r="L27" s="25">
        <f>ROUND(L26*9%,3)</f>
        <v>2.0760000000000001</v>
      </c>
      <c r="M27" s="8"/>
      <c r="N27" s="8"/>
      <c r="O27" s="8"/>
      <c r="P27" s="8"/>
      <c r="Q27" s="8"/>
    </row>
    <row r="28" spans="1:17" x14ac:dyDescent="0.2">
      <c r="A28" s="31" t="s">
        <v>47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25">
        <f>L26+L27</f>
        <v>25.148</v>
      </c>
      <c r="M28" s="8"/>
      <c r="N28" s="8"/>
      <c r="O28" s="8"/>
      <c r="P28" s="8"/>
      <c r="Q28" s="8"/>
    </row>
    <row r="29" spans="1:17" x14ac:dyDescent="0.2">
      <c r="A29" s="33" t="s">
        <v>20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25"/>
      <c r="M29" s="8"/>
      <c r="N29" s="8"/>
      <c r="O29" s="8"/>
      <c r="P29" s="8"/>
      <c r="Q29" s="8"/>
    </row>
    <row r="30" spans="1:17" x14ac:dyDescent="0.2">
      <c r="A30" s="31" t="s">
        <v>21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25">
        <f>L28</f>
        <v>25.148</v>
      </c>
      <c r="M30" s="8"/>
      <c r="N30" s="8"/>
      <c r="O30" s="8"/>
      <c r="P30" s="8"/>
      <c r="Q30" s="8"/>
    </row>
    <row r="31" spans="1:17" x14ac:dyDescent="0.2">
      <c r="A31" s="31" t="s">
        <v>16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25">
        <f>L30</f>
        <v>25.148</v>
      </c>
      <c r="M31" s="8"/>
      <c r="N31" s="8"/>
      <c r="O31" s="8"/>
      <c r="P31" s="8"/>
      <c r="Q31" s="8"/>
    </row>
    <row r="32" spans="1:17" x14ac:dyDescent="0.2">
      <c r="A32" s="31" t="s">
        <v>36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25">
        <f>ROUND(L31*3.64,3)</f>
        <v>91.539000000000001</v>
      </c>
      <c r="M32" s="8"/>
      <c r="N32" s="8"/>
      <c r="O32" s="8"/>
      <c r="P32" s="8"/>
      <c r="Q32" s="8"/>
    </row>
    <row r="33" spans="1:17" x14ac:dyDescent="0.2">
      <c r="A33" s="31" t="s">
        <v>17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25"/>
      <c r="M33" s="8"/>
      <c r="N33" s="8"/>
      <c r="O33" s="8"/>
      <c r="P33" s="8"/>
      <c r="Q33" s="8"/>
    </row>
    <row r="34" spans="1:17" ht="15.95" customHeight="1" x14ac:dyDescent="0.2">
      <c r="A34" s="35" t="s">
        <v>22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0">
        <f>L32</f>
        <v>91.539000000000001</v>
      </c>
      <c r="M34" s="8"/>
      <c r="N34" s="8"/>
      <c r="O34" s="8"/>
      <c r="P34" s="8"/>
      <c r="Q34" s="8"/>
    </row>
    <row r="35" spans="1:17" ht="16.5" x14ac:dyDescent="0.2">
      <c r="A35" s="19" t="s">
        <v>40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8"/>
      <c r="N35" s="8"/>
      <c r="O35" s="8"/>
      <c r="P35" s="8"/>
      <c r="Q35" s="8"/>
    </row>
    <row r="36" spans="1:17" x14ac:dyDescent="0.2">
      <c r="A36" s="37" t="s">
        <v>23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8"/>
      <c r="N36" s="8"/>
      <c r="O36" s="8"/>
      <c r="P36" s="8"/>
      <c r="Q36" s="8"/>
    </row>
    <row r="37" spans="1:17" ht="77.25" customHeight="1" x14ac:dyDescent="0.2">
      <c r="A37" s="21">
        <v>5</v>
      </c>
      <c r="B37" s="22" t="s">
        <v>24</v>
      </c>
      <c r="C37" s="22" t="s">
        <v>42</v>
      </c>
      <c r="D37" s="23" t="s">
        <v>41</v>
      </c>
      <c r="E37" s="24">
        <v>1</v>
      </c>
      <c r="F37" s="24" t="str">
        <f ca="1">IF(INDIRECT("J" &amp; ROW())="текущие цены", IF(INDIRECT("G" &amp; ROW())="", "0", "0"), IF(INDIRECT("G" &amp; ROW())="", "5664","9440"))</f>
        <v>9440</v>
      </c>
      <c r="G37" s="24">
        <v>0.6</v>
      </c>
      <c r="H37" s="24"/>
      <c r="I37" s="24"/>
      <c r="J37" s="24" t="s">
        <v>13</v>
      </c>
      <c r="K37" s="24" t="s">
        <v>32</v>
      </c>
      <c r="L37" s="25">
        <v>5.6639999999999997</v>
      </c>
      <c r="M37" s="8"/>
      <c r="N37" s="8"/>
      <c r="O37" s="8"/>
      <c r="P37" s="8"/>
      <c r="Q37" s="8"/>
    </row>
    <row r="38" spans="1:17" ht="21" customHeight="1" x14ac:dyDescent="0.2">
      <c r="A38" s="37" t="s">
        <v>25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8"/>
      <c r="N38" s="8"/>
      <c r="O38" s="8"/>
      <c r="P38" s="8"/>
      <c r="Q38" s="8"/>
    </row>
    <row r="39" spans="1:17" ht="60" x14ac:dyDescent="0.2">
      <c r="A39" s="21">
        <v>6</v>
      </c>
      <c r="B39" s="22" t="s">
        <v>24</v>
      </c>
      <c r="C39" s="22" t="s">
        <v>44</v>
      </c>
      <c r="D39" s="23" t="s">
        <v>43</v>
      </c>
      <c r="E39" s="24">
        <v>1</v>
      </c>
      <c r="F39" s="24" t="str">
        <f ca="1">IF(INDIRECT("J" &amp; ROW())="текущие цены", IF(INDIRECT("G" &amp; ROW())="", "0", "0"), IF(INDIRECT("G" &amp; ROW())="", "2832","4720"))</f>
        <v>4720</v>
      </c>
      <c r="G39" s="24">
        <v>0.6</v>
      </c>
      <c r="H39" s="24"/>
      <c r="I39" s="24"/>
      <c r="J39" s="24" t="s">
        <v>13</v>
      </c>
      <c r="K39" s="24" t="s">
        <v>32</v>
      </c>
      <c r="L39" s="25">
        <v>2.8319999999999999</v>
      </c>
      <c r="M39" s="8"/>
      <c r="N39" s="8"/>
      <c r="O39" s="8"/>
      <c r="P39" s="8"/>
      <c r="Q39" s="8"/>
    </row>
    <row r="40" spans="1:17" ht="21" customHeight="1" x14ac:dyDescent="0.2">
      <c r="A40" s="37" t="s">
        <v>26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8"/>
      <c r="N40" s="8"/>
      <c r="O40" s="8"/>
      <c r="P40" s="8"/>
      <c r="Q40" s="8"/>
    </row>
    <row r="41" spans="1:17" ht="101.25" customHeight="1" x14ac:dyDescent="0.2">
      <c r="A41" s="26">
        <v>7</v>
      </c>
      <c r="B41" s="27" t="s">
        <v>27</v>
      </c>
      <c r="C41" s="27" t="s">
        <v>46</v>
      </c>
      <c r="D41" s="28" t="s">
        <v>45</v>
      </c>
      <c r="E41" s="29">
        <v>1</v>
      </c>
      <c r="F41" s="29" t="str">
        <f ca="1">IF(INDIRECT("J" &amp; ROW())="текущие цены", IF(INDIRECT("G" &amp; ROW())="", "0", "0"), IF(INDIRECT("G" &amp; ROW())="", "558","930"))</f>
        <v>930</v>
      </c>
      <c r="G41" s="29">
        <v>0.6</v>
      </c>
      <c r="H41" s="29"/>
      <c r="I41" s="29"/>
      <c r="J41" s="29" t="s">
        <v>13</v>
      </c>
      <c r="K41" s="29" t="s">
        <v>32</v>
      </c>
      <c r="L41" s="30">
        <v>0.55800000000000005</v>
      </c>
      <c r="M41" s="8"/>
      <c r="N41" s="8"/>
      <c r="O41" s="8"/>
      <c r="P41" s="8"/>
      <c r="Q41" s="8"/>
    </row>
    <row r="42" spans="1:17" ht="21" customHeight="1" x14ac:dyDescent="0.2">
      <c r="A42" s="31" t="s">
        <v>47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25">
        <f>9054/1000</f>
        <v>9.0540000000000003</v>
      </c>
      <c r="M42" s="8"/>
      <c r="N42" s="8"/>
      <c r="O42" s="8"/>
      <c r="P42" s="8"/>
      <c r="Q42" s="8"/>
    </row>
    <row r="43" spans="1:17" x14ac:dyDescent="0.2">
      <c r="A43" s="33" t="s">
        <v>28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25"/>
      <c r="M43" s="8"/>
      <c r="N43" s="8"/>
      <c r="O43" s="8"/>
      <c r="P43" s="8"/>
      <c r="Q43" s="8"/>
    </row>
    <row r="44" spans="1:17" x14ac:dyDescent="0.2">
      <c r="A44" s="31" t="s">
        <v>15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5">
        <f>9054/1000</f>
        <v>9.0540000000000003</v>
      </c>
      <c r="M44" s="8"/>
      <c r="N44" s="8"/>
      <c r="O44" s="8"/>
      <c r="P44" s="8"/>
      <c r="Q44" s="8"/>
    </row>
    <row r="45" spans="1:17" x14ac:dyDescent="0.2">
      <c r="A45" s="31" t="s">
        <v>16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25">
        <f>9054/1000</f>
        <v>9.0540000000000003</v>
      </c>
      <c r="M45" s="8"/>
      <c r="N45" s="8"/>
      <c r="O45" s="8"/>
      <c r="P45" s="8"/>
      <c r="Q45" s="8"/>
    </row>
    <row r="46" spans="1:17" x14ac:dyDescent="0.2">
      <c r="A46" s="31" t="s">
        <v>36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25">
        <f>32957/1000</f>
        <v>32.957000000000001</v>
      </c>
      <c r="M46" s="8"/>
      <c r="N46" s="8"/>
      <c r="O46" s="8"/>
      <c r="P46" s="8"/>
      <c r="Q46" s="8"/>
    </row>
    <row r="47" spans="1:17" x14ac:dyDescent="0.2">
      <c r="A47" s="31" t="s">
        <v>17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5"/>
      <c r="M47" s="8"/>
      <c r="N47" s="8"/>
      <c r="O47" s="8"/>
      <c r="P47" s="8"/>
      <c r="Q47" s="8"/>
    </row>
    <row r="48" spans="1:17" ht="15.95" customHeight="1" x14ac:dyDescent="0.2">
      <c r="A48" s="35" t="s">
        <v>29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0">
        <f>32957/1000</f>
        <v>32.957000000000001</v>
      </c>
      <c r="M48" s="8"/>
      <c r="N48" s="8"/>
      <c r="O48" s="8"/>
      <c r="P48" s="8"/>
      <c r="Q48" s="8"/>
    </row>
    <row r="49" spans="1:17" x14ac:dyDescent="0.2">
      <c r="A49" s="39" t="s">
        <v>48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40">
        <f>L21+L32+L46</f>
        <v>150.624</v>
      </c>
      <c r="M49" s="8"/>
      <c r="N49" s="8"/>
      <c r="O49" s="8"/>
      <c r="P49" s="8"/>
      <c r="Q49" s="8"/>
    </row>
    <row r="50" spans="1:17" x14ac:dyDescent="0.2">
      <c r="A50" s="39" t="s">
        <v>54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40">
        <f>ROUND(L49*1.08,3)</f>
        <v>162.67400000000001</v>
      </c>
      <c r="M50" s="8"/>
      <c r="N50" s="8"/>
      <c r="O50" s="8"/>
      <c r="P50" s="8"/>
      <c r="Q50" s="8"/>
    </row>
    <row r="51" spans="1:17" ht="15.95" customHeight="1" x14ac:dyDescent="0.2">
      <c r="A51" s="39" t="s">
        <v>30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40">
        <f>ROUND(L50*18%,3)</f>
        <v>29.280999999999999</v>
      </c>
      <c r="M51" s="8"/>
      <c r="N51" s="8"/>
      <c r="O51" s="8"/>
      <c r="P51" s="8"/>
      <c r="Q51" s="8"/>
    </row>
    <row r="52" spans="1:17" ht="15.75" x14ac:dyDescent="0.2">
      <c r="A52" s="41" t="s">
        <v>31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42">
        <f>L50+L51</f>
        <v>191.95500000000001</v>
      </c>
      <c r="M52" s="8"/>
      <c r="N52" s="8"/>
      <c r="O52" s="8"/>
      <c r="P52" s="8"/>
      <c r="Q52" s="8"/>
    </row>
  </sheetData>
  <mergeCells count="38">
    <mergeCell ref="A50:K50"/>
    <mergeCell ref="A51:K51"/>
    <mergeCell ref="A52:K52"/>
    <mergeCell ref="A48:K48"/>
    <mergeCell ref="A49:K49"/>
    <mergeCell ref="A42:K42"/>
    <mergeCell ref="A43:K43"/>
    <mergeCell ref="A44:K44"/>
    <mergeCell ref="A45:K45"/>
    <mergeCell ref="A46:K46"/>
    <mergeCell ref="A47:K47"/>
    <mergeCell ref="A33:K33"/>
    <mergeCell ref="A34:K34"/>
    <mergeCell ref="A35:L35"/>
    <mergeCell ref="A36:L36"/>
    <mergeCell ref="A38:L38"/>
    <mergeCell ref="A40:L40"/>
    <mergeCell ref="A24:L24"/>
    <mergeCell ref="A28:K28"/>
    <mergeCell ref="A29:K29"/>
    <mergeCell ref="A30:K30"/>
    <mergeCell ref="A31:K31"/>
    <mergeCell ref="A32:K32"/>
    <mergeCell ref="A18:K18"/>
    <mergeCell ref="A19:K19"/>
    <mergeCell ref="A20:K20"/>
    <mergeCell ref="A21:K21"/>
    <mergeCell ref="A22:K22"/>
    <mergeCell ref="A23:K23"/>
    <mergeCell ref="A1:D1"/>
    <mergeCell ref="A3:L3"/>
    <mergeCell ref="A4:L4"/>
    <mergeCell ref="A7:L7"/>
    <mergeCell ref="C11:L11"/>
    <mergeCell ref="C9:L9"/>
    <mergeCell ref="A2:D2"/>
    <mergeCell ref="A15:L15"/>
    <mergeCell ref="A17:K17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66" fitToHeight="30000" orientation="portrait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Лист1.CollapseRows">
                <anchor moveWithCells="1" sizeWithCells="1">
                  <from>
                    <xdr:col>1</xdr:col>
                    <xdr:colOff>95250</xdr:colOff>
                    <xdr:row>12</xdr:row>
                    <xdr:rowOff>1104900</xdr:rowOff>
                  </from>
                  <to>
                    <xdr:col>1</xdr:col>
                    <xdr:colOff>1209675</xdr:colOff>
                    <xdr:row>12</xdr:row>
                    <xdr:rowOff>1352550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СЭМ</dc:creator>
  <dc:description>27.04.2009</dc:description>
  <cp:lastModifiedBy>СЭМ</cp:lastModifiedBy>
  <cp:lastPrinted>2009-02-02T07:59:09Z</cp:lastPrinted>
  <dcterms:created xsi:type="dcterms:W3CDTF">2007-02-21T08:42:24Z</dcterms:created>
  <dcterms:modified xsi:type="dcterms:W3CDTF">2014-01-21T05:02:48Z</dcterms:modified>
</cp:coreProperties>
</file>