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M5" i="1" l="1"/>
  <c r="Y7" i="1"/>
  <c r="Y6" i="1"/>
  <c r="Y5" i="1"/>
  <c r="W6" i="1"/>
  <c r="X6" i="1" s="1"/>
  <c r="W7" i="1"/>
  <c r="X7" i="1" s="1"/>
  <c r="W5" i="1"/>
  <c r="Q6" i="1"/>
  <c r="Q7" i="1"/>
  <c r="R7" i="1" s="1"/>
  <c r="Q5" i="1"/>
  <c r="K6" i="1"/>
  <c r="K7" i="1"/>
  <c r="K5" i="1"/>
  <c r="X5" i="1"/>
  <c r="R6" i="1"/>
  <c r="R5" i="1"/>
  <c r="L6" i="1"/>
  <c r="L7" i="1"/>
  <c r="L5" i="1"/>
  <c r="J7" i="1"/>
  <c r="J6" i="1"/>
  <c r="J5" i="1"/>
  <c r="P7" i="1"/>
  <c r="P6" i="1"/>
  <c r="P5" i="1"/>
  <c r="V6" i="1"/>
  <c r="V7" i="1"/>
  <c r="V5" i="1"/>
  <c r="U7" i="1"/>
  <c r="U6" i="1"/>
  <c r="U5" i="1"/>
  <c r="O7" i="1"/>
  <c r="O6" i="1"/>
  <c r="O5" i="1"/>
  <c r="I6" i="1"/>
  <c r="I7" i="1"/>
  <c r="I5" i="1"/>
  <c r="T7" i="1"/>
  <c r="T6" i="1"/>
  <c r="T5" i="1"/>
  <c r="N7" i="1"/>
  <c r="N6" i="1"/>
  <c r="N5" i="1"/>
  <c r="H6" i="1"/>
  <c r="H7" i="1"/>
  <c r="H5" i="1"/>
  <c r="M7" i="1"/>
  <c r="M6" i="1"/>
  <c r="S7" i="1"/>
  <c r="S6" i="1"/>
  <c r="S5" i="1"/>
  <c r="G7" i="1"/>
  <c r="G6" i="1"/>
  <c r="G5" i="1"/>
  <c r="F5" i="1"/>
</calcChain>
</file>

<file path=xl/sharedStrings.xml><?xml version="1.0" encoding="utf-8"?>
<sst xmlns="http://schemas.openxmlformats.org/spreadsheetml/2006/main" count="45" uniqueCount="25">
  <si>
    <t>№ п/п</t>
  </si>
  <si>
    <t>Наименование оборудования</t>
  </si>
  <si>
    <t>Тип, марка</t>
  </si>
  <si>
    <t>Завод изготовитель</t>
  </si>
  <si>
    <t>Кол-во</t>
  </si>
  <si>
    <t>Ед. из.</t>
  </si>
  <si>
    <t>Цена без НДС</t>
  </si>
  <si>
    <t>НДС 18%</t>
  </si>
  <si>
    <t>Транспортные расходы 3%</t>
  </si>
  <si>
    <t>Заготовительно-складские расходы 1,2%</t>
  </si>
  <si>
    <t>Расходы на тару и упаковку 1,5%</t>
  </si>
  <si>
    <t>Цена принятая в сметной стоимости</t>
  </si>
  <si>
    <t>Обоснование</t>
  </si>
  <si>
    <t>Минимальная стоимость</t>
  </si>
  <si>
    <t>Конъюктурный анализ стоимости электроприводов</t>
  </si>
  <si>
    <t>ООО "ГЗ ЭЛЕКТРОПРИВОД"</t>
  </si>
  <si>
    <t>шт.</t>
  </si>
  <si>
    <t>Электропривод  взрывозащищенное исполнение</t>
  </si>
  <si>
    <t>ГЗ ВВ.900/36</t>
  </si>
  <si>
    <t>ГЗ ВБ.300/36</t>
  </si>
  <si>
    <t>ГЗ ВГ.2500/36</t>
  </si>
  <si>
    <t xml:space="preserve"> ООО "Прозводственно-Комерческая Фирма" ТРОЙКА"</t>
  </si>
  <si>
    <t>Итого с НДС</t>
  </si>
  <si>
    <t>ООО "Северная Арматура"</t>
  </si>
  <si>
    <t>ООО "Техарматура"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</si>
</sst>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/>
    </xf>
    <xf numFmtId="43" fontId="2" fillId="0" borderId="1" xfId="1" applyNumberFormat="1" applyFont="1" applyBorder="1" applyAlignment="1">
      <alignment horizontal="center" vertical="center"/>
    </xf>
    <xf numFmtId="43" fontId="3" fillId="0" borderId="1" xfId="1" applyNumberFormat="1" applyFont="1" applyBorder="1" applyAlignment="1">
      <alignment horizontal="center" vertical="center"/>
    </xf>
    <xf numFmtId="43" fontId="4" fillId="0" borderId="1" xfId="1" applyNumberFormat="1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"/>
  <sheetViews>
    <sheetView tabSelected="1" topLeftCell="E1" zoomScale="85" zoomScaleNormal="85" workbookViewId="0">
      <selection activeCell="U25" sqref="U25"/>
    </sheetView>
  </sheetViews>
  <sheetFormatPr defaultRowHeight="15" x14ac:dyDescent="0.25"/>
  <cols>
    <col min="1" max="1" width="4.85546875" style="4" customWidth="1"/>
    <col min="2" max="2" width="27.42578125" style="4" customWidth="1"/>
    <col min="3" max="3" width="14.85546875" style="4" customWidth="1"/>
    <col min="4" max="4" width="29.7109375" style="4" customWidth="1"/>
    <col min="5" max="6" width="9.140625" style="4"/>
    <col min="7" max="7" width="15.42578125" style="4" customWidth="1"/>
    <col min="8" max="8" width="15.140625" style="4" customWidth="1"/>
    <col min="9" max="9" width="15.28515625" style="4" customWidth="1"/>
    <col min="10" max="10" width="11.7109375" style="4" customWidth="1"/>
    <col min="11" max="12" width="13.140625" style="4" bestFit="1" customWidth="1"/>
    <col min="13" max="13" width="15.28515625" style="4" customWidth="1"/>
    <col min="14" max="14" width="13.7109375" style="4" customWidth="1"/>
    <col min="15" max="15" width="15" style="4" customWidth="1"/>
    <col min="16" max="16" width="11" style="4" customWidth="1"/>
    <col min="17" max="17" width="14.140625" style="4" customWidth="1"/>
    <col min="18" max="18" width="13.140625" style="4" bestFit="1" customWidth="1"/>
    <col min="19" max="19" width="14.5703125" style="4" customWidth="1"/>
    <col min="20" max="20" width="12.42578125" style="4" customWidth="1"/>
    <col min="21" max="21" width="15.5703125" style="4" customWidth="1"/>
    <col min="22" max="22" width="12.7109375" style="4" customWidth="1"/>
    <col min="23" max="23" width="14.42578125" style="4" customWidth="1"/>
    <col min="24" max="24" width="15.140625" style="4" customWidth="1"/>
    <col min="25" max="25" width="14.85546875" style="4" customWidth="1"/>
    <col min="26" max="26" width="26.85546875" style="4" customWidth="1"/>
    <col min="27" max="28" width="9.140625" style="4"/>
    <col min="29" max="16384" width="9.140625" style="1"/>
  </cols>
  <sheetData>
    <row r="1" spans="1:26" x14ac:dyDescent="0.25">
      <c r="A1" s="10" t="s">
        <v>14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3" spans="1:26" ht="27" customHeight="1" x14ac:dyDescent="0.25">
      <c r="A3" s="8" t="s">
        <v>0</v>
      </c>
      <c r="B3" s="6" t="s">
        <v>1</v>
      </c>
      <c r="C3" s="6" t="s">
        <v>2</v>
      </c>
      <c r="D3" s="6" t="s">
        <v>3</v>
      </c>
      <c r="E3" s="6" t="s">
        <v>5</v>
      </c>
      <c r="F3" s="6" t="s">
        <v>4</v>
      </c>
      <c r="G3" s="11" t="s">
        <v>21</v>
      </c>
      <c r="H3" s="12"/>
      <c r="I3" s="12"/>
      <c r="J3" s="12"/>
      <c r="K3" s="12"/>
      <c r="L3" s="13"/>
      <c r="M3" s="5" t="s">
        <v>24</v>
      </c>
      <c r="N3" s="5"/>
      <c r="O3" s="5"/>
      <c r="P3" s="5"/>
      <c r="Q3" s="5"/>
      <c r="R3" s="5"/>
      <c r="S3" s="5" t="s">
        <v>23</v>
      </c>
      <c r="T3" s="5"/>
      <c r="U3" s="5"/>
      <c r="V3" s="5"/>
      <c r="W3" s="5"/>
      <c r="X3" s="5"/>
      <c r="Y3" s="8" t="s">
        <v>11</v>
      </c>
      <c r="Z3" s="6" t="s">
        <v>12</v>
      </c>
    </row>
    <row r="4" spans="1:26" ht="75" customHeight="1" x14ac:dyDescent="0.25">
      <c r="A4" s="9"/>
      <c r="B4" s="7"/>
      <c r="C4" s="7"/>
      <c r="D4" s="7"/>
      <c r="E4" s="7"/>
      <c r="F4" s="7"/>
      <c r="G4" s="3" t="s">
        <v>6</v>
      </c>
      <c r="H4" s="2" t="s">
        <v>8</v>
      </c>
      <c r="I4" s="2" t="s">
        <v>9</v>
      </c>
      <c r="J4" s="2" t="s">
        <v>10</v>
      </c>
      <c r="K4" s="3" t="s">
        <v>7</v>
      </c>
      <c r="L4" s="2" t="s">
        <v>22</v>
      </c>
      <c r="M4" s="3" t="s">
        <v>6</v>
      </c>
      <c r="N4" s="2" t="s">
        <v>8</v>
      </c>
      <c r="O4" s="2" t="s">
        <v>9</v>
      </c>
      <c r="P4" s="2" t="s">
        <v>10</v>
      </c>
      <c r="Q4" s="3" t="s">
        <v>7</v>
      </c>
      <c r="R4" s="2" t="s">
        <v>22</v>
      </c>
      <c r="S4" s="3" t="s">
        <v>6</v>
      </c>
      <c r="T4" s="2" t="s">
        <v>8</v>
      </c>
      <c r="U4" s="2" t="s">
        <v>9</v>
      </c>
      <c r="V4" s="2" t="s">
        <v>10</v>
      </c>
      <c r="W4" s="3" t="s">
        <v>7</v>
      </c>
      <c r="X4" s="2" t="s">
        <v>22</v>
      </c>
      <c r="Y4" s="9"/>
      <c r="Z4" s="7"/>
    </row>
    <row r="5" spans="1:26" ht="45" x14ac:dyDescent="0.25">
      <c r="A5" s="3">
        <v>1</v>
      </c>
      <c r="B5" s="2" t="s">
        <v>17</v>
      </c>
      <c r="C5" s="3" t="s">
        <v>18</v>
      </c>
      <c r="D5" s="3" t="s">
        <v>15</v>
      </c>
      <c r="E5" s="3" t="s">
        <v>16</v>
      </c>
      <c r="F5" s="3">
        <f>2+2+4</f>
        <v>8</v>
      </c>
      <c r="G5" s="14">
        <f>121566.5/1.18</f>
        <v>103022.45762711865</v>
      </c>
      <c r="H5" s="15">
        <f>G5*0.03</f>
        <v>3090.6737288135596</v>
      </c>
      <c r="I5" s="15">
        <f>G5*0.012</f>
        <v>1236.2694915254237</v>
      </c>
      <c r="J5" s="15">
        <f>G5*0.015</f>
        <v>1545.3368644067798</v>
      </c>
      <c r="K5" s="15">
        <f>G5*0.18</f>
        <v>18544.042372881358</v>
      </c>
      <c r="L5" s="15">
        <f>SUM(G5:K5)</f>
        <v>127438.78008474578</v>
      </c>
      <c r="M5" s="15">
        <f>118980.95/1.18</f>
        <v>100831.31355932204</v>
      </c>
      <c r="N5" s="15">
        <f>M5*0.03</f>
        <v>3024.9394067796611</v>
      </c>
      <c r="O5" s="15">
        <f>M5*0.012</f>
        <v>1209.9757627118645</v>
      </c>
      <c r="P5" s="15">
        <f>M5*0.015</f>
        <v>1512.4697033898306</v>
      </c>
      <c r="Q5" s="15">
        <f>M5*0.18</f>
        <v>18149.636440677965</v>
      </c>
      <c r="R5" s="15">
        <f>SUM(M5:Q5)</f>
        <v>124728.33487288136</v>
      </c>
      <c r="S5" s="16">
        <f>116050/1.18</f>
        <v>98347.457627118652</v>
      </c>
      <c r="T5" s="16">
        <f>S5*0.03</f>
        <v>2950.4237288135596</v>
      </c>
      <c r="U5" s="16">
        <f>S5*0.012</f>
        <v>1180.1694915254238</v>
      </c>
      <c r="V5" s="16">
        <f>S5*0.015</f>
        <v>1475.2118644067798</v>
      </c>
      <c r="W5" s="16">
        <f>S5*0.18</f>
        <v>17702.542372881358</v>
      </c>
      <c r="X5" s="16">
        <f>SUM(S5:W5)</f>
        <v>121655.80508474578</v>
      </c>
      <c r="Y5" s="17">
        <f>X5</f>
        <v>121655.80508474578</v>
      </c>
      <c r="Z5" s="3" t="s">
        <v>13</v>
      </c>
    </row>
    <row r="6" spans="1:26" ht="45" x14ac:dyDescent="0.25">
      <c r="A6" s="3">
        <v>2</v>
      </c>
      <c r="B6" s="2" t="s">
        <v>17</v>
      </c>
      <c r="C6" s="3" t="s">
        <v>19</v>
      </c>
      <c r="D6" s="3" t="s">
        <v>15</v>
      </c>
      <c r="E6" s="3" t="s">
        <v>16</v>
      </c>
      <c r="F6" s="3">
        <v>1</v>
      </c>
      <c r="G6" s="14">
        <f>65906.5/1.18</f>
        <v>55852.966101694918</v>
      </c>
      <c r="H6" s="15">
        <f t="shared" ref="H6:H7" si="0">G6*0.03</f>
        <v>1675.5889830508474</v>
      </c>
      <c r="I6" s="15">
        <f t="shared" ref="I6:I7" si="1">G6*0.012</f>
        <v>670.23559322033907</v>
      </c>
      <c r="J6" s="15">
        <f t="shared" ref="J6:J7" si="2">G6*0.015</f>
        <v>837.79449152542372</v>
      </c>
      <c r="K6" s="15">
        <f t="shared" ref="K6:K7" si="3">G6*0.18</f>
        <v>10053.533898305084</v>
      </c>
      <c r="L6" s="15">
        <f t="shared" ref="L6:L7" si="4">SUM(G6:K6)</f>
        <v>69090.119067796608</v>
      </c>
      <c r="M6" s="15">
        <f>64504.76/1.18</f>
        <v>54665.050847457635</v>
      </c>
      <c r="N6" s="15">
        <f t="shared" ref="N6:N7" si="5">M6*0.03</f>
        <v>1639.951525423729</v>
      </c>
      <c r="O6" s="15">
        <f t="shared" ref="O6:O7" si="6">M6*0.012</f>
        <v>655.98061016949168</v>
      </c>
      <c r="P6" s="15">
        <f t="shared" ref="P6:P7" si="7">M6*0.015</f>
        <v>819.97576271186449</v>
      </c>
      <c r="Q6" s="15">
        <f t="shared" ref="Q6:Q7" si="8">M6*0.18</f>
        <v>9839.709152542373</v>
      </c>
      <c r="R6" s="15">
        <f t="shared" ref="R6:R7" si="9">SUM(M6:Q6)</f>
        <v>67620.667898305095</v>
      </c>
      <c r="S6" s="16">
        <f>62910/1.18</f>
        <v>53313.5593220339</v>
      </c>
      <c r="T6" s="16">
        <f t="shared" ref="T6:T7" si="10">S6*0.03</f>
        <v>1599.406779661017</v>
      </c>
      <c r="U6" s="16">
        <f t="shared" ref="U6:U7" si="11">S6*0.012</f>
        <v>639.76271186440681</v>
      </c>
      <c r="V6" s="16">
        <f t="shared" ref="V6:V7" si="12">S6*0.015</f>
        <v>799.70338983050851</v>
      </c>
      <c r="W6" s="16">
        <f t="shared" ref="W6:W7" si="13">S6*0.18</f>
        <v>9596.4406779661022</v>
      </c>
      <c r="X6" s="16">
        <f t="shared" ref="X6:X7" si="14">SUM(S6:W6)</f>
        <v>65948.872881355943</v>
      </c>
      <c r="Y6" s="17">
        <f>X6</f>
        <v>65948.872881355943</v>
      </c>
      <c r="Z6" s="3" t="s">
        <v>13</v>
      </c>
    </row>
    <row r="7" spans="1:26" ht="45" x14ac:dyDescent="0.25">
      <c r="A7" s="3">
        <v>3</v>
      </c>
      <c r="B7" s="2" t="s">
        <v>17</v>
      </c>
      <c r="C7" s="3" t="s">
        <v>20</v>
      </c>
      <c r="D7" s="3" t="s">
        <v>15</v>
      </c>
      <c r="E7" s="3" t="s">
        <v>16</v>
      </c>
      <c r="F7" s="3">
        <v>3</v>
      </c>
      <c r="G7" s="14">
        <f>165715/1.18</f>
        <v>140436.44067796611</v>
      </c>
      <c r="H7" s="15">
        <f t="shared" si="0"/>
        <v>4213.093220338983</v>
      </c>
      <c r="I7" s="15">
        <f t="shared" si="1"/>
        <v>1685.2372881355934</v>
      </c>
      <c r="J7" s="15">
        <f t="shared" si="2"/>
        <v>2106.5466101694915</v>
      </c>
      <c r="K7" s="15">
        <f t="shared" si="3"/>
        <v>25278.5593220339</v>
      </c>
      <c r="L7" s="15">
        <f t="shared" si="4"/>
        <v>173719.87711864407</v>
      </c>
      <c r="M7" s="15">
        <f>162190.48/1.18</f>
        <v>137449.55932203392</v>
      </c>
      <c r="N7" s="15">
        <f t="shared" si="5"/>
        <v>4123.4867796610179</v>
      </c>
      <c r="O7" s="15">
        <f t="shared" si="6"/>
        <v>1649.3947118644071</v>
      </c>
      <c r="P7" s="15">
        <f t="shared" si="7"/>
        <v>2061.7433898305089</v>
      </c>
      <c r="Q7" s="15">
        <f t="shared" si="8"/>
        <v>24740.920677966104</v>
      </c>
      <c r="R7" s="15">
        <f t="shared" si="9"/>
        <v>170025.10488135595</v>
      </c>
      <c r="S7" s="16">
        <f>158120/1.18</f>
        <v>134000</v>
      </c>
      <c r="T7" s="16">
        <f t="shared" si="10"/>
        <v>4020</v>
      </c>
      <c r="U7" s="16">
        <f t="shared" si="11"/>
        <v>1608</v>
      </c>
      <c r="V7" s="16">
        <f t="shared" si="12"/>
        <v>2010</v>
      </c>
      <c r="W7" s="16">
        <f t="shared" si="13"/>
        <v>24120</v>
      </c>
      <c r="X7" s="16">
        <f t="shared" si="14"/>
        <v>165758</v>
      </c>
      <c r="Y7" s="17">
        <f>X7</f>
        <v>165758</v>
      </c>
      <c r="Z7" s="3" t="s">
        <v>13</v>
      </c>
    </row>
  </sheetData>
  <mergeCells count="12">
    <mergeCell ref="Z3:Z4"/>
    <mergeCell ref="A1:Z1"/>
    <mergeCell ref="A3:A4"/>
    <mergeCell ref="G3:L3"/>
    <mergeCell ref="M3:R3"/>
    <mergeCell ref="S3:X3"/>
    <mergeCell ref="Y3:Y4"/>
    <mergeCell ref="F3:F4"/>
    <mergeCell ref="E3:E4"/>
    <mergeCell ref="D3:D4"/>
    <mergeCell ref="C3:C4"/>
    <mergeCell ref="B3:B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2015-02-20T21:34:40Z</dcterms:modified>
</cp:coreProperties>
</file>