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5" yWindow="5940" windowWidth="15480" windowHeight="5775"/>
  </bookViews>
  <sheets>
    <sheet name="Мои данные" sheetId="1" r:id="rId1"/>
  </sheets>
  <definedNames>
    <definedName name="_xlnm.Print_Titles" localSheetId="0">'Мои данные'!$14:$14</definedName>
    <definedName name="_xlnm.Print_Area" localSheetId="0">'Мои данные'!$A$1:$L$75</definedName>
  </definedNames>
  <calcPr calcId="145621" fullCalcOnLoad="1" refMode="R1C1"/>
</workbook>
</file>

<file path=xl/calcChain.xml><?xml version="1.0" encoding="utf-8"?>
<calcChain xmlns="http://schemas.openxmlformats.org/spreadsheetml/2006/main">
  <c r="L60" i="1" l="1"/>
  <c r="L62" i="1"/>
  <c r="L63" i="1"/>
  <c r="L64" i="1"/>
  <c r="L65" i="1"/>
  <c r="L66" i="1"/>
  <c r="L54" i="1"/>
  <c r="L56" i="1"/>
  <c r="L57" i="1"/>
  <c r="L58" i="1"/>
  <c r="L59" i="1"/>
  <c r="L46" i="1"/>
  <c r="L48" i="1"/>
  <c r="L49" i="1"/>
  <c r="L50" i="1"/>
  <c r="L51" i="1"/>
  <c r="L36" i="1"/>
  <c r="L38" i="1"/>
  <c r="L39" i="1"/>
  <c r="L40" i="1"/>
  <c r="L41" i="1"/>
  <c r="L26" i="1"/>
  <c r="L28" i="1"/>
  <c r="L29" i="1"/>
  <c r="L30" i="1"/>
  <c r="L31" i="1"/>
  <c r="L17" i="1"/>
  <c r="L19" i="1"/>
  <c r="L20" i="1"/>
  <c r="L21" i="1"/>
  <c r="L22" i="1"/>
  <c r="F53" i="1"/>
  <c r="F45" i="1"/>
  <c r="F43" i="1"/>
  <c r="F44" i="1"/>
  <c r="F33" i="1"/>
  <c r="F35" i="1"/>
  <c r="F34" i="1"/>
  <c r="F24" i="1"/>
  <c r="F25" i="1"/>
  <c r="F16" i="1"/>
</calcChain>
</file>

<file path=xl/comments1.xml><?xml version="1.0" encoding="utf-8"?>
<comments xmlns="http://schemas.openxmlformats.org/spreadsheetml/2006/main">
  <authors>
    <author>Сергей</author>
    <author>Alex</author>
    <author>Alex Sosedko</author>
  </authors>
  <commentList>
    <comment ref="A2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A3" authorId="0">
      <text>
        <r>
          <rPr>
            <sz val="8"/>
            <color indexed="81"/>
            <rFont val="Tahoma"/>
            <family val="2"/>
            <charset val="204"/>
          </rPr>
          <t xml:space="preserve"> &lt;Индекс/ЛН расчета&gt;</t>
        </r>
      </text>
    </comment>
    <comment ref="A7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стройки&gt;, &lt;Наименование объекта&gt;, &lt;Наименование сметы&gt;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A14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B14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(текстовая часть) расценки&gt;</t>
        </r>
      </text>
    </comment>
    <comment ref="C14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&lt;Комментарии из базы данных к расценке&gt;
Примечание: &lt;Примечание&gt;</t>
        </r>
      </text>
    </comment>
    <comment ref="D14" authorId="0">
      <text>
        <r>
          <rPr>
            <sz val="8"/>
            <color indexed="81"/>
            <rFont val="Tahoma"/>
            <family val="2"/>
            <charset val="204"/>
          </rPr>
          <t xml:space="preserve"> =IF(INDIRECT("H"&amp;ROW())="",INDIRECT("E"&amp;ROW()),"("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"&amp;INDIRECT("G"&amp;ROW()))&lt;Пустой идентификатор&gt;</t>
        </r>
      </text>
    </comment>
    <comment ref="E14" authorId="0">
      <text>
        <r>
          <rPr>
            <sz val="8"/>
            <color indexed="81"/>
            <rFont val="Tahoma"/>
            <family val="2"/>
            <charset val="204"/>
          </rPr>
          <t xml:space="preserve"> &lt;Количество всего (физ. объем) по позиции&gt;</t>
        </r>
      </text>
    </comment>
    <comment ref="F14" authorId="0">
      <text>
        <r>
          <rPr>
            <sz val="8"/>
            <color indexed="81"/>
            <rFont val="Tahoma"/>
            <family val="2"/>
            <charset val="204"/>
          </rPr>
          <t xml:space="preserve"> =IF(INDIRECT("J" &amp; ROW())="текущие цены", IF(INDIRECT("G" &amp; ROW())="", "&lt;ПЗ по позиции на единицу в текущих ценах с учетом всех к-тов&gt;", "&lt;ПЗ по позиции на единицу в текущих ценах&gt;"), IF(INDIRECT("G" &amp; ROW())="", "&lt;ПЗ по позиции на единицу в базисных ценах с учетом всех к-тов&gt;","&lt;ПЗ по позиции на единицу в базисных ценах&gt;")) </t>
        </r>
      </text>
    </comment>
    <comment ref="G14" authorId="0">
      <text>
        <r>
          <rPr>
            <sz val="8"/>
            <color indexed="81"/>
            <rFont val="Tahoma"/>
            <family val="2"/>
            <charset val="204"/>
          </rPr>
          <t xml:space="preserve"> &lt;К-т к позиции на прямые затраты&gt;</t>
        </r>
      </text>
    </comment>
    <comment ref="H14" authorId="0">
      <text>
        <r>
          <rPr>
            <sz val="8"/>
            <color indexed="81"/>
            <rFont val="Tahoma"/>
            <family val="2"/>
            <charset val="204"/>
          </rPr>
          <t xml:space="preserve"> &lt;Формула расчета физ. объема&gt;</t>
        </r>
      </text>
    </comment>
    <comment ref="I14" authorId="0">
      <text>
        <r>
          <rPr>
            <sz val="8"/>
            <color indexed="81"/>
            <rFont val="Tahoma"/>
            <family val="2"/>
            <charset val="204"/>
          </rPr>
          <t xml:space="preserve"> &lt;Формула расчета стоимости единицы&gt;</t>
        </r>
      </text>
    </comment>
    <comment ref="J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&lt;Уровень цен позиции&gt;</t>
        </r>
      </text>
    </comment>
    <comment ref="K14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коэффициентов&gt;</t>
        </r>
      </text>
    </comment>
    <comment ref="L1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=IF(INDIRECT("J" &amp; ROW())="текущие цены", &lt;ИТОГО ПЗ по позиции в текущих ценах&gt;/1000, &lt;ИТОГО ПЗ по позиции для БИМ&gt;/1000) 
</t>
        </r>
      </text>
    </comment>
    <comment ref="A60" authorId="0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L60" authorId="0">
      <text>
        <r>
          <rPr>
            <sz val="8"/>
            <color indexed="81"/>
            <rFont val="Tahoma"/>
            <family val="2"/>
            <charset val="204"/>
          </rPr>
          <t xml:space="preserve"> =&lt;Прямые затраты (итоги)&gt;/1000</t>
        </r>
      </text>
    </comment>
    <comment ref="C71" authorId="0">
      <text>
        <r>
          <rPr>
            <sz val="8"/>
            <color indexed="81"/>
            <rFont val="Tahoma"/>
            <family val="2"/>
            <charset val="204"/>
          </rPr>
          <t xml:space="preserve"> &lt;Проверил&gt;</t>
        </r>
      </text>
    </comment>
    <comment ref="C7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&lt;Составил&gt;</t>
        </r>
      </text>
    </comment>
    <comment ref="A7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&lt;Комментарии к смете&gt;</t>
        </r>
      </text>
    </comment>
  </commentList>
</comments>
</file>

<file path=xl/sharedStrings.xml><?xml version="1.0" encoding="utf-8"?>
<sst xmlns="http://schemas.openxmlformats.org/spreadsheetml/2006/main" count="111" uniqueCount="72">
  <si>
    <t>№ пп</t>
  </si>
  <si>
    <t>на проектные (изыскательские)  работы</t>
  </si>
  <si>
    <t>Наименование проектной (изыскательской) организации</t>
  </si>
  <si>
    <t>Наименование организации заказчика</t>
  </si>
  <si>
    <t xml:space="preserve">Главный инженер проекта </t>
  </si>
  <si>
    <t xml:space="preserve">Составитель сметы </t>
  </si>
  <si>
    <t xml:space="preserve">СМЕТА № </t>
  </si>
  <si>
    <t>Форма 2пс</t>
  </si>
  <si>
    <t>Характеристика предприятия,
здания, сооружения или вид работ</t>
  </si>
  <si>
    <t>Номер частей, глав, таблиц,
параграфов и пунктов указаний к
разделу справочника базовых цен
на проектные и изыскательские
работы для строителей</t>
  </si>
  <si>
    <t>Расчет стоимости: (a+bx)*Kj или
(стоимость
строительно-монтажных
работ)*проц./ 100 или количество * цена</t>
  </si>
  <si>
    <t>Стоимость работ</t>
  </si>
  <si>
    <t>тыс.руб</t>
  </si>
  <si>
    <t xml:space="preserve">Приложение к Договору № </t>
  </si>
  <si>
    <t>Воздушные линии напряжением 3-20 кВ, длиной: от 0,015 до 1 км</t>
  </si>
  <si>
    <t>цены 2001</t>
  </si>
  <si>
    <t>Итоги по разделу 1 ВЛ-6кВ :</t>
  </si>
  <si>
    <t xml:space="preserve">  Проектные работы</t>
  </si>
  <si>
    <t xml:space="preserve">  Итого</t>
  </si>
  <si>
    <t xml:space="preserve">  Итого по разделу 1 ВЛ-6кВ</t>
  </si>
  <si>
    <t>Воздушные линии напряжением до 1 кВ, длиной: свыше 1 до 5 км</t>
  </si>
  <si>
    <t>Воздушные линии напряжением до 1 кВ, длиной: свыше 1 до 5 км (Вторая линия)</t>
  </si>
  <si>
    <t>Итоги по разделу 2 ВЛ-0,4кВ :</t>
  </si>
  <si>
    <t xml:space="preserve">  Итого по разделу 2 ВЛ-0,4кВ</t>
  </si>
  <si>
    <t>Кабельные линии напряжением до 35 кВ с интервалами протяженности: свыше 100 до 500 м</t>
  </si>
  <si>
    <t>1,2*1,05</t>
  </si>
  <si>
    <t>Канализация, прокладываемая методом горизонтального направленного бурения, протяженностью: от 100 до 1000 м</t>
  </si>
  <si>
    <t>1,05*1,2*1,1</t>
  </si>
  <si>
    <t>1,05*1,2*1,1*0,15</t>
  </si>
  <si>
    <t>Итоги по разделу 3 КЛ-6кВ :</t>
  </si>
  <si>
    <t xml:space="preserve">  Итого по разделу 3 КЛ-6кВ</t>
  </si>
  <si>
    <t>Кабельные линии напряжением до 35 кВ с интервалами протяженности: свыше 500 до 1000 м</t>
  </si>
  <si>
    <t>Итоги по разделу 4 КЛ-0,4кВ :</t>
  </si>
  <si>
    <t xml:space="preserve">  Итого по разделу 4 КЛ-0,4кВ</t>
  </si>
  <si>
    <t>Трансформаторные подстанции напряжением 6-20/0,4 кВ: закрытая двухтрансформаторная с распределительным устройством высокого напряжения, мощностью до 400 кВ•А и количеством ячеек до 6</t>
  </si>
  <si>
    <t>Итоги по разделу 5 ТП-6/0,4кВ :</t>
  </si>
  <si>
    <t xml:space="preserve">  Итого по разделу 5 ТП-6/0,4кВ</t>
  </si>
  <si>
    <t>Итоги по смете:</t>
  </si>
  <si>
    <t xml:space="preserve">  НДС 18%</t>
  </si>
  <si>
    <t xml:space="preserve">  ВСЕГО по смете</t>
  </si>
  <si>
    <t>п.2.8.2.9 При проектировании подключения к существующим воздушным линиям дополнительных потребителей. до ПЗ=1.15;</t>
  </si>
  <si>
    <t>п.2.8.2.9 При проектировании двухцепных ВЛ и ВЛ 3-20 кВ с совместной подвеской ВЛ 0.38 кВ для второй цепи. до ПЗ=0.25;</t>
  </si>
  <si>
    <t>п.2.8.1.1 При проектировании электрических кабельных линий. проходящих по территории с коэффициентом застройки от 0.3 до 0.5. до ПЗ=1.2;
п.2.8.1.1 При наличии в зоне работ от 5 до 10 действующих или проектируемых коммуникаций. до ПЗ=1.05;</t>
  </si>
  <si>
    <t>п.2.4.8 При наличии в зоне работ от 5 до 10 действующих или проектируемых коммуникаций. до ПЗ=1.05;
п.2.4.8 При прокладке сетей канализации. проходящих по территории с коэффициентом застройки от 0.3 до 0.5 (до) ПЗ=1.2;
п.2.4.8 При проектировании городской канализации из «нежестких» труб (полиэтилен. полипропилен. стеклопластик. поливинилхлорид). требующих проверки на статическую устойчивость в период длительной эксплуатации. до ПЗ=1.1;</t>
  </si>
  <si>
    <t>п.2.4.8 При наличии в зоне работ от 5 до 10 действующих или проектируемых коммуникаций. до ПЗ=1.05;
п.2.4.8 При прокладке сетей канализации. проходящих по территории с коэффициентом застройки от 0.3 до 0.5 (до) ПЗ=1.2;
п.2.4.8 При проектировании городской канализации из «нежестких» труб (полиэтилен. полипропилен. стеклопластик. поливинилхлорид). требующих проверки на статическую устойчивость в период длительной эксплуатации. до ПЗ=1.1;
п.2.4.6 При параллельной прокладке сетей канализации с количеством линий 2 и более за каждую последующую линию ПЗ=0.15;</t>
  </si>
  <si>
    <t>п.2.8.7.1 Для однотрансформаторных подстанций и односекционных распределительных устройств. до ПЗ=0.5;</t>
  </si>
  <si>
    <t xml:space="preserve">                            ВЛ-6кВ</t>
  </si>
  <si>
    <t>(9090*1)*1,15</t>
  </si>
  <si>
    <t xml:space="preserve">  Всего с учетом Договор № 1090-п/12 от  16.07.2012 года 3,35</t>
  </si>
  <si>
    <t xml:space="preserve">                            ВЛ-0,4кВ</t>
  </si>
  <si>
    <t>3470*1+2680*1,162</t>
  </si>
  <si>
    <t>(3470*1+2680*0,939)*0,25</t>
  </si>
  <si>
    <t xml:space="preserve">                            КЛ-6кВ</t>
  </si>
  <si>
    <t>(7763*1+42*114)*1,2*1,05</t>
  </si>
  <si>
    <t>(47800*1+180*12)*1,05*1,2*1,1</t>
  </si>
  <si>
    <t>(47800*2+180*24)*1,05*1,2*1,1*0,15</t>
  </si>
  <si>
    <t xml:space="preserve">                            КЛ-0,4кВ</t>
  </si>
  <si>
    <t>(8265*1+41*554)*1,2*1,05</t>
  </si>
  <si>
    <t>(47800*1+180*22)*1,05*1,2*1,1</t>
  </si>
  <si>
    <t>(47800*2+180*44)*1,05*1,2*1,1*0,15</t>
  </si>
  <si>
    <t xml:space="preserve">                            ТП-6/0,4кВ</t>
  </si>
  <si>
    <t>(68380*1)*0,5</t>
  </si>
  <si>
    <r>
      <t xml:space="preserve">СБЦП06-18-7
</t>
    </r>
    <r>
      <rPr>
        <i/>
        <sz val="11"/>
        <rFont val="Arial"/>
        <family val="2"/>
        <charset val="204"/>
      </rPr>
      <t xml:space="preserve"> "Коммунальные инженерные сети и сооружения (2012 г.)"</t>
    </r>
  </si>
  <si>
    <r>
      <t xml:space="preserve">СБЦП06-18-2
</t>
    </r>
    <r>
      <rPr>
        <i/>
        <sz val="11"/>
        <rFont val="Arial"/>
        <family val="2"/>
        <charset val="204"/>
      </rPr>
      <t xml:space="preserve"> "Коммунальные инженерные сети и сооружения (2012 г.)"</t>
    </r>
  </si>
  <si>
    <r>
      <t xml:space="preserve">СБЦП06-18-2
</t>
    </r>
    <r>
      <rPr>
        <i/>
        <sz val="11"/>
        <rFont val="Arial"/>
        <family val="2"/>
        <charset val="204"/>
      </rPr>
      <t xml:space="preserve"> "Коммунальные инженерные сети и сооружения (2012 г.)"
п.2.8.2.9 При проектировании двухцепных ВЛ и ВЛ 3-20 кВ с совместной подвеской ВЛ 0.38 кВ для второй цепи. до ПЗ=0.25;</t>
    </r>
  </si>
  <si>
    <r>
      <t xml:space="preserve">СБЦП06-17-2
</t>
    </r>
    <r>
      <rPr>
        <i/>
        <sz val="11"/>
        <rFont val="Arial"/>
        <family val="2"/>
        <charset val="204"/>
      </rPr>
      <t xml:space="preserve"> "Коммунальные инженерные сети и сооружения (2012 г.)"
п.2.8.1.1 При проектировании электрических кабельных линий. проходящих по территории с коэффициентом застройки от 0.3 до 0.5. до ПЗ=1.2;
п.2.8.1.1 При наличии в зоне работ от 5 до 10 действующих или проектируемых коммуникаций. до ПЗ=1.05;</t>
    </r>
  </si>
  <si>
    <r>
      <t xml:space="preserve">СБЦП06-5-10
</t>
    </r>
    <r>
      <rPr>
        <i/>
        <sz val="11"/>
        <rFont val="Arial"/>
        <family val="2"/>
        <charset val="204"/>
      </rPr>
      <t xml:space="preserve"> "Коммунальные инженерные сети и сооружения (2012 г.)"
п.2.4.8 При наличии в зоне работ от 5 до 10 действующих или проектируемых коммуникаций. до ПЗ=1.05;
п.2.4.8 При прокладке сетей канализации. проходящих по территории с коэффициентом застройки от 0.3 до 0.5 (до) ПЗ=1.2;
п.2.4.8 При проектировании городской канализации из «нежестких» труб (полиэтилен. полипропилен. стеклопластик. поливинилхлорид). требующих проверки на статическую устойчивость в период длительной эксплуатации. до ПЗ=1.1;</t>
    </r>
  </si>
  <si>
    <r>
      <t xml:space="preserve">СБЦП06-5-10
</t>
    </r>
    <r>
      <rPr>
        <i/>
        <sz val="11"/>
        <rFont val="Arial"/>
        <family val="2"/>
        <charset val="204"/>
      </rPr>
      <t xml:space="preserve"> "Коммунальные инженерные сети и сооружения (2012 г.)"
п.2.4.8 При наличии в зоне работ от 5 до 10 действующих или проектируемых коммуникаций. до ПЗ=1.05;
п.2.4.8 При прокладке сетей канализации. проходящих по территории с коэффициентом застройки от 0.3 до 0.5 (до) ПЗ=1.2;
п.2.4.8 При проектировании городской канализации из «нежестких» труб (полиэтилен. полипропилен. стеклопластик. поливинилхлорид). требующих проверки на статическую устойчивость в период длительной эксплуатации. до ПЗ=1.1;
п.2.4.6 При параллельной прокладке сетей канализации с количеством линий 2 и более за каждую последующую линию ПЗ=0.15;</t>
    </r>
  </si>
  <si>
    <r>
      <t xml:space="preserve">СБЦП06-17-3
</t>
    </r>
    <r>
      <rPr>
        <i/>
        <sz val="11"/>
        <rFont val="Arial"/>
        <family val="2"/>
        <charset val="204"/>
      </rPr>
      <t xml:space="preserve"> "Коммунальные инженерные сети и сооружения (2012 г.)"
п.2.8.1.1 При проектировании электрических кабельных линий. проходящих по территории с коэффициентом застройки от 0.3 до 0.5. до ПЗ=1.2;
п.2.8.1.1 При наличии в зоне работ от 5 до 10 действующих или проектируемых коммуникаций. до ПЗ=1.05;</t>
    </r>
  </si>
  <si>
    <r>
      <t xml:space="preserve">СБЦП06-37-4
</t>
    </r>
    <r>
      <rPr>
        <i/>
        <sz val="11"/>
        <rFont val="Arial"/>
        <family val="2"/>
        <charset val="204"/>
      </rPr>
      <t xml:space="preserve"> "Коммунальные инженерные сети и сооружения (2012 г.)"</t>
    </r>
  </si>
  <si>
    <t>Итого затраты по разделу</t>
  </si>
  <si>
    <t>Итого затраты по смете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</si>
</sst>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"/>
  </numFmts>
  <fonts count="16" x14ac:knownFonts="1">
    <font>
      <sz val="10"/>
      <name val="Arial Cyr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i/>
      <sz val="12"/>
      <name val="Arial"/>
      <family val="2"/>
      <charset val="204"/>
    </font>
    <font>
      <b/>
      <sz val="10"/>
      <name val="Arial Cyr"/>
      <charset val="204"/>
    </font>
    <font>
      <b/>
      <sz val="13"/>
      <name val="Arial"/>
      <family val="2"/>
      <charset val="204"/>
    </font>
    <font>
      <b/>
      <sz val="13"/>
      <name val="Arial Cyr"/>
      <charset val="204"/>
    </font>
    <font>
      <i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5" fillId="0" borderId="1">
      <alignment horizontal="center"/>
    </xf>
    <xf numFmtId="0" fontId="1" fillId="0" borderId="0">
      <alignment vertical="top"/>
    </xf>
    <xf numFmtId="0" fontId="5" fillId="0" borderId="1">
      <alignment horizontal="center"/>
    </xf>
    <xf numFmtId="0" fontId="5" fillId="0" borderId="0">
      <alignment vertical="top"/>
    </xf>
    <xf numFmtId="0" fontId="5" fillId="0" borderId="0">
      <alignment horizontal="right" vertical="top" wrapText="1"/>
    </xf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5" fillId="0" borderId="0"/>
    <xf numFmtId="0" fontId="5" fillId="0" borderId="1">
      <alignment horizontal="center" wrapText="1"/>
    </xf>
    <xf numFmtId="0" fontId="5" fillId="0" borderId="1">
      <alignment horizontal="center"/>
    </xf>
    <xf numFmtId="0" fontId="5" fillId="0" borderId="1">
      <alignment horizontal="center" wrapText="1"/>
    </xf>
    <xf numFmtId="0" fontId="1" fillId="0" borderId="0"/>
    <xf numFmtId="0" fontId="5" fillId="0" borderId="0">
      <alignment horizontal="center"/>
    </xf>
    <xf numFmtId="0" fontId="5" fillId="0" borderId="0">
      <alignment horizontal="left" vertical="top"/>
    </xf>
    <xf numFmtId="0" fontId="5" fillId="0" borderId="0"/>
  </cellStyleXfs>
  <cellXfs count="42">
    <xf numFmtId="0" fontId="0" fillId="0" borderId="0" xfId="0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21" applyFont="1" applyBorder="1">
      <alignment horizontal="center"/>
    </xf>
    <xf numFmtId="0" fontId="8" fillId="0" borderId="0" xfId="21" applyFont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22" applyFont="1">
      <alignment horizontal="left" vertical="top"/>
    </xf>
    <xf numFmtId="0" fontId="8" fillId="0" borderId="0" xfId="0" applyFont="1" applyAlignment="1">
      <alignment horizontal="left" indent="1"/>
    </xf>
    <xf numFmtId="0" fontId="11" fillId="0" borderId="0" xfId="21" applyFont="1" applyBorder="1" applyAlignment="1">
      <alignment horizontal="left" vertical="top" wrapText="1"/>
    </xf>
    <xf numFmtId="0" fontId="8" fillId="0" borderId="0" xfId="21" applyFont="1" applyBorder="1" applyAlignment="1">
      <alignment horizontal="left" wrapText="1"/>
    </xf>
    <xf numFmtId="0" fontId="10" fillId="0" borderId="0" xfId="21" applyFont="1">
      <alignment horizontal="center"/>
    </xf>
    <xf numFmtId="0" fontId="8" fillId="0" borderId="0" xfId="0" applyFont="1" applyAlignment="1">
      <alignment horizontal="center"/>
    </xf>
    <xf numFmtId="0" fontId="9" fillId="0" borderId="0" xfId="21" applyFont="1" applyBorder="1" applyAlignment="1">
      <alignment horizontal="center" vertical="top" wrapText="1"/>
    </xf>
    <xf numFmtId="0" fontId="8" fillId="0" borderId="2" xfId="21" applyFont="1" applyBorder="1" applyAlignment="1">
      <alignment horizontal="left" vertical="top" wrapText="1"/>
    </xf>
    <xf numFmtId="0" fontId="8" fillId="0" borderId="0" xfId="21" applyFont="1" applyBorder="1" applyAlignment="1">
      <alignment horizontal="left" vertical="top" wrapText="1"/>
    </xf>
    <xf numFmtId="0" fontId="8" fillId="0" borderId="3" xfId="12" applyFont="1" applyBorder="1">
      <alignment horizontal="center" wrapText="1"/>
    </xf>
    <xf numFmtId="49" fontId="13" fillId="0" borderId="1" xfId="0" applyNumberFormat="1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10" fontId="8" fillId="0" borderId="1" xfId="0" applyNumberFormat="1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top" wrapText="1"/>
    </xf>
    <xf numFmtId="168" fontId="8" fillId="0" borderId="1" xfId="0" applyNumberFormat="1" applyFont="1" applyBorder="1" applyAlignment="1">
      <alignment horizontal="right" vertical="top" wrapText="1"/>
    </xf>
    <xf numFmtId="49" fontId="8" fillId="0" borderId="3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top" wrapText="1"/>
    </xf>
    <xf numFmtId="10" fontId="8" fillId="0" borderId="3" xfId="0" applyNumberFormat="1" applyFont="1" applyBorder="1" applyAlignment="1">
      <alignment horizontal="center" vertical="top" wrapText="1"/>
    </xf>
    <xf numFmtId="0" fontId="8" fillId="0" borderId="3" xfId="0" applyNumberFormat="1" applyFont="1" applyBorder="1" applyAlignment="1">
      <alignment horizontal="center" vertical="top" wrapText="1"/>
    </xf>
    <xf numFmtId="168" fontId="8" fillId="0" borderId="3" xfId="0" applyNumberFormat="1" applyFont="1" applyBorder="1" applyAlignment="1">
      <alignment horizontal="right" vertical="top" wrapText="1"/>
    </xf>
    <xf numFmtId="49" fontId="8" fillId="0" borderId="1" xfId="0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49" fontId="9" fillId="0" borderId="3" xfId="0" applyNumberFormat="1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8" fillId="0" borderId="1" xfId="5" applyFont="1" applyBorder="1" applyAlignment="1">
      <alignment horizontal="left" vertical="top" wrapText="1"/>
    </xf>
    <xf numFmtId="168" fontId="8" fillId="0" borderId="1" xfId="5" applyNumberFormat="1" applyFont="1" applyBorder="1" applyAlignment="1">
      <alignment horizontal="right" vertical="top" wrapText="1"/>
    </xf>
    <xf numFmtId="0" fontId="9" fillId="0" borderId="1" xfId="5" applyFont="1" applyBorder="1" applyAlignment="1">
      <alignment horizontal="left" vertical="top" wrapText="1"/>
    </xf>
  </cellXfs>
  <cellStyles count="24">
    <cellStyle name="Акт" xfId="1"/>
    <cellStyle name="АктМТСН" xfId="2"/>
    <cellStyle name="ВедРесурсов" xfId="3"/>
    <cellStyle name="ВедРесурсовАкт" xfId="4"/>
    <cellStyle name="Итоги" xfId="5"/>
    <cellStyle name="ИтогоАктБазЦ" xfId="6"/>
    <cellStyle name="ИтогоАктБИМ" xfId="7"/>
    <cellStyle name="ИтогоАктРесМет" xfId="8"/>
    <cellStyle name="ИтогоБазЦ" xfId="9"/>
    <cellStyle name="ИтогоБИМ" xfId="10"/>
    <cellStyle name="ИтогоРесМет" xfId="11"/>
    <cellStyle name="ЛокСмета" xfId="12"/>
    <cellStyle name="ЛокСмМТСН" xfId="13"/>
    <cellStyle name="М29" xfId="14"/>
    <cellStyle name="ОбСмета" xfId="15"/>
    <cellStyle name="Обычный" xfId="0" builtinId="0"/>
    <cellStyle name="Параметр" xfId="16"/>
    <cellStyle name="ПеременныеСметы" xfId="17"/>
    <cellStyle name="РесСмета" xfId="18"/>
    <cellStyle name="СводкаСтоимРаб" xfId="19"/>
    <cellStyle name="СводРасч" xfId="20"/>
    <cellStyle name="Титул" xfId="21"/>
    <cellStyle name="Хвост" xfId="22"/>
    <cellStyle name="Экспертиза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95250</xdr:colOff>
          <xdr:row>12</xdr:row>
          <xdr:rowOff>1104900</xdr:rowOff>
        </xdr:from>
        <xdr:to>
          <xdr:col>1</xdr:col>
          <xdr:colOff>1209675</xdr:colOff>
          <xdr:row>12</xdr:row>
          <xdr:rowOff>1352550</xdr:rowOff>
        </xdr:to>
        <xdr:sp macro="" textlink="">
          <xdr:nvSpPr>
            <xdr:cNvPr id="1053" name="Button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 …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Q76"/>
  <sheetViews>
    <sheetView showGridLines="0" tabSelected="1" view="pageBreakPreview" zoomScale="85" zoomScaleNormal="100" zoomScaleSheetLayoutView="85" workbookViewId="0">
      <selection activeCell="B45" sqref="B45"/>
    </sheetView>
  </sheetViews>
  <sheetFormatPr defaultRowHeight="15" x14ac:dyDescent="0.2"/>
  <cols>
    <col min="1" max="1" width="9.140625" style="1"/>
    <col min="2" max="2" width="50.42578125" style="1" customWidth="1"/>
    <col min="3" max="3" width="41.42578125" style="1" customWidth="1"/>
    <col min="4" max="4" width="21.7109375" style="1" customWidth="1"/>
    <col min="5" max="10" width="22.140625" style="1" hidden="1" customWidth="1"/>
    <col min="11" max="11" width="73.7109375" style="1" hidden="1" customWidth="1"/>
    <col min="12" max="12" width="16" style="1" customWidth="1"/>
    <col min="13" max="15" width="9.140625" style="1" customWidth="1"/>
    <col min="16" max="16384" width="9.140625" style="1"/>
  </cols>
  <sheetData>
    <row r="1" spans="1:17" x14ac:dyDescent="0.2">
      <c r="A1" s="14"/>
      <c r="B1" s="14"/>
      <c r="C1" s="14"/>
      <c r="D1" s="14"/>
      <c r="L1" s="2" t="s">
        <v>7</v>
      </c>
    </row>
    <row r="2" spans="1:17" x14ac:dyDescent="0.2">
      <c r="A2" s="19" t="s">
        <v>13</v>
      </c>
      <c r="B2" s="19"/>
      <c r="C2" s="19"/>
      <c r="D2" s="19"/>
    </row>
    <row r="3" spans="1:17" ht="18" x14ac:dyDescent="0.25">
      <c r="A3" s="15" t="s">
        <v>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7" x14ac:dyDescent="0.2">
      <c r="A4" s="16" t="s">
        <v>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7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7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7" ht="15.75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17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7" x14ac:dyDescent="0.2">
      <c r="A9" s="9" t="s">
        <v>2</v>
      </c>
      <c r="B9" s="3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17" x14ac:dyDescent="0.2">
      <c r="A10" s="3"/>
      <c r="B10" s="3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pans="1:17" x14ac:dyDescent="0.2">
      <c r="A11" s="9" t="s">
        <v>3</v>
      </c>
      <c r="B11" s="3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7" x14ac:dyDescent="0.2">
      <c r="A12" s="3"/>
      <c r="B12" s="3"/>
      <c r="C12" s="4"/>
      <c r="D12" s="4"/>
      <c r="E12" s="4"/>
      <c r="F12" s="4"/>
      <c r="G12" s="4"/>
      <c r="H12" s="4"/>
      <c r="I12" s="4"/>
      <c r="J12" s="4"/>
      <c r="K12" s="4"/>
      <c r="L12" s="5" t="s">
        <v>12</v>
      </c>
    </row>
    <row r="13" spans="1:17" s="7" customFormat="1" ht="121.5" customHeight="1" x14ac:dyDescent="0.2">
      <c r="A13" s="6" t="s">
        <v>0</v>
      </c>
      <c r="B13" s="6" t="s">
        <v>8</v>
      </c>
      <c r="C13" s="6" t="s">
        <v>9</v>
      </c>
      <c r="D13" s="6" t="s">
        <v>10</v>
      </c>
      <c r="E13" s="6"/>
      <c r="F13" s="6"/>
      <c r="G13" s="6"/>
      <c r="H13" s="6"/>
      <c r="I13" s="6"/>
      <c r="J13" s="6"/>
      <c r="K13" s="6"/>
      <c r="L13" s="6" t="s">
        <v>11</v>
      </c>
    </row>
    <row r="14" spans="1:17" x14ac:dyDescent="0.2">
      <c r="A14" s="20">
        <v>1</v>
      </c>
      <c r="B14" s="20">
        <v>2</v>
      </c>
      <c r="C14" s="20">
        <v>3</v>
      </c>
      <c r="D14" s="20">
        <v>4</v>
      </c>
      <c r="E14" s="20"/>
      <c r="F14" s="20"/>
      <c r="G14" s="20"/>
      <c r="H14" s="20"/>
      <c r="I14" s="20"/>
      <c r="J14" s="20"/>
      <c r="K14" s="20"/>
      <c r="L14" s="20">
        <v>5</v>
      </c>
    </row>
    <row r="15" spans="1:17" s="8" customFormat="1" ht="23.1" customHeight="1" x14ac:dyDescent="0.2">
      <c r="A15" s="21" t="s">
        <v>46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</row>
    <row r="16" spans="1:17" s="10" customFormat="1" ht="43.5" x14ac:dyDescent="0.2">
      <c r="A16" s="28">
        <v>1</v>
      </c>
      <c r="B16" s="29" t="s">
        <v>14</v>
      </c>
      <c r="C16" s="29" t="s">
        <v>62</v>
      </c>
      <c r="D16" s="30" t="s">
        <v>47</v>
      </c>
      <c r="E16" s="31">
        <v>1</v>
      </c>
      <c r="F16" s="31" t="str">
        <f ca="1">IF(INDIRECT("J" &amp; ROW())="текущие цены", IF(INDIRECT("G" &amp; ROW())="", "0", "0"), IF(INDIRECT("G" &amp; ROW())="", "10453.5","9090"))</f>
        <v>9090</v>
      </c>
      <c r="G16" s="31">
        <v>1.1499999999999999</v>
      </c>
      <c r="H16" s="31"/>
      <c r="I16" s="31"/>
      <c r="J16" s="31" t="s">
        <v>15</v>
      </c>
      <c r="K16" s="31" t="s">
        <v>40</v>
      </c>
      <c r="L16" s="32">
        <v>10.454000000000001</v>
      </c>
      <c r="M16" s="8"/>
      <c r="N16" s="8"/>
      <c r="O16" s="8"/>
      <c r="P16" s="8"/>
      <c r="Q16" s="8"/>
    </row>
    <row r="17" spans="1:17" x14ac:dyDescent="0.2">
      <c r="A17" s="33" t="s">
        <v>70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27">
        <f>10454/1000</f>
        <v>10.454000000000001</v>
      </c>
      <c r="M17" s="8"/>
      <c r="N17" s="8"/>
      <c r="O17" s="8"/>
      <c r="P17" s="8"/>
      <c r="Q17" s="8"/>
    </row>
    <row r="18" spans="1:17" x14ac:dyDescent="0.2">
      <c r="A18" s="35" t="s">
        <v>16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27"/>
      <c r="M18" s="8"/>
      <c r="N18" s="8"/>
      <c r="O18" s="8"/>
      <c r="P18" s="8"/>
      <c r="Q18" s="8"/>
    </row>
    <row r="19" spans="1:17" x14ac:dyDescent="0.2">
      <c r="A19" s="33" t="s">
        <v>17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27">
        <f>10454/1000</f>
        <v>10.454000000000001</v>
      </c>
      <c r="M19" s="8"/>
      <c r="N19" s="8"/>
      <c r="O19" s="8"/>
      <c r="P19" s="8"/>
      <c r="Q19" s="8"/>
    </row>
    <row r="20" spans="1:17" x14ac:dyDescent="0.2">
      <c r="A20" s="33" t="s">
        <v>18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27">
        <f>10454/1000</f>
        <v>10.454000000000001</v>
      </c>
      <c r="M20" s="8"/>
      <c r="N20" s="8"/>
      <c r="O20" s="8"/>
      <c r="P20" s="8"/>
      <c r="Q20" s="8"/>
    </row>
    <row r="21" spans="1:17" x14ac:dyDescent="0.2">
      <c r="A21" s="33" t="s">
        <v>48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27">
        <f>35021/1000</f>
        <v>35.021000000000001</v>
      </c>
      <c r="M21" s="8"/>
      <c r="N21" s="8"/>
      <c r="O21" s="8"/>
      <c r="P21" s="8"/>
      <c r="Q21" s="8"/>
    </row>
    <row r="22" spans="1:17" ht="15" customHeight="1" x14ac:dyDescent="0.2">
      <c r="A22" s="37" t="s">
        <v>19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2">
        <f>35021/1000</f>
        <v>35.021000000000001</v>
      </c>
      <c r="M22" s="8"/>
      <c r="N22" s="8"/>
      <c r="O22" s="8"/>
      <c r="P22" s="8"/>
      <c r="Q22" s="8"/>
    </row>
    <row r="23" spans="1:17" ht="16.5" x14ac:dyDescent="0.2">
      <c r="A23" s="21" t="s">
        <v>49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8"/>
      <c r="N23" s="8"/>
      <c r="O23" s="8"/>
      <c r="P23" s="8"/>
      <c r="Q23" s="8"/>
    </row>
    <row r="24" spans="1:17" ht="45.75" customHeight="1" x14ac:dyDescent="0.2">
      <c r="A24" s="23">
        <v>2</v>
      </c>
      <c r="B24" s="24" t="s">
        <v>20</v>
      </c>
      <c r="C24" s="24" t="s">
        <v>63</v>
      </c>
      <c r="D24" s="25" t="s">
        <v>50</v>
      </c>
      <c r="E24" s="26">
        <v>1</v>
      </c>
      <c r="F24" s="26" t="str">
        <f ca="1">IF(INDIRECT("J" &amp; ROW())="текущие цены", IF(INDIRECT("G" &amp; ROW())="", "0", "0"), IF(INDIRECT("G" &amp; ROW())="", "3470","3470"))</f>
        <v>3470</v>
      </c>
      <c r="G24" s="26"/>
      <c r="H24" s="26"/>
      <c r="I24" s="26"/>
      <c r="J24" s="26" t="s">
        <v>15</v>
      </c>
      <c r="K24" s="26"/>
      <c r="L24" s="27">
        <v>6.5839999999999996</v>
      </c>
      <c r="M24" s="8"/>
      <c r="N24" s="8"/>
      <c r="O24" s="8"/>
      <c r="P24" s="8"/>
      <c r="Q24" s="8"/>
    </row>
    <row r="25" spans="1:17" ht="100.5" x14ac:dyDescent="0.2">
      <c r="A25" s="23">
        <v>3</v>
      </c>
      <c r="B25" s="24" t="s">
        <v>21</v>
      </c>
      <c r="C25" s="24" t="s">
        <v>64</v>
      </c>
      <c r="D25" s="25" t="s">
        <v>51</v>
      </c>
      <c r="E25" s="26">
        <v>1</v>
      </c>
      <c r="F25" s="26" t="str">
        <f ca="1">IF(INDIRECT("J" &amp; ROW())="текущие цены", IF(INDIRECT("G" &amp; ROW())="", "0", "0"), IF(INDIRECT("G" &amp; ROW())="", "867.5","3470"))</f>
        <v>3470</v>
      </c>
      <c r="G25" s="26">
        <v>0.25</v>
      </c>
      <c r="H25" s="26"/>
      <c r="I25" s="26"/>
      <c r="J25" s="26" t="s">
        <v>15</v>
      </c>
      <c r="K25" s="26" t="s">
        <v>41</v>
      </c>
      <c r="L25" s="27">
        <v>1.4969999999999999</v>
      </c>
      <c r="M25" s="8"/>
      <c r="N25" s="8"/>
      <c r="O25" s="8"/>
      <c r="P25" s="8"/>
      <c r="Q25" s="8"/>
    </row>
    <row r="26" spans="1:17" x14ac:dyDescent="0.2">
      <c r="A26" s="33" t="s">
        <v>70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27">
        <f>8081/1000</f>
        <v>8.0809999999999995</v>
      </c>
      <c r="M26" s="8"/>
      <c r="N26" s="8"/>
      <c r="O26" s="8"/>
      <c r="P26" s="8"/>
      <c r="Q26" s="8"/>
    </row>
    <row r="27" spans="1:17" x14ac:dyDescent="0.2">
      <c r="A27" s="35" t="s">
        <v>22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27"/>
      <c r="M27" s="8"/>
      <c r="N27" s="8"/>
      <c r="O27" s="8"/>
      <c r="P27" s="8"/>
      <c r="Q27" s="8"/>
    </row>
    <row r="28" spans="1:17" x14ac:dyDescent="0.2">
      <c r="A28" s="33" t="s">
        <v>17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27">
        <f>8081/1000</f>
        <v>8.0809999999999995</v>
      </c>
      <c r="M28" s="8"/>
      <c r="N28" s="8"/>
      <c r="O28" s="8"/>
      <c r="P28" s="8"/>
      <c r="Q28" s="8"/>
    </row>
    <row r="29" spans="1:17" x14ac:dyDescent="0.2">
      <c r="A29" s="33" t="s">
        <v>18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27">
        <f>8081/1000</f>
        <v>8.0809999999999995</v>
      </c>
      <c r="M29" s="8"/>
      <c r="N29" s="8"/>
      <c r="O29" s="8"/>
      <c r="P29" s="8"/>
      <c r="Q29" s="8"/>
    </row>
    <row r="30" spans="1:17" x14ac:dyDescent="0.2">
      <c r="A30" s="33" t="s">
        <v>48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27">
        <f>27071/1000</f>
        <v>27.071000000000002</v>
      </c>
      <c r="M30" s="8"/>
      <c r="N30" s="8"/>
      <c r="O30" s="8"/>
      <c r="P30" s="8"/>
      <c r="Q30" s="8"/>
    </row>
    <row r="31" spans="1:17" ht="15" customHeight="1" x14ac:dyDescent="0.2">
      <c r="A31" s="37" t="s">
        <v>23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2">
        <f>27071/1000</f>
        <v>27.071000000000002</v>
      </c>
      <c r="M31" s="8"/>
      <c r="N31" s="8"/>
      <c r="O31" s="8"/>
      <c r="P31" s="8"/>
      <c r="Q31" s="8"/>
    </row>
    <row r="32" spans="1:17" ht="16.5" x14ac:dyDescent="0.2">
      <c r="A32" s="21" t="s">
        <v>52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8"/>
      <c r="N32" s="8"/>
      <c r="O32" s="8"/>
      <c r="P32" s="8"/>
      <c r="Q32" s="8"/>
    </row>
    <row r="33" spans="1:17" ht="166.5" customHeight="1" x14ac:dyDescent="0.2">
      <c r="A33" s="23">
        <v>4</v>
      </c>
      <c r="B33" s="24" t="s">
        <v>24</v>
      </c>
      <c r="C33" s="24" t="s">
        <v>65</v>
      </c>
      <c r="D33" s="25" t="s">
        <v>53</v>
      </c>
      <c r="E33" s="26">
        <v>1</v>
      </c>
      <c r="F33" s="26" t="str">
        <f ca="1">IF(INDIRECT("J" &amp; ROW())="текущие цены", IF(INDIRECT("G" &amp; ROW())="", "0", "0"), IF(INDIRECT("G" &amp; ROW())="", "9781.38","7763"))</f>
        <v>7763</v>
      </c>
      <c r="G33" s="26" t="s">
        <v>25</v>
      </c>
      <c r="H33" s="26"/>
      <c r="I33" s="26"/>
      <c r="J33" s="26" t="s">
        <v>15</v>
      </c>
      <c r="K33" s="26" t="s">
        <v>42</v>
      </c>
      <c r="L33" s="27">
        <v>15.814</v>
      </c>
      <c r="M33" s="8"/>
      <c r="N33" s="8"/>
      <c r="O33" s="8"/>
      <c r="P33" s="8"/>
      <c r="Q33" s="8"/>
    </row>
    <row r="34" spans="1:17" ht="251.25" customHeight="1" x14ac:dyDescent="0.2">
      <c r="A34" s="23">
        <v>5</v>
      </c>
      <c r="B34" s="24" t="s">
        <v>26</v>
      </c>
      <c r="C34" s="24" t="s">
        <v>66</v>
      </c>
      <c r="D34" s="25" t="s">
        <v>54</v>
      </c>
      <c r="E34" s="26">
        <v>1</v>
      </c>
      <c r="F34" s="26" t="str">
        <f ca="1">IF(INDIRECT("J" &amp; ROW())="текущие цены", IF(INDIRECT("G" &amp; ROW())="", "0", "0"), IF(INDIRECT("G" &amp; ROW())="", "66250.8","47800"))</f>
        <v>47800</v>
      </c>
      <c r="G34" s="26" t="s">
        <v>27</v>
      </c>
      <c r="H34" s="26"/>
      <c r="I34" s="26"/>
      <c r="J34" s="26" t="s">
        <v>15</v>
      </c>
      <c r="K34" s="26" t="s">
        <v>43</v>
      </c>
      <c r="L34" s="27">
        <v>69.245000000000005</v>
      </c>
      <c r="M34" s="8"/>
      <c r="N34" s="8"/>
      <c r="O34" s="8"/>
      <c r="P34" s="8"/>
      <c r="Q34" s="8"/>
    </row>
    <row r="35" spans="1:17" ht="328.5" x14ac:dyDescent="0.2">
      <c r="A35" s="23">
        <v>6</v>
      </c>
      <c r="B35" s="24" t="s">
        <v>26</v>
      </c>
      <c r="C35" s="24" t="s">
        <v>67</v>
      </c>
      <c r="D35" s="25" t="s">
        <v>55</v>
      </c>
      <c r="E35" s="26">
        <v>2</v>
      </c>
      <c r="F35" s="26" t="str">
        <f ca="1">IF(INDIRECT("J" &amp; ROW())="текущие цены", IF(INDIRECT("G" &amp; ROW())="", "0", "0"), IF(INDIRECT("G" &amp; ROW())="", "9937.62","47800"))</f>
        <v>47800</v>
      </c>
      <c r="G35" s="26" t="s">
        <v>28</v>
      </c>
      <c r="H35" s="26"/>
      <c r="I35" s="26"/>
      <c r="J35" s="26" t="s">
        <v>15</v>
      </c>
      <c r="K35" s="26" t="s">
        <v>44</v>
      </c>
      <c r="L35" s="27">
        <v>20.773</v>
      </c>
      <c r="M35" s="8"/>
      <c r="N35" s="8"/>
      <c r="O35" s="8"/>
      <c r="P35" s="8"/>
      <c r="Q35" s="8"/>
    </row>
    <row r="36" spans="1:17" ht="23.1" customHeight="1" x14ac:dyDescent="0.2">
      <c r="A36" s="33" t="s">
        <v>70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27">
        <f>105832/1000</f>
        <v>105.83199999999999</v>
      </c>
      <c r="M36" s="8"/>
      <c r="N36" s="8"/>
      <c r="O36" s="8"/>
      <c r="P36" s="8"/>
      <c r="Q36" s="8"/>
    </row>
    <row r="37" spans="1:17" x14ac:dyDescent="0.2">
      <c r="A37" s="35" t="s">
        <v>29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27"/>
      <c r="M37" s="8"/>
      <c r="N37" s="8"/>
      <c r="O37" s="8"/>
      <c r="P37" s="8"/>
      <c r="Q37" s="8"/>
    </row>
    <row r="38" spans="1:17" x14ac:dyDescent="0.2">
      <c r="A38" s="33" t="s">
        <v>17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27">
        <f>105832/1000</f>
        <v>105.83199999999999</v>
      </c>
      <c r="M38" s="8"/>
      <c r="N38" s="8"/>
      <c r="O38" s="8"/>
      <c r="P38" s="8"/>
      <c r="Q38" s="8"/>
    </row>
    <row r="39" spans="1:17" x14ac:dyDescent="0.2">
      <c r="A39" s="33" t="s">
        <v>18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27">
        <f>105832/1000</f>
        <v>105.83199999999999</v>
      </c>
      <c r="M39" s="8"/>
      <c r="N39" s="8"/>
      <c r="O39" s="8"/>
      <c r="P39" s="8"/>
      <c r="Q39" s="8"/>
    </row>
    <row r="40" spans="1:17" x14ac:dyDescent="0.2">
      <c r="A40" s="33" t="s">
        <v>48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27">
        <f>354537/1000</f>
        <v>354.53699999999998</v>
      </c>
      <c r="M40" s="8"/>
      <c r="N40" s="8"/>
      <c r="O40" s="8"/>
      <c r="P40" s="8"/>
      <c r="Q40" s="8"/>
    </row>
    <row r="41" spans="1:17" ht="15" customHeight="1" x14ac:dyDescent="0.2">
      <c r="A41" s="37" t="s">
        <v>30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2">
        <f>354537/1000</f>
        <v>354.53699999999998</v>
      </c>
      <c r="M41" s="8"/>
      <c r="N41" s="8"/>
      <c r="O41" s="8"/>
      <c r="P41" s="8"/>
      <c r="Q41" s="8"/>
    </row>
    <row r="42" spans="1:17" ht="16.5" x14ac:dyDescent="0.2">
      <c r="A42" s="21" t="s">
        <v>56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8"/>
      <c r="N42" s="8"/>
      <c r="O42" s="8"/>
      <c r="P42" s="8"/>
      <c r="Q42" s="8"/>
    </row>
    <row r="43" spans="1:17" ht="161.25" customHeight="1" x14ac:dyDescent="0.2">
      <c r="A43" s="23">
        <v>7</v>
      </c>
      <c r="B43" s="24" t="s">
        <v>31</v>
      </c>
      <c r="C43" s="24" t="s">
        <v>68</v>
      </c>
      <c r="D43" s="25" t="s">
        <v>57</v>
      </c>
      <c r="E43" s="26">
        <v>1</v>
      </c>
      <c r="F43" s="26" t="str">
        <f ca="1">IF(INDIRECT("J" &amp; ROW())="текущие цены", IF(INDIRECT("G" &amp; ROW())="", "0", "0"), IF(INDIRECT("G" &amp; ROW())="", "10413.9","8265"))</f>
        <v>8265</v>
      </c>
      <c r="G43" s="26" t="s">
        <v>25</v>
      </c>
      <c r="H43" s="26"/>
      <c r="I43" s="26"/>
      <c r="J43" s="26" t="s">
        <v>15</v>
      </c>
      <c r="K43" s="26" t="s">
        <v>42</v>
      </c>
      <c r="L43" s="27">
        <v>39.033999999999999</v>
      </c>
      <c r="M43" s="8"/>
      <c r="N43" s="8"/>
      <c r="O43" s="8"/>
      <c r="P43" s="8"/>
      <c r="Q43" s="8"/>
    </row>
    <row r="44" spans="1:17" ht="245.25" customHeight="1" x14ac:dyDescent="0.2">
      <c r="A44" s="23">
        <v>8</v>
      </c>
      <c r="B44" s="24" t="s">
        <v>26</v>
      </c>
      <c r="C44" s="24" t="s">
        <v>66</v>
      </c>
      <c r="D44" s="25" t="s">
        <v>58</v>
      </c>
      <c r="E44" s="26">
        <v>1</v>
      </c>
      <c r="F44" s="26" t="str">
        <f ca="1">IF(INDIRECT("J" &amp; ROW())="текущие цены", IF(INDIRECT("G" &amp; ROW())="", "0", "0"), IF(INDIRECT("G" &amp; ROW())="", "66250.8","47800"))</f>
        <v>47800</v>
      </c>
      <c r="G44" s="26" t="s">
        <v>27</v>
      </c>
      <c r="H44" s="26"/>
      <c r="I44" s="26"/>
      <c r="J44" s="26" t="s">
        <v>15</v>
      </c>
      <c r="K44" s="26" t="s">
        <v>43</v>
      </c>
      <c r="L44" s="27">
        <v>71.740000000000009</v>
      </c>
      <c r="M44" s="8"/>
      <c r="N44" s="8"/>
      <c r="O44" s="8"/>
      <c r="P44" s="8"/>
      <c r="Q44" s="8"/>
    </row>
    <row r="45" spans="1:17" ht="302.25" customHeight="1" x14ac:dyDescent="0.2">
      <c r="A45" s="23">
        <v>9</v>
      </c>
      <c r="B45" s="24" t="s">
        <v>26</v>
      </c>
      <c r="C45" s="24" t="s">
        <v>67</v>
      </c>
      <c r="D45" s="25" t="s">
        <v>59</v>
      </c>
      <c r="E45" s="26">
        <v>2</v>
      </c>
      <c r="F45" s="26" t="str">
        <f ca="1">IF(INDIRECT("J" &amp; ROW())="текущие цены", IF(INDIRECT("G" &amp; ROW())="", "0", "0"), IF(INDIRECT("G" &amp; ROW())="", "9937.62","47800"))</f>
        <v>47800</v>
      </c>
      <c r="G45" s="26" t="s">
        <v>28</v>
      </c>
      <c r="H45" s="26"/>
      <c r="I45" s="26"/>
      <c r="J45" s="26" t="s">
        <v>15</v>
      </c>
      <c r="K45" s="26" t="s">
        <v>44</v>
      </c>
      <c r="L45" s="27">
        <v>21.521000000000001</v>
      </c>
      <c r="M45" s="8"/>
      <c r="N45" s="8"/>
      <c r="O45" s="8"/>
      <c r="P45" s="8"/>
      <c r="Q45" s="8"/>
    </row>
    <row r="46" spans="1:17" x14ac:dyDescent="0.2">
      <c r="A46" s="33" t="s">
        <v>70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27">
        <f>132295/1000</f>
        <v>132.29499999999999</v>
      </c>
      <c r="M46" s="8"/>
      <c r="N46" s="8"/>
      <c r="O46" s="8"/>
      <c r="P46" s="8"/>
      <c r="Q46" s="8"/>
    </row>
    <row r="47" spans="1:17" x14ac:dyDescent="0.2">
      <c r="A47" s="35" t="s">
        <v>32</v>
      </c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27"/>
      <c r="M47" s="8"/>
      <c r="N47" s="8"/>
      <c r="O47" s="8"/>
      <c r="P47" s="8"/>
      <c r="Q47" s="8"/>
    </row>
    <row r="48" spans="1:17" x14ac:dyDescent="0.2">
      <c r="A48" s="33" t="s">
        <v>17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27">
        <f>132295/1000</f>
        <v>132.29499999999999</v>
      </c>
      <c r="M48" s="8"/>
      <c r="N48" s="8"/>
      <c r="O48" s="8"/>
      <c r="P48" s="8"/>
      <c r="Q48" s="8"/>
    </row>
    <row r="49" spans="1:17" x14ac:dyDescent="0.2">
      <c r="A49" s="33" t="s">
        <v>18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27">
        <f>132295/1000</f>
        <v>132.29499999999999</v>
      </c>
      <c r="M49" s="8"/>
      <c r="N49" s="8"/>
      <c r="O49" s="8"/>
      <c r="P49" s="8"/>
      <c r="Q49" s="8"/>
    </row>
    <row r="50" spans="1:17" ht="23.1" customHeight="1" x14ac:dyDescent="0.2">
      <c r="A50" s="33" t="s">
        <v>48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27">
        <f>443188/1000</f>
        <v>443.18799999999999</v>
      </c>
      <c r="M50" s="8"/>
      <c r="N50" s="8"/>
      <c r="O50" s="8"/>
      <c r="P50" s="8"/>
      <c r="Q50" s="8"/>
    </row>
    <row r="51" spans="1:17" ht="15" customHeight="1" x14ac:dyDescent="0.2">
      <c r="A51" s="37" t="s">
        <v>33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2">
        <f>443188/1000</f>
        <v>443.18799999999999</v>
      </c>
      <c r="M51" s="8"/>
      <c r="N51" s="8"/>
      <c r="O51" s="8"/>
      <c r="P51" s="8"/>
      <c r="Q51" s="8"/>
    </row>
    <row r="52" spans="1:17" ht="16.5" x14ac:dyDescent="0.2">
      <c r="A52" s="21" t="s">
        <v>60</v>
      </c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8"/>
      <c r="N52" s="8"/>
      <c r="O52" s="8"/>
      <c r="P52" s="8"/>
      <c r="Q52" s="8"/>
    </row>
    <row r="53" spans="1:17" ht="90" x14ac:dyDescent="0.2">
      <c r="A53" s="28">
        <v>10</v>
      </c>
      <c r="B53" s="29" t="s">
        <v>34</v>
      </c>
      <c r="C53" s="29" t="s">
        <v>69</v>
      </c>
      <c r="D53" s="30" t="s">
        <v>61</v>
      </c>
      <c r="E53" s="31">
        <v>1</v>
      </c>
      <c r="F53" s="31" t="str">
        <f ca="1">IF(INDIRECT("J" &amp; ROW())="текущие цены", IF(INDIRECT("G" &amp; ROW())="", "0", "0"), IF(INDIRECT("G" &amp; ROW())="", "34190","68380"))</f>
        <v>68380</v>
      </c>
      <c r="G53" s="31">
        <v>0.5</v>
      </c>
      <c r="H53" s="31"/>
      <c r="I53" s="31"/>
      <c r="J53" s="31" t="s">
        <v>15</v>
      </c>
      <c r="K53" s="31" t="s">
        <v>45</v>
      </c>
      <c r="L53" s="32">
        <v>34.19</v>
      </c>
      <c r="M53" s="8"/>
      <c r="N53" s="8"/>
      <c r="O53" s="8"/>
      <c r="P53" s="8"/>
      <c r="Q53" s="8"/>
    </row>
    <row r="54" spans="1:17" x14ac:dyDescent="0.2">
      <c r="A54" s="33" t="s">
        <v>70</v>
      </c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27">
        <f>34190/1000</f>
        <v>34.19</v>
      </c>
      <c r="M54" s="8"/>
      <c r="N54" s="8"/>
      <c r="O54" s="8"/>
      <c r="P54" s="8"/>
      <c r="Q54" s="8"/>
    </row>
    <row r="55" spans="1:17" x14ac:dyDescent="0.2">
      <c r="A55" s="35" t="s">
        <v>35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27"/>
      <c r="M55" s="8"/>
      <c r="N55" s="8"/>
      <c r="O55" s="8"/>
      <c r="P55" s="8"/>
      <c r="Q55" s="8"/>
    </row>
    <row r="56" spans="1:17" x14ac:dyDescent="0.2">
      <c r="A56" s="33" t="s">
        <v>17</v>
      </c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27">
        <f>34190/1000</f>
        <v>34.19</v>
      </c>
      <c r="M56" s="8"/>
      <c r="N56" s="8"/>
      <c r="O56" s="8"/>
      <c r="P56" s="8"/>
      <c r="Q56" s="8"/>
    </row>
    <row r="57" spans="1:17" x14ac:dyDescent="0.2">
      <c r="A57" s="33" t="s">
        <v>18</v>
      </c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27">
        <f>34190/1000</f>
        <v>34.19</v>
      </c>
      <c r="M57" s="8"/>
      <c r="N57" s="8"/>
      <c r="O57" s="8"/>
      <c r="P57" s="8"/>
      <c r="Q57" s="8"/>
    </row>
    <row r="58" spans="1:17" x14ac:dyDescent="0.2">
      <c r="A58" s="33" t="s">
        <v>48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27">
        <f>114537/1000</f>
        <v>114.53700000000001</v>
      </c>
      <c r="M58" s="8"/>
      <c r="N58" s="8"/>
      <c r="O58" s="8"/>
      <c r="P58" s="8"/>
      <c r="Q58" s="8"/>
    </row>
    <row r="59" spans="1:17" ht="15" customHeight="1" x14ac:dyDescent="0.2">
      <c r="A59" s="37" t="s">
        <v>36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2">
        <f>114537/1000</f>
        <v>114.53700000000001</v>
      </c>
      <c r="M59" s="8"/>
      <c r="N59" s="8"/>
      <c r="O59" s="8"/>
      <c r="P59" s="8"/>
      <c r="Q59" s="8"/>
    </row>
    <row r="60" spans="1:17" x14ac:dyDescent="0.2">
      <c r="A60" s="39" t="s">
        <v>71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40">
        <f>290852/1000</f>
        <v>290.85199999999998</v>
      </c>
      <c r="M60" s="8"/>
      <c r="N60" s="8"/>
      <c r="O60" s="8"/>
      <c r="P60" s="8"/>
      <c r="Q60" s="8"/>
    </row>
    <row r="61" spans="1:17" x14ac:dyDescent="0.2">
      <c r="A61" s="41" t="s">
        <v>37</v>
      </c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40"/>
      <c r="M61" s="8"/>
      <c r="N61" s="8"/>
      <c r="O61" s="8"/>
      <c r="P61" s="8"/>
      <c r="Q61" s="8"/>
    </row>
    <row r="62" spans="1:17" x14ac:dyDescent="0.2">
      <c r="A62" s="39" t="s">
        <v>17</v>
      </c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40">
        <f>290852/1000</f>
        <v>290.85199999999998</v>
      </c>
      <c r="M62" s="8"/>
      <c r="N62" s="8"/>
      <c r="O62" s="8"/>
      <c r="P62" s="8"/>
      <c r="Q62" s="8"/>
    </row>
    <row r="63" spans="1:17" x14ac:dyDescent="0.2">
      <c r="A63" s="39" t="s">
        <v>18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40">
        <f>290852/1000</f>
        <v>290.85199999999998</v>
      </c>
      <c r="M63" s="8"/>
      <c r="N63" s="8"/>
      <c r="O63" s="8"/>
      <c r="P63" s="8"/>
      <c r="Q63" s="8"/>
    </row>
    <row r="64" spans="1:17" ht="23.1" customHeight="1" x14ac:dyDescent="0.2">
      <c r="A64" s="39" t="s">
        <v>48</v>
      </c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40">
        <f>974354/1000</f>
        <v>974.35400000000004</v>
      </c>
      <c r="M64" s="8"/>
      <c r="N64" s="8"/>
      <c r="O64" s="8"/>
      <c r="P64" s="8"/>
      <c r="Q64" s="8"/>
    </row>
    <row r="65" spans="1:17" ht="15" customHeight="1" x14ac:dyDescent="0.2">
      <c r="A65" s="39" t="s">
        <v>38</v>
      </c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40">
        <f>175383.72/1000</f>
        <v>175.38372000000001</v>
      </c>
      <c r="M65" s="8"/>
      <c r="N65" s="8"/>
      <c r="O65" s="8"/>
      <c r="P65" s="8"/>
      <c r="Q65" s="8"/>
    </row>
    <row r="66" spans="1:17" x14ac:dyDescent="0.2">
      <c r="A66" s="41" t="s">
        <v>39</v>
      </c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40">
        <f>1149737.72/1000</f>
        <v>1149.7377200000001</v>
      </c>
      <c r="M66" s="8"/>
      <c r="N66" s="8"/>
      <c r="O66" s="8"/>
      <c r="P66" s="8"/>
      <c r="Q66" s="8"/>
    </row>
    <row r="67" spans="1:17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9"/>
      <c r="N67" s="10"/>
      <c r="O67" s="10"/>
      <c r="P67" s="10"/>
      <c r="Q67" s="10"/>
    </row>
    <row r="68" spans="1:17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7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7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7" x14ac:dyDescent="0.2">
      <c r="A71" s="1" t="s">
        <v>4</v>
      </c>
      <c r="B71" s="3"/>
      <c r="C71" s="11"/>
      <c r="D71" s="3"/>
      <c r="E71" s="3"/>
      <c r="F71" s="3"/>
      <c r="G71" s="3"/>
      <c r="H71" s="3"/>
      <c r="I71" s="3"/>
      <c r="J71" s="3"/>
      <c r="K71" s="3"/>
      <c r="L71" s="3"/>
    </row>
    <row r="72" spans="1:17" x14ac:dyDescent="0.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7" x14ac:dyDescent="0.2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7" x14ac:dyDescent="0.2">
      <c r="A74" s="1" t="s">
        <v>5</v>
      </c>
      <c r="B74" s="3"/>
      <c r="C74" s="11"/>
      <c r="D74" s="3"/>
      <c r="E74" s="3"/>
      <c r="F74" s="3"/>
      <c r="G74" s="3"/>
      <c r="H74" s="3"/>
      <c r="I74" s="3"/>
      <c r="J74" s="3"/>
      <c r="K74" s="3"/>
      <c r="L74" s="3"/>
    </row>
    <row r="76" spans="1:17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</row>
  </sheetData>
  <mergeCells count="50">
    <mergeCell ref="A64:K64"/>
    <mergeCell ref="A65:K65"/>
    <mergeCell ref="A66:K66"/>
    <mergeCell ref="A59:K59"/>
    <mergeCell ref="A60:K60"/>
    <mergeCell ref="A61:K61"/>
    <mergeCell ref="A62:K62"/>
    <mergeCell ref="A63:K63"/>
    <mergeCell ref="A52:L52"/>
    <mergeCell ref="A54:K54"/>
    <mergeCell ref="A55:K55"/>
    <mergeCell ref="A56:K56"/>
    <mergeCell ref="A57:K57"/>
    <mergeCell ref="A58:K58"/>
    <mergeCell ref="A47:K47"/>
    <mergeCell ref="A48:K48"/>
    <mergeCell ref="A49:K49"/>
    <mergeCell ref="A50:K50"/>
    <mergeCell ref="A51:K51"/>
    <mergeCell ref="A39:K39"/>
    <mergeCell ref="A40:K40"/>
    <mergeCell ref="A41:K41"/>
    <mergeCell ref="A42:L42"/>
    <mergeCell ref="A46:K46"/>
    <mergeCell ref="A31:K31"/>
    <mergeCell ref="A32:L32"/>
    <mergeCell ref="A36:K36"/>
    <mergeCell ref="A37:K37"/>
    <mergeCell ref="A38:K38"/>
    <mergeCell ref="A23:L23"/>
    <mergeCell ref="A26:K26"/>
    <mergeCell ref="A27:K27"/>
    <mergeCell ref="A28:K28"/>
    <mergeCell ref="A29:K29"/>
    <mergeCell ref="A30:K30"/>
    <mergeCell ref="A18:K18"/>
    <mergeCell ref="A19:K19"/>
    <mergeCell ref="A20:K20"/>
    <mergeCell ref="A21:K21"/>
    <mergeCell ref="A22:K22"/>
    <mergeCell ref="A76:L76"/>
    <mergeCell ref="A1:D1"/>
    <mergeCell ref="A3:L3"/>
    <mergeCell ref="A4:L4"/>
    <mergeCell ref="A7:L7"/>
    <mergeCell ref="C11:L11"/>
    <mergeCell ref="C9:L9"/>
    <mergeCell ref="A2:D2"/>
    <mergeCell ref="A15:L15"/>
    <mergeCell ref="A17:K17"/>
  </mergeCells>
  <phoneticPr fontId="4" type="noConversion"/>
  <pageMargins left="0.78740157480314965" right="0.39370078740157483" top="0.39370078740157483" bottom="0.39370078740157483" header="0.23622047244094491" footer="0.23622047244094491"/>
  <pageSetup paperSize="9" scale="66" fitToHeight="30000" orientation="portrait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3" r:id="rId4" name="Button 29">
              <controlPr defaultSize="0" print="0" autoFill="0" autoPict="0" macro="[0]!Лист1.CollapseRows">
                <anchor moveWithCells="1" sizeWithCells="1">
                  <from>
                    <xdr:col>1</xdr:col>
                    <xdr:colOff>95250</xdr:colOff>
                    <xdr:row>12</xdr:row>
                    <xdr:rowOff>1104900</xdr:rowOff>
                  </from>
                  <to>
                    <xdr:col>1</xdr:col>
                    <xdr:colOff>1209675</xdr:colOff>
                    <xdr:row>12</xdr:row>
                    <xdr:rowOff>1352550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данные'!Заголовки_для_печати</vt:lpstr>
      <vt:lpstr>'Мои данные'!Область_печати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СЭМ</dc:creator>
  <dc:description>27.04.2009</dc:description>
  <cp:lastModifiedBy>СЭМ</cp:lastModifiedBy>
  <cp:lastPrinted>2009-02-02T07:59:09Z</cp:lastPrinted>
  <dcterms:created xsi:type="dcterms:W3CDTF">2007-02-21T08:42:24Z</dcterms:created>
  <dcterms:modified xsi:type="dcterms:W3CDTF">2013-10-18T12:07:25Z</dcterms:modified>
</cp:coreProperties>
</file>