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2" i="5" l="1"/>
  <c r="L23" i="5"/>
  <c r="L24" i="5"/>
  <c r="L25" i="5"/>
  <c r="L26" i="5"/>
  <c r="L27" i="5"/>
  <c r="L28" i="5"/>
  <c r="L29" i="5"/>
  <c r="L30" i="5"/>
  <c r="L31" i="5"/>
  <c r="L32" i="5"/>
  <c r="L33" i="5"/>
  <c r="L34" i="5"/>
  <c r="L36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<sst xmlns="http://schemas.openxmlformats.org/spreadsheetml/2006/main" count="582" uniqueCount="528">
  <si>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</si>
  <si>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</si>
  <si>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</si>
  <si>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</si>
  <si>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</si>
  <si>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</si>
  <si>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</si>
  <si>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</si>
  <si>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</si>
  <si>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</si>
  <si>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</si>
  <si>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</si>
  <si>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</si>
  <si>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</si>
  <si>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</si>
  <si>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</si>
  <si>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</si>
  <si>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</si>
  <si>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</si>
  <si>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</si>
  <si>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</si>
  <si>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</si>
  <si>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</si>
  <si>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</si>
  <si>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</si>
  <si>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</si>
  <si>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</si>
  <si>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</si>
  <si>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</si>
  <si>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</si>
  <si>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</si>
  <si>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</si>
  <si>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</si>
  <si>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</si>
  <si>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</si>
  <si>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</si>
  <si>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</si>
  <si>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</si>
  <si>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</si>
  <si>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</si>
  <si>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</si>
  <si>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</si>
  <si>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</si>
  <si>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</si>
  <si>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</si>
  <si>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</si>
  <si>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</si>
  <si>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</si>
  <si>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</si>
  <si>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</si>
  <si>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</si>
  <si>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</si>
  <si>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</si>
  <si>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</si>
  <si>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</si>
  <si>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</si>
  <si>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</si>
  <si>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</si>
  <si>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</si>
  <si>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</si>
  <si>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</si>
  <si>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</si>
  <si>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</si>
  <si>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</si>
  <si>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</si>
  <si>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</si>
  <si>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</si>
  <si>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</si>
  <si>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</si>
  <si>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</si>
  <si>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</si>
  <si>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</si>
  <si>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</si>
  <si>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</si>
  <si>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</si>
  <si>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</si>
  <si>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</si>
  <si>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</si>
  <si>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</si>
  <si>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</si>
  <si>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</si>
  <si>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</si>
  <si>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</si>
  <si>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</si>
  <si>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</si>
  <si>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</si>
  <si>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</si>
  <si>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</si>
  <si>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</si>
  <si>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</si>
  <si>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</si>
  <si>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</si>
  <si>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</si>
  <si>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</si>
  <si>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</si>
  <si>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</si>
  <si>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</si>
  <si>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</si>
  <si>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</si>
  <si>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</si>
  <si>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</si>
  <si>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</si>
  <si>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</si>
  <si>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</si>
  <si>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</si>
  <si>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</si>
  <si>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</si>
  <si>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</si>
  <si>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</si>
  <si>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</si>
  <si>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</si>
  <si>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</si>
  <si>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</si>
  <si>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</si>
  <si>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</si>
  <si>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</si>
  <si>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</si>
  <si>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</si>
  <si>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</si>
  <si>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</si>
  <si>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</si>
  <si>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</si>
  <si>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</si>
  <si>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</si>
  <si>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</si>
  <si>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</si>
  <si>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</si>
  <si>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</si>
  <si>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</si>
  <si>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</si>
  <si>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</si>
  <si>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</si>
  <si>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</si>
  <si>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</si>
  <si>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</si>
  <si>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</si>
  <si>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</si>
  <si>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</si>
  <si>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</si>
  <si>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</si>
  <si>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</si>
  <si>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</si>
  <si>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</si>
  <si>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</si>
  <si>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</si>
  <si>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</si>
  <si>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</si>
  <si>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</si>
  <si>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</si>
  <si>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</si>
  <si>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</si>
  <si>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</si>
  <si>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</si>
  <si>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</si>
  <si>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</si>
  <si>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</si>
  <si>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</si>
  <si>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</si>
  <si>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</si>
  <si>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</si>
  <si>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</si>
  <si>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</si>
  <si>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</si>
  <si>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</si>
  <si>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</si>
  <si>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</si>
  <si>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</si>
  <si>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</si>
  <si>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</si>
  <si>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</si>
  <si>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</si>
  <si>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</si>
  <si>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</si>
  <si>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</si>
  <si>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</si>
  <si>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</si>
  <si>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</si>
  <si>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</si>
  <si>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</si>
  <si>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</si>
  <si>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</si>
  <si>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</si>
  <si>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</si>
  <si>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</si>
  <si>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</si>
  <si>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</si>
  <si>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</si>
  <si>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</si>
  <si>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</si>
  <si>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</si>
  <si>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</si>
  <si>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</si>
  <si>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</si>
  <si>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</si>
  <si>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</si>
  <si>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</si>
  <si>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</si>
  <si>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</si>
  <si>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</si>
  <si>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</si>
  <si>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</si>
  <si>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</si>
  <si>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</si>
  <si>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</si>
  <si>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</si>
  <si>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</si>
  <si>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</si>
  <si>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</si>
  <si>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</si>
  <si>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</si>
  <si>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</si>
  <si>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</si>
  <si>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</si>
  <si>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</si>
  <si>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</si>
  <si>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</si>
  <si>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</si>
  <si>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</si>
  <si>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</si>
  <si>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</si>
  <si>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</si>
  <si>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</si>
  <si>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</si>
  <si>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</si>
  <si>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</si>
  <si>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</si>
  <si>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</si>
  <si>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</si>
  <si>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</si>
  <si>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</si>
  <si>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</si>
  <si>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</si>
  <si>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</si>
  <si>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</si>
  <si>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</si>
  <si>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</si>
  <si>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</si>
  <si>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</si>
  <si>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</si>
  <si>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</si>
  <si>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</si>
  <si>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</si>
  <si>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</si>
  <si>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</si>
  <si>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</si>
  <si>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</si>
  <si>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</si>
  <si>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</si>
  <si>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</si>
  <si>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</si>
  <si>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</si>
  <si>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</si>
  <si>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</si>
  <si>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</si>
  <si>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</si>
  <si>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</si>
  <si>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</si>
  <si>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</si>
  <si>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</si>
  <si>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</si>
  <si>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</si>
  <si>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</si>
  <si>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</si>
  <si>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</si>
  <si>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</si>
  <si>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</si>
  <si>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</si>
  <si>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</si>
  <si>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</si>
  <si>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</si>
  <si>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</si>
  <si>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</si>
  <si>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</si>
  <si>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</si>
  <si>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</si>
  <si>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</si>
  <si>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</si>
  <si>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</si>
  <si>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</si>
  <si>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</si>
  <si>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</si>
  <si>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</si>
  <si>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</si>
  <si>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</si>
  <si>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</si>
  <si>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</si>
  <si>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</si>
  <si>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</si>
  <si>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</si>
  <si>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</si>
  <si>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</si>
  <si>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</si>
  <si>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</si>
  <si>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</si>
  <si>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</si>
  <si>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</si>
  <si>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</si>
  <si>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</si>
  <si>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</si>
  <si>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</si>
  <si>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</si>
  <si>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</si>
  <si>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</si>
  <si>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</si>
  <si>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</si>
  <si>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</si>
  <si>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</si>
  <si>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</si>
  <si>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</si>
  <si>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</si>
  <si>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</si>
  <si>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</si>
  <si>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</si>
  <si>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</si>
  <si>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</si>
  <si>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</si>
  <si>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</si>
  <si>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</si>
  <si>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</si>
  <si>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</si>
  <si>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</si>
  <si>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</si>
  <si>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Монтаж системы пожарной сигнализации</t>
  </si>
  <si>
    <t xml:space="preserve">                                   Демонтажные работы</t>
  </si>
  <si>
    <t>ТЕРм10-08-001-02
ОЗП=0,6
ЭМ=0,6
ЗПМ=0,6
МАТ=0
ТЗ=0,6
ТЗМ=0,6</t>
  </si>
  <si>
    <t>Приборы ПС приемно-контрольные, пусковые, концентратор: блок базовый на 20 лучей, 1 шт.
КОЭФ. К ПОЗИЦИИ:
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
Норматив НР % : 80%  *0.85
Норматив СП % : 60%  *0.8</t>
  </si>
  <si>
    <t>99,55
99,4</t>
  </si>
  <si>
    <t>38.119 Аппараты приемные: ОЗП=10,77; ЭМ=6,63; ЗПМ=10,77; МАТ=4,02</t>
  </si>
  <si>
    <t>ТЕРм08-03-593-10
ОЗП=0,3
ЭМ=0,3
ЗПМ=0,3
МАТ=0
ТЗ=0,3
ТЗМ=0,3</t>
  </si>
  <si>
    <t>Световые настенные указатели, 100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</si>
  <si>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0,18
18/100</t>
  </si>
  <si>
    <t>563,25
410,97</t>
  </si>
  <si>
    <t>152,28
5,35</t>
  </si>
  <si>
    <t>37.239 Светильники для ламп накаливания: потолочные или настенные: ОЗП=10,77; ЭМ=5,87; ЗПМ=10,77; МАТ=1,32</t>
  </si>
  <si>
    <t>161
10</t>
  </si>
  <si>
    <t>29,46
0,34</t>
  </si>
  <si>
    <t>5,3
0,06</t>
  </si>
  <si>
    <t>ТЕРм10-04-101-07
ОЗП=0,3
ЭМ=0,3
ЗПМ=0,3
МАТ=0
ТЗ=0,3
ТЗМ=0,3</t>
  </si>
  <si>
    <t>Демонтаж акустической колонки,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92%  *0.85
Норматив СП % : 65%  *0.8</t>
  </si>
  <si>
    <t>7,67
7,67</t>
  </si>
  <si>
    <t>38.63 Абонентское и другое оборудование: ОЗП=10,77; МАТ=4,4</t>
  </si>
  <si>
    <t>ТЕРм10-08-002-01
ОЗП=0,3
ЭМ=0,3
ЗПМ=0,3
МАТ=0
ТЗ=0,3
ТЗМ=0,3</t>
  </si>
  <si>
    <t>Извещатель ПС автоматический: тепловой электро-контактный, магнитоконтактный в нормальном исполнении,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</si>
  <si>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85
16+69</t>
  </si>
  <si>
    <t>3,44
3,41</t>
  </si>
  <si>
    <t>38.120 Извещатели ПС автоматические: ОЗП=10,77; ЭМ=6,56; ЗПМ=10,77; МАТ=2,85</t>
  </si>
  <si>
    <t>ТЕРм10-08-002-02
ОЗП=0,3
ЭМ=0,3
ЗПМ=0,3
МАТ=0
ТЗ=0,3
ТЗМ=0,3</t>
  </si>
  <si>
    <t>Извещатель ПС автоматический: дымовой, фотоэлектрический, радиоизотопный, световой в нормальном исполнении,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</si>
  <si>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6,9
6,83</t>
  </si>
  <si>
    <t>ТЕРм10-08-019-01
ОЗП=0,3
ЭМ=0,3
ЗПМ=0,3
МАТ=0
ТЗ=0,3
ТЗМ=0,3</t>
  </si>
  <si>
    <t>Снятие коробок коммутационных,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</si>
  <si>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2,06
2,06</t>
  </si>
  <si>
    <t>38.130 Прочее оборудование электрочасофикации: ОЗП=10,77; МАТ=3,15</t>
  </si>
  <si>
    <t>ТЕРм10-06-037-08
ОЗП=0,3
ЭМ=0,3
ЗПМ=0,3
МАТ=0
ТЗ=0,3
ТЗМ=0,3</t>
  </si>
  <si>
    <t>Демонтаж щитка ОПС,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100%  *0.85
Норматив СП % : 65%  *0.8</t>
  </si>
  <si>
    <t>4,06
3,93</t>
  </si>
  <si>
    <t>38.106 Ящики протяжные: ОЗП=10,77; ЭМ=4,88; ЗПМ=10,77; МАТ=2</t>
  </si>
  <si>
    <t>ТЕРм11-04-008-01
ОЗП=0,3
ЭМ=0,3
ЗПМ=0,3
МАТ=0
ТЗ=0,3
ТЗМ=0,3
применительно</t>
  </si>
  <si>
    <t>Аккумуляторная батарея,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92%  *0.85
Норматив СП % : 65%  *0.8</t>
  </si>
  <si>
    <t>4,08
3,77</t>
  </si>
  <si>
    <t>39.18 Съемные и выдвижные блоки (модули, ячейки, ТЭЗ): ОЗП=10,77; ЭМ=7,17; ЗПМ=10,77; МАТ=4,35</t>
  </si>
  <si>
    <t>Снятие колонок акустических,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92%  *0.85
Норматив СП % : 65%  *0.8</t>
  </si>
  <si>
    <t>ТЕРм10-02-016-06
ОЗП=0,3
ЭМ=0,3
ЗПМ=0,3
МАТ=0
ТЗ=0,3
ТЗМ=0,3</t>
  </si>
  <si>
    <t>Разборка резервного источника питания, 1 шт.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</si>
  <si>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58,39
47,18</t>
  </si>
  <si>
    <t>11,21
2,1</t>
  </si>
  <si>
    <t>38.19 Устройства переговорные (коммутаторы диспетчерской и директорской связи): ОЗП=10,77; ЭМ=7,14; ЗПМ=10,77; МАТ=3,15</t>
  </si>
  <si>
    <t>80
23</t>
  </si>
  <si>
    <t>3,03
0,13</t>
  </si>
  <si>
    <t>ТЕРр67-3-1
ОЗП=0,3
ЭМ=0,3
ЗПМ=0,3
МАТ=0
ТЗ=0,3
ТЗМ=0,3</t>
  </si>
  <si>
    <t>Демонтаж кабеля,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85%  *0.85
Норматив СП % : 65%  *0.8</t>
  </si>
  <si>
    <t>10
(300+700)/100</t>
  </si>
  <si>
    <t>31,84
31,73</t>
  </si>
  <si>
    <t>0,12
0,05</t>
  </si>
  <si>
    <t>60.3 Демонтаж кабеля: ОЗП=10,77; ЭМ=5,51; ЗПМ=10,77</t>
  </si>
  <si>
    <t>6
5</t>
  </si>
  <si>
    <t>ТЕРм08-02-396-05
ОЗП=0,3
ЭМ=0,3
ЗПМ=0,3
МАТ=0
ТЗ=0,3
ТЗМ=0,3</t>
  </si>
  <si>
    <t>Демонтаж кабель канала, 100 м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95%  *0.85
Норматив СП % : 65%  *0.8</t>
  </si>
  <si>
    <t>11
1100/100</t>
  </si>
  <si>
    <t>400,2
149,35</t>
  </si>
  <si>
    <t>250,85
61,08</t>
  </si>
  <si>
    <t>37.144 Короба металлические: ОЗП=10,77; ЭМ=6,25; ЗПМ=10,77; МАТ=3,42</t>
  </si>
  <si>
    <t>17246
7236</t>
  </si>
  <si>
    <t>11,28
3,83</t>
  </si>
  <si>
    <t>124,08
42,13</t>
  </si>
  <si>
    <t>ТЕРм10-01-055-07
ОЗП=0,3
ЭМ=0,3
ЗПМ=0,3
МАТ=0
ТЗ=0,3
ТЗМ=0,3</t>
  </si>
  <si>
    <t>Отсоединение телефонного провода, 100 м провода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Норматив НР % : 80%  *0.85
Норматив СП % : 60%  *0.8</t>
  </si>
  <si>
    <t>16
1600/100</t>
  </si>
  <si>
    <t>30,62
24</t>
  </si>
  <si>
    <t>6,62
1,24</t>
  </si>
  <si>
    <t>38.15 Прокладка кабеля и провода по стенам: ОЗП=10,77; ЭМ=7,11; ЗПМ=10,77; МАТ=1,09</t>
  </si>
  <si>
    <t>753
214</t>
  </si>
  <si>
    <t>2
0,08</t>
  </si>
  <si>
    <t>32
1,28</t>
  </si>
  <si>
    <t xml:space="preserve">                                   Строительные работы</t>
  </si>
  <si>
    <t>ТЕР46-03-010-02</t>
  </si>
  <si>
    <t>Пробивка в бетонных стенах и полах толщиной 100 мм отверстий площадью: до 100 см2, 100 отверстий
Норматив НР % : 110%  *(0.9*0.85)
Норматив СП % : 70%  *(0.85*0.8)</t>
  </si>
  <si>
    <t>0,78
(25+53)/100</t>
  </si>
  <si>
    <t>1330,07
474,76</t>
  </si>
  <si>
    <t>855,31
124,6</t>
  </si>
  <si>
    <t>32.35 Пробивка отверстий в бетонных стенах, полах и потолках: ОЗП=10,77; ЭМ=6,55; ЗПМ=10,77</t>
  </si>
  <si>
    <t>4370
1047</t>
  </si>
  <si>
    <t>35,43
8,99</t>
  </si>
  <si>
    <t>27,64
7,01</t>
  </si>
  <si>
    <t xml:space="preserve">                                   Монтажные работы</t>
  </si>
  <si>
    <t>ТЕРм10-08-001-02</t>
  </si>
  <si>
    <t>Приборы ПС приемно-контрольные, пусковые, концентратор: блок базовый на 20 лучей, 1 шт.
Норматив НР % : 80%  *0.85
Норматив СП % : 60%  *0.8</t>
  </si>
  <si>
    <t>178,95
165,67</t>
  </si>
  <si>
    <t>Прайлист
ПЗ=1,012
ОЗП=1,012
ЭМ=1,012
МАТ=1,012</t>
  </si>
  <si>
    <t xml:space="preserve">Гранит 24  (3202/1.18/3.52=771),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</si>
  <si>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Индекс перевода в текущие цены(оборудование); МАТ=3,52</t>
  </si>
  <si>
    <t>ТЕРм08-03-593-10</t>
  </si>
  <si>
    <t>Световые настенные указатели, 100 шт.
Норматив НР % : 95%  *0.85
Норматив СП % : 65%  *0.8</t>
  </si>
  <si>
    <t>2446,46
1369,89</t>
  </si>
  <si>
    <t>507,6
17,84</t>
  </si>
  <si>
    <t>536
35</t>
  </si>
  <si>
    <t>98,2
1,12</t>
  </si>
  <si>
    <t>17,68
0,2</t>
  </si>
  <si>
    <t>Прайслист"ООО "ВИС" г.Томск от 13.03.12 п.9
ПЗ=1,012
ОЗП=1,012
ЭМ=1,012
МАТ=1,012</t>
  </si>
  <si>
    <t xml:space="preserve">Табло Молния-12  (131.10/1.18/3.52=31.56),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</si>
  <si>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ТЕРм10-04-101-07</t>
  </si>
  <si>
    <t>Громкоговоритель или звуковая колонка: в помещении, 1 шт.
Норматив НР % : 92%  *0.85
Норматив СП % : 65%  *0.8</t>
  </si>
  <si>
    <t>37,11
25,58</t>
  </si>
  <si>
    <t>Прайслист"ООО "ВИС" г.Томск от 13.03.12 п.7
ПЗ=1,012
ОЗП=1,012
ЭМ=1,012
МАТ=1,012</t>
  </si>
  <si>
    <t xml:space="preserve">Блок речевого оповещения Рокот  (941/1.18/3.52=226.55),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</si>
  <si>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ТЕРм10-08-002-06</t>
  </si>
  <si>
    <t>Конструкция для установки извещателя, 1 шт.
Норматив НР % : 80%  *0.85
Норматив СП % : 60%  *0.8</t>
  </si>
  <si>
    <t>8,1
4,74</t>
  </si>
  <si>
    <t>38.122 Конструкции для установки извещателей: ОЗП=10,77; ЭМ=5,47; ЗПМ=10,77; МАТ=2,29</t>
  </si>
  <si>
    <t>ТЕРм10-08-002-01</t>
  </si>
  <si>
    <t>Извещатель ПС автоматический: тепловой электро-контактный, магнитоконтактный в нормальном исполнении, 1 шт.
Норматив НР % : 80%  *0.85
Норматив СП % : 60%  *0.8</t>
  </si>
  <si>
    <t>12,43
11,38</t>
  </si>
  <si>
    <t>Прайслист"ООО "ВИС" г.Томск от 13.03.12 п.6
ПЗ=1,02
ОЗП=1,02
ЭМ=1,02
МАТ=1,02</t>
  </si>
  <si>
    <t xml:space="preserve">Извещатель ручной ИПР-3СУ(138/1.18/4.35=26.88), шт
КОЭФ. К ПОЗИЦИИ:
Стоимость запасных частей - согласно п.4.56 из МДС 81-35.2004 ПЗ=1,02 (ОЗП=1,02; ЭМ=1,02; МАТ=1,02)
Норматив НР % : 0% 
Норматив СП % : 0% </t>
  </si>
  <si>
    <t>Индекс перевода в текущие цены(материалы); МАТ=4,35</t>
  </si>
  <si>
    <t>ТССЦ-509-1891</t>
  </si>
  <si>
    <t>Извещатель пожарный тепловой  ИП-103-3-А2-1М  (19.48/2.347=8.30), шт
Норматив НР % : 80%  *0.85
Норматив СП % : 60%  *0.8</t>
  </si>
  <si>
    <t>Извещатель пожарный тепловой  ИП-103-3-А2-1М; МАТ=2,347</t>
  </si>
  <si>
    <t>ТЕРм10-08-002-02</t>
  </si>
  <si>
    <t>Извещатель ПС автоматический: дымовой, фотоэлектрический, радиоизотопный, световой в нормальном исполнении, 1 шт.
Норматив НР % : 80%  *0.85
Норматив СП % : 60%  *0.8</t>
  </si>
  <si>
    <t>24,9
22,76</t>
  </si>
  <si>
    <t>Прайслист"ООО "Галан" г.Томск от 11.09.2012г. п.4
ПЗ=1,02
ОЗП=1,02
ЭМ=1,02
МАТ=1,02</t>
  </si>
  <si>
    <t xml:space="preserve">Извещатель пожарный дымовой ИПД-3.1М  (166.75/1.18/4.35=32,49), шт
КОЭФ. К ПОЗИЦИИ:
Стоимость запасных частей - согласно п.4.56 из МДС 81-35.2004 ПЗ=1,02 (ОЗП=1,02; ЭМ=1,02; МАТ=1,02)
Норматив НР % : 0% 
Норматив СП % : 0% </t>
  </si>
  <si>
    <t>ТЕРм10-08-019-01</t>
  </si>
  <si>
    <t>Коробка  коммутационная, 1 шт.
Норматив НР % : 80%  *0.85
Норматив СП % : 60%  *0.8</t>
  </si>
  <si>
    <t>7,47
6,88</t>
  </si>
  <si>
    <t>Прайслист"ООО "ВИС" г.Томск от 13.03.12 п.13
ПЗ=1,012
ОЗП=1,012
ЭМ=1,012
МАТ=1,012</t>
  </si>
  <si>
    <t xml:space="preserve">Коробка коммутационная КК-8  (9.50/1.18/3,52=2.29),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</si>
  <si>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ТЕРм10-06-037-08</t>
  </si>
  <si>
    <t>Установка щитка ОПС, 1 шт.
Норматив НР % : 100%  *0.85
Норматив СП % : 65%  *0.8</t>
  </si>
  <si>
    <t>14,88
13,11</t>
  </si>
  <si>
    <t>Прайслист"ООО "ВИС" г.Томск от 13.03.12 п.16
ПЗ=1,012
ОЗП=1,012
ЭМ=1,012
МАТ=1,012</t>
  </si>
  <si>
    <t xml:space="preserve">Щиток ОПС 600х400х20  (302.45/1.18/3.52=72.82),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</si>
  <si>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ТЕРм11-04-008-01
применительно</t>
  </si>
  <si>
    <t>Аккумуляторная батарея, 1 шт.
Норматив НР % : 92%  *0.85
Норматив СП % : 65%  *0.8</t>
  </si>
  <si>
    <t>13,86
12,55</t>
  </si>
  <si>
    <t>Прайслист"ООО "Галан" г.Томск от 11.09.2012г. п.7
ПЗ=1,012
ОЗП=1,012
ЭМ=1,012
МАТ=1,012</t>
  </si>
  <si>
    <t xml:space="preserve">Аккумулятор GS 7,0  (390/1.18/3.52=93.89),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</si>
  <si>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Колонка акустическая, 1 шт.
Норматив НР % : 92%  *0.85
Норматив СП % : 65%  *0.8</t>
  </si>
  <si>
    <t>Прайслист"ООО "ВИС" г.Томск от 13.03.12 п.8
ПЗ=1,012
ОЗП=1,012
ЭМ=1,012
МАТ=1,012</t>
  </si>
  <si>
    <t xml:space="preserve">Акустический модуль Ас-2-1  (313/1.18/3.52=75.36), шт
КОЭФ. К ПОЗИЦИИ:
Заготовительно-складские расходы - согласно п.4.64 из МДС 81-35.2004 ПЗ=1,012 (ОЗП=1,012; ЭМ=1,012; МАТ=1,012)
Норматив НР % : 0% 
Норматив СП % : 0% </t>
  </si>
  <si>
    <t>ТЕРм10-02-016-06</t>
  </si>
  <si>
    <t>Устройство резервного источника питания, 1 шт.
Норматив НР % : 80%  *0.85
Норматив СП % : 60%  *0.8</t>
  </si>
  <si>
    <t>254,69
157,26</t>
  </si>
  <si>
    <t>37,36
7,01</t>
  </si>
  <si>
    <t>267
76</t>
  </si>
  <si>
    <t>10,1
0,44</t>
  </si>
  <si>
    <t>ФССЦ-509-1817</t>
  </si>
  <si>
    <t>Блок источника резервного питания БИРП-12/4,0, шт.
Норматив НР % : 80%  *0.85
Норматив СП % : 60%  *0.8</t>
  </si>
  <si>
    <t xml:space="preserve"> Блок бесперебойного питания БИРП-12-4; МАТ=2,253</t>
  </si>
  <si>
    <t>ТЕРм08-02-399-01</t>
  </si>
  <si>
    <t>Провод в коробах, сечением: до 6 мм2, 100 м
Норматив НР % : 95%  *0.85
Норматив СП % : 65%  *0.8</t>
  </si>
  <si>
    <t>7
700/100</t>
  </si>
  <si>
    <t>226,01
46,6</t>
  </si>
  <si>
    <t>64,22
25,01</t>
  </si>
  <si>
    <t>37.146 Провода в лотках и коробах: ОЗП=10,77; ЭМ=5,99; ЗПМ=10,77; МАТ=1,74</t>
  </si>
  <si>
    <t>2693
1886</t>
  </si>
  <si>
    <t>3,52
1,57</t>
  </si>
  <si>
    <t>24,64
10,99</t>
  </si>
  <si>
    <t>Прайслист"ООО "ВИС" г.Томск от 13.03.12 п.20
ПЗ=1,02
ОЗП=1,02
ЭМ=1,02
МАТ=1,02</t>
  </si>
  <si>
    <t>Кабель КСРЭВнг  2х0,75  (36.52/1.18/4.35=7.11), м
КОЭФ. К ПОЗИЦИИ:
Стоимость запасных частей - согласно п.4.56 из МДС 81-35.2004 ПЗ=1,02 (ОЗП=1,02; ЭМ=1,02; МАТ=1,02)
Норматив НР % : 80%  *0.85
Норматив СП % : 60%  *0.8</t>
  </si>
  <si>
    <t>ТЕРм08-02-148-01</t>
  </si>
  <si>
    <t>Кабель до 35 кВ в проложенных трубах, блоках и коробах, масса 1 м кабеля: до 1 кг, 100 м кабеля
Норматив НР % : 95%  *0.85
Норматив СП % : 65%  *0.8</t>
  </si>
  <si>
    <t>793,09
168,02</t>
  </si>
  <si>
    <t>560,64
43,14</t>
  </si>
  <si>
    <t>37.71 Кабели до 35 кв в проложенных трубах, блоках и коробах: ОЗП=10,77; ЭМ=3,29; ЗПМ=10,77; МАТ=3,66</t>
  </si>
  <si>
    <t>18445
4646</t>
  </si>
  <si>
    <t>12,4
3,39</t>
  </si>
  <si>
    <t>124
33,9</t>
  </si>
  <si>
    <t>Прайслист"ООО "Галан"г.Томск от 11.09.2012г. п.20
ПЗ=1,02
ОЗП=1,02
ЭМ=1,02
МАТ=1,02</t>
  </si>
  <si>
    <t xml:space="preserve">Кабель сигнальный  КПСВ FLRS12х0,5  (14,25/1.18/4.35=2,78), м
КОЭФ. К ПОЗИЦИИ:
Стоимость запасных частей - согласно п.4.56 из МДС 81-35.2004 ПЗ=1,02 (ОЗП=1,02; ЭМ=1,02; МАТ=1,02)
Норматив НР % : 0% 
Норматив СП % : 0% </t>
  </si>
  <si>
    <t>Прайслист"ООО "ВИС" г.Томск от 13.03.12 п.19
ПЗ=1,02
ОЗП=1,02
ЭМ=1,02
МАТ=1,02</t>
  </si>
  <si>
    <t xml:space="preserve">Кабель сигнальный FLRS 2х0,5 КСРЭВнг (12.52/1.18/4.35=2,44), м
КОЭФ. К ПОЗИЦИИ:
Стоимость запасных частей - согласно п.4.56 из МДС 81-35.2004 ПЗ=1,02 (ОЗП=1,02; ЭМ=1,02; МАТ=1,02)
Норматив НР % : 0% 
Норматив СП % : 0% </t>
  </si>
  <si>
    <t>ТЕРм08-02-396-05</t>
  </si>
  <si>
    <t>Прокладка кабель-канала, 100 м
Норматив НР % : 95%  *0.85
Норматив СП % : 65%  *0.8</t>
  </si>
  <si>
    <t>1494,2
497,82</t>
  </si>
  <si>
    <t>836,18
203,59</t>
  </si>
  <si>
    <t>57487
24119</t>
  </si>
  <si>
    <t>37,6
12,78</t>
  </si>
  <si>
    <t>413,6
140,58</t>
  </si>
  <si>
    <t>ТССЦ-509-1829</t>
  </si>
  <si>
    <t>Кабель-канал (короб) "Электропласт" 16x16 мм  (11.52/1.643=7.01), м
Норматив НР % : 95%  *0.85
Норматив СП % : 65%  *0.8</t>
  </si>
  <si>
    <t>Кабель-канал (короб) "Электропласт" 16x16 мм; МАТ=1,643</t>
  </si>
  <si>
    <t>ТССЦ-509-1831</t>
  </si>
  <si>
    <t>Кабель-канал (короб) "Электропласт" 25x16 мм с (18.51/1.825=10.14), м
Норматив НР % : 95%  *0.85
Норматив СП % : 65%  *0.8</t>
  </si>
  <si>
    <t>Кабель-канал (короб) "Электропласт" 25x16 мм с; МАТ=1,825</t>
  </si>
  <si>
    <t>6155
4310</t>
  </si>
  <si>
    <t>56,32
25,12</t>
  </si>
  <si>
    <t>Прайслист"ООО "Галан" г.Томск от 11.09.2012г. п.3
ПЗ=1,02
ОЗП=1,02
ЭМ=1,02
МАТ=1,02</t>
  </si>
  <si>
    <t xml:space="preserve">Кабель телефонный КСПВ 2х0,5  (2,55/1.18/4.35=0,50), м
КОЭФ. К ПОЗИЦИИ:
Стоимость запасных частей - согласно п.4.56 из МДС 81-35.2004 ПЗ=1,02 (ОЗП=1,02; ЭМ=1,02; МАТ=1,02)
Норматив НР % : 0% 
Норматив СП % : 0% </t>
  </si>
  <si>
    <t>Итого прямые затраты по смете в текущих ценах</t>
  </si>
  <si>
    <t>109582
43607</t>
  </si>
  <si>
    <t>1437,68
261,84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</si>
  <si>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</si>
  <si>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</si>
  <si>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</si>
  <si>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</si>
  <si>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</si>
  <si>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>1410,04
254,83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</si>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</sst>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32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4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91"/>
  <sheetViews>
    <sheetView showGridLines="0" tabSelected="1" view="pageBreakPreview" zoomScaleNormal="117" zoomScaleSheetLayoutView="100" workbookViewId="0">
      <pane ySplit="19" topLeftCell="A80" activePane="bottomLeft" state="frozen"/>
      <selection pane="bottomLeft" activeCell="K11" sqref="K11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316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0">
        <v>864220.2</v>
      </c>
      <c r="D11" s="130"/>
      <c r="E11" s="130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131">
        <v>250506</v>
      </c>
      <c r="E12" s="131"/>
      <c r="F12" s="76" t="s">
        <v>301</v>
      </c>
      <c r="G12" s="78"/>
      <c r="H12" s="78"/>
      <c r="I12" s="78"/>
      <c r="J12" s="78"/>
    </row>
    <row r="13" spans="1:14" x14ac:dyDescent="0.2">
      <c r="A13" s="87" t="s">
        <v>317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</row>
    <row r="15" spans="1:14" ht="12.75" customHeight="1" x14ac:dyDescent="0.2">
      <c r="A15" s="107" t="s">
        <v>83</v>
      </c>
      <c r="B15" s="107" t="s">
        <v>310</v>
      </c>
      <c r="C15" s="91" t="s">
        <v>318</v>
      </c>
      <c r="D15" s="91" t="s">
        <v>311</v>
      </c>
      <c r="E15" s="97" t="s">
        <v>319</v>
      </c>
      <c r="F15" s="98"/>
      <c r="G15" s="99"/>
      <c r="H15" s="91" t="s">
        <v>295</v>
      </c>
      <c r="I15" s="97" t="s">
        <v>302</v>
      </c>
      <c r="J15" s="103"/>
      <c r="K15" s="103"/>
      <c r="L15" s="104"/>
      <c r="M15" s="93" t="s">
        <v>312</v>
      </c>
      <c r="N15" s="94"/>
    </row>
    <row r="16" spans="1:14" s="51" customFormat="1" ht="38.25" customHeight="1" x14ac:dyDescent="0.2">
      <c r="A16" s="108"/>
      <c r="B16" s="108"/>
      <c r="C16" s="108"/>
      <c r="D16" s="108"/>
      <c r="E16" s="100"/>
      <c r="F16" s="101"/>
      <c r="G16" s="102"/>
      <c r="H16" s="108"/>
      <c r="I16" s="95"/>
      <c r="J16" s="105"/>
      <c r="K16" s="105"/>
      <c r="L16" s="106"/>
      <c r="M16" s="95"/>
      <c r="N16" s="96"/>
    </row>
    <row r="17" spans="1:20" s="51" customFormat="1" ht="12.75" customHeight="1" x14ac:dyDescent="0.2">
      <c r="A17" s="108"/>
      <c r="B17" s="108"/>
      <c r="C17" s="108"/>
      <c r="D17" s="108"/>
      <c r="E17" s="81" t="s">
        <v>305</v>
      </c>
      <c r="F17" s="81" t="s">
        <v>307</v>
      </c>
      <c r="G17" s="91" t="s">
        <v>309</v>
      </c>
      <c r="H17" s="108"/>
      <c r="I17" s="91" t="s">
        <v>305</v>
      </c>
      <c r="J17" s="91" t="s">
        <v>308</v>
      </c>
      <c r="K17" s="81" t="s">
        <v>307</v>
      </c>
      <c r="L17" s="91" t="s">
        <v>309</v>
      </c>
      <c r="M17" s="107" t="s">
        <v>299</v>
      </c>
      <c r="N17" s="91" t="s">
        <v>305</v>
      </c>
    </row>
    <row r="18" spans="1:20" s="51" customFormat="1" ht="11.25" customHeight="1" x14ac:dyDescent="0.2">
      <c r="A18" s="92"/>
      <c r="B18" s="92"/>
      <c r="C18" s="92"/>
      <c r="D18" s="92"/>
      <c r="E18" s="74" t="s">
        <v>304</v>
      </c>
      <c r="F18" s="81" t="s">
        <v>306</v>
      </c>
      <c r="G18" s="92"/>
      <c r="H18" s="92"/>
      <c r="I18" s="92"/>
      <c r="J18" s="92"/>
      <c r="K18" s="81" t="s">
        <v>306</v>
      </c>
      <c r="L18" s="92"/>
      <c r="M18" s="92"/>
      <c r="N18" s="92"/>
    </row>
    <row r="19" spans="1:20" x14ac:dyDescent="0.2">
      <c r="A19" s="111">
        <v>1</v>
      </c>
      <c r="B19" s="111">
        <v>2</v>
      </c>
      <c r="C19" s="111">
        <v>3</v>
      </c>
      <c r="D19" s="111">
        <v>4</v>
      </c>
      <c r="E19" s="111">
        <v>5</v>
      </c>
      <c r="F19" s="111">
        <v>6</v>
      </c>
      <c r="G19" s="111">
        <v>7</v>
      </c>
      <c r="H19" s="111">
        <v>8</v>
      </c>
      <c r="I19" s="111">
        <v>9</v>
      </c>
      <c r="J19" s="111">
        <v>10</v>
      </c>
      <c r="K19" s="111">
        <v>11</v>
      </c>
      <c r="L19" s="111">
        <v>12</v>
      </c>
      <c r="M19" s="111">
        <v>13</v>
      </c>
      <c r="N19" s="111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2" t="s">
        <v>322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20" ht="17.850000000000001" customHeight="1" x14ac:dyDescent="0.2">
      <c r="A21" s="114" t="s">
        <v>323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  <row r="22" spans="1:20" ht="156" x14ac:dyDescent="0.2">
      <c r="A22" s="116">
        <v>1</v>
      </c>
      <c r="B22" s="117" t="s">
        <v>324</v>
      </c>
      <c r="C22" s="117" t="s">
        <v>325</v>
      </c>
      <c r="D22" s="116">
        <v>1</v>
      </c>
      <c r="E22" s="118" t="s">
        <v>326</v>
      </c>
      <c r="F22" s="118">
        <v>0.14000000000000001</v>
      </c>
      <c r="G22" s="118"/>
      <c r="H22" s="119" t="s">
        <v>327</v>
      </c>
      <c r="I22" s="120">
        <v>1072</v>
      </c>
      <c r="J22" s="118">
        <v>1071</v>
      </c>
      <c r="K22" s="118">
        <v>1</v>
      </c>
      <c r="L22" s="118" t="str">
        <f>IF(1*0=0," ",TEXT(,ROUND((1*0*4.02),2)))</f>
        <v xml:space="preserve"> </v>
      </c>
      <c r="M22" s="118">
        <v>7.02</v>
      </c>
      <c r="N22" s="118">
        <v>7.02</v>
      </c>
    </row>
    <row r="23" spans="1:20" ht="132" x14ac:dyDescent="0.2">
      <c r="A23" s="116">
        <v>2</v>
      </c>
      <c r="B23" s="117" t="s">
        <v>328</v>
      </c>
      <c r="C23" s="117" t="s">
        <v>329</v>
      </c>
      <c r="D23" s="116" t="s">
        <v>330</v>
      </c>
      <c r="E23" s="118" t="s">
        <v>331</v>
      </c>
      <c r="F23" s="118" t="s">
        <v>332</v>
      </c>
      <c r="G23" s="118"/>
      <c r="H23" s="119" t="s">
        <v>333</v>
      </c>
      <c r="I23" s="120">
        <v>958</v>
      </c>
      <c r="J23" s="118">
        <v>797</v>
      </c>
      <c r="K23" s="118" t="s">
        <v>334</v>
      </c>
      <c r="L23" s="118" t="str">
        <f>IF(0.18*0=0," ",TEXT(,ROUND((0.18*0*1.32),2)))</f>
        <v xml:space="preserve"> </v>
      </c>
      <c r="M23" s="118" t="s">
        <v>335</v>
      </c>
      <c r="N23" s="118" t="s">
        <v>336</v>
      </c>
    </row>
    <row r="24" spans="1:20" ht="132" x14ac:dyDescent="0.2">
      <c r="A24" s="116">
        <v>3</v>
      </c>
      <c r="B24" s="117" t="s">
        <v>337</v>
      </c>
      <c r="C24" s="117" t="s">
        <v>338</v>
      </c>
      <c r="D24" s="116">
        <v>1</v>
      </c>
      <c r="E24" s="118" t="s">
        <v>339</v>
      </c>
      <c r="F24" s="118"/>
      <c r="G24" s="118"/>
      <c r="H24" s="119" t="s">
        <v>340</v>
      </c>
      <c r="I24" s="120">
        <v>83</v>
      </c>
      <c r="J24" s="118">
        <v>83</v>
      </c>
      <c r="K24" s="118"/>
      <c r="L24" s="118" t="str">
        <f>IF(1*0=0," ",TEXT(,ROUND((1*0*4.4),2)))</f>
        <v xml:space="preserve"> </v>
      </c>
      <c r="M24" s="118">
        <v>0.6</v>
      </c>
      <c r="N24" s="118">
        <v>0.6</v>
      </c>
    </row>
    <row r="25" spans="1:20" ht="156" x14ac:dyDescent="0.2">
      <c r="A25" s="116">
        <v>4</v>
      </c>
      <c r="B25" s="117" t="s">
        <v>341</v>
      </c>
      <c r="C25" s="117" t="s">
        <v>342</v>
      </c>
      <c r="D25" s="116" t="s">
        <v>343</v>
      </c>
      <c r="E25" s="118" t="s">
        <v>344</v>
      </c>
      <c r="F25" s="118">
        <v>0.03</v>
      </c>
      <c r="G25" s="118"/>
      <c r="H25" s="119" t="s">
        <v>345</v>
      </c>
      <c r="I25" s="120">
        <v>3141</v>
      </c>
      <c r="J25" s="118">
        <v>3126</v>
      </c>
      <c r="K25" s="118">
        <v>15</v>
      </c>
      <c r="L25" s="118" t="str">
        <f>IF(85*0=0," ",TEXT(,ROUND((85*0*2.85),2)))</f>
        <v xml:space="preserve"> </v>
      </c>
      <c r="M25" s="118">
        <v>0.25</v>
      </c>
      <c r="N25" s="118">
        <v>21.25</v>
      </c>
    </row>
    <row r="26" spans="1:20" ht="156" x14ac:dyDescent="0.2">
      <c r="A26" s="116">
        <v>5</v>
      </c>
      <c r="B26" s="117" t="s">
        <v>346</v>
      </c>
      <c r="C26" s="117" t="s">
        <v>347</v>
      </c>
      <c r="D26" s="116">
        <v>129</v>
      </c>
      <c r="E26" s="118" t="s">
        <v>348</v>
      </c>
      <c r="F26" s="118">
        <v>7.0000000000000007E-2</v>
      </c>
      <c r="G26" s="118"/>
      <c r="H26" s="119" t="s">
        <v>345</v>
      </c>
      <c r="I26" s="120">
        <v>9547</v>
      </c>
      <c r="J26" s="118">
        <v>9487</v>
      </c>
      <c r="K26" s="118">
        <v>60</v>
      </c>
      <c r="L26" s="118" t="str">
        <f>IF(129*0=0," ",TEXT(,ROUND((129*0*2.85),2)))</f>
        <v xml:space="preserve"> </v>
      </c>
      <c r="M26" s="118">
        <v>0.5</v>
      </c>
      <c r="N26" s="118">
        <v>64.5</v>
      </c>
    </row>
    <row r="27" spans="1:20" ht="132" x14ac:dyDescent="0.2">
      <c r="A27" s="116">
        <v>6</v>
      </c>
      <c r="B27" s="117" t="s">
        <v>349</v>
      </c>
      <c r="C27" s="117" t="s">
        <v>350</v>
      </c>
      <c r="D27" s="116">
        <v>120</v>
      </c>
      <c r="E27" s="118" t="s">
        <v>351</v>
      </c>
      <c r="F27" s="118"/>
      <c r="G27" s="118"/>
      <c r="H27" s="119" t="s">
        <v>352</v>
      </c>
      <c r="I27" s="120">
        <v>2668</v>
      </c>
      <c r="J27" s="118">
        <v>2668</v>
      </c>
      <c r="K27" s="118"/>
      <c r="L27" s="118" t="str">
        <f>IF(120*0=0," ",TEXT(,ROUND((120*0*3.15),2)))</f>
        <v xml:space="preserve"> </v>
      </c>
      <c r="M27" s="118">
        <v>0.15</v>
      </c>
      <c r="N27" s="118">
        <v>18</v>
      </c>
    </row>
    <row r="28" spans="1:20" ht="120" x14ac:dyDescent="0.2">
      <c r="A28" s="116">
        <v>7</v>
      </c>
      <c r="B28" s="117" t="s">
        <v>353</v>
      </c>
      <c r="C28" s="117" t="s">
        <v>354</v>
      </c>
      <c r="D28" s="116">
        <v>1</v>
      </c>
      <c r="E28" s="118" t="s">
        <v>355</v>
      </c>
      <c r="F28" s="118">
        <v>0.12</v>
      </c>
      <c r="G28" s="118"/>
      <c r="H28" s="119" t="s">
        <v>356</v>
      </c>
      <c r="I28" s="120">
        <v>43</v>
      </c>
      <c r="J28" s="118">
        <v>42</v>
      </c>
      <c r="K28" s="118">
        <v>1</v>
      </c>
      <c r="L28" s="118" t="str">
        <f>IF(1*0=0," ",TEXT(,ROUND((1*0*2),2)))</f>
        <v xml:space="preserve"> </v>
      </c>
      <c r="M28" s="118">
        <v>0.33</v>
      </c>
      <c r="N28" s="118">
        <v>0.33</v>
      </c>
    </row>
    <row r="29" spans="1:20" ht="120" x14ac:dyDescent="0.2">
      <c r="A29" s="116">
        <v>8</v>
      </c>
      <c r="B29" s="117" t="s">
        <v>357</v>
      </c>
      <c r="C29" s="117" t="s">
        <v>358</v>
      </c>
      <c r="D29" s="116">
        <v>2</v>
      </c>
      <c r="E29" s="118" t="s">
        <v>359</v>
      </c>
      <c r="F29" s="118">
        <v>0.32</v>
      </c>
      <c r="G29" s="118"/>
      <c r="H29" s="119" t="s">
        <v>360</v>
      </c>
      <c r="I29" s="120">
        <v>86</v>
      </c>
      <c r="J29" s="118">
        <v>81</v>
      </c>
      <c r="K29" s="118">
        <v>5</v>
      </c>
      <c r="L29" s="118" t="str">
        <f>IF(2*0=0," ",TEXT(,ROUND((2*0*4.35),2)))</f>
        <v xml:space="preserve"> </v>
      </c>
      <c r="M29" s="118">
        <v>0.31</v>
      </c>
      <c r="N29" s="118">
        <v>0.62</v>
      </c>
    </row>
    <row r="30" spans="1:20" ht="120" x14ac:dyDescent="0.2">
      <c r="A30" s="116">
        <v>9</v>
      </c>
      <c r="B30" s="117" t="s">
        <v>337</v>
      </c>
      <c r="C30" s="117" t="s">
        <v>361</v>
      </c>
      <c r="D30" s="116">
        <v>7</v>
      </c>
      <c r="E30" s="118" t="s">
        <v>339</v>
      </c>
      <c r="F30" s="118"/>
      <c r="G30" s="118"/>
      <c r="H30" s="119" t="s">
        <v>340</v>
      </c>
      <c r="I30" s="120">
        <v>579</v>
      </c>
      <c r="J30" s="118">
        <v>579</v>
      </c>
      <c r="K30" s="118"/>
      <c r="L30" s="118" t="str">
        <f>IF(7*0=0," ",TEXT(,ROUND((7*0*4.4),2)))</f>
        <v xml:space="preserve"> </v>
      </c>
      <c r="M30" s="118">
        <v>0.6</v>
      </c>
      <c r="N30" s="118">
        <v>4.2</v>
      </c>
    </row>
    <row r="31" spans="1:20" ht="132" x14ac:dyDescent="0.2">
      <c r="A31" s="116">
        <v>10</v>
      </c>
      <c r="B31" s="117" t="s">
        <v>362</v>
      </c>
      <c r="C31" s="117" t="s">
        <v>363</v>
      </c>
      <c r="D31" s="116">
        <v>1</v>
      </c>
      <c r="E31" s="118" t="s">
        <v>364</v>
      </c>
      <c r="F31" s="118" t="s">
        <v>365</v>
      </c>
      <c r="G31" s="118"/>
      <c r="H31" s="119" t="s">
        <v>366</v>
      </c>
      <c r="I31" s="120">
        <v>588</v>
      </c>
      <c r="J31" s="118">
        <v>508</v>
      </c>
      <c r="K31" s="118" t="s">
        <v>367</v>
      </c>
      <c r="L31" s="118" t="str">
        <f>IF(1*0=0," ",TEXT(,ROUND((1*0*3.15),2)))</f>
        <v xml:space="preserve"> </v>
      </c>
      <c r="M31" s="118" t="s">
        <v>368</v>
      </c>
      <c r="N31" s="118" t="s">
        <v>368</v>
      </c>
    </row>
    <row r="32" spans="1:20" ht="120" x14ac:dyDescent="0.2">
      <c r="A32" s="116">
        <v>11</v>
      </c>
      <c r="B32" s="117" t="s">
        <v>369</v>
      </c>
      <c r="C32" s="117" t="s">
        <v>370</v>
      </c>
      <c r="D32" s="116" t="s">
        <v>371</v>
      </c>
      <c r="E32" s="118" t="s">
        <v>372</v>
      </c>
      <c r="F32" s="118" t="s">
        <v>373</v>
      </c>
      <c r="G32" s="118"/>
      <c r="H32" s="119" t="s">
        <v>374</v>
      </c>
      <c r="I32" s="120">
        <v>3423</v>
      </c>
      <c r="J32" s="118">
        <v>3417</v>
      </c>
      <c r="K32" s="118" t="s">
        <v>375</v>
      </c>
      <c r="L32" s="118" t="str">
        <f>IF(10*0=0," ",TEXT(,ROUND((10*0*1),2)))</f>
        <v xml:space="preserve"> </v>
      </c>
      <c r="M32" s="118">
        <v>2.89</v>
      </c>
      <c r="N32" s="118">
        <v>28.9</v>
      </c>
    </row>
    <row r="33" spans="1:14" ht="120" x14ac:dyDescent="0.2">
      <c r="A33" s="116">
        <v>12</v>
      </c>
      <c r="B33" s="117" t="s">
        <v>376</v>
      </c>
      <c r="C33" s="117" t="s">
        <v>377</v>
      </c>
      <c r="D33" s="116" t="s">
        <v>378</v>
      </c>
      <c r="E33" s="118" t="s">
        <v>379</v>
      </c>
      <c r="F33" s="118" t="s">
        <v>380</v>
      </c>
      <c r="G33" s="118"/>
      <c r="H33" s="119" t="s">
        <v>381</v>
      </c>
      <c r="I33" s="120">
        <v>34939</v>
      </c>
      <c r="J33" s="118">
        <v>17693</v>
      </c>
      <c r="K33" s="118" t="s">
        <v>382</v>
      </c>
      <c r="L33" s="118" t="str">
        <f>IF(11*0=0," ",TEXT(,ROUND((11*0*3.42),2)))</f>
        <v xml:space="preserve"> </v>
      </c>
      <c r="M33" s="118" t="s">
        <v>383</v>
      </c>
      <c r="N33" s="118" t="s">
        <v>384</v>
      </c>
    </row>
    <row r="34" spans="1:14" ht="132" x14ac:dyDescent="0.2">
      <c r="A34" s="116">
        <v>13</v>
      </c>
      <c r="B34" s="117" t="s">
        <v>385</v>
      </c>
      <c r="C34" s="117" t="s">
        <v>386</v>
      </c>
      <c r="D34" s="116" t="s">
        <v>387</v>
      </c>
      <c r="E34" s="118" t="s">
        <v>388</v>
      </c>
      <c r="F34" s="118" t="s">
        <v>389</v>
      </c>
      <c r="G34" s="118"/>
      <c r="H34" s="119" t="s">
        <v>390</v>
      </c>
      <c r="I34" s="120">
        <v>4889</v>
      </c>
      <c r="J34" s="118">
        <v>4136</v>
      </c>
      <c r="K34" s="118" t="s">
        <v>391</v>
      </c>
      <c r="L34" s="118" t="str">
        <f>IF(16*0=0," ",TEXT(,ROUND((16*0*1.09),2)))</f>
        <v xml:space="preserve"> </v>
      </c>
      <c r="M34" s="118" t="s">
        <v>392</v>
      </c>
      <c r="N34" s="118" t="s">
        <v>393</v>
      </c>
    </row>
    <row r="35" spans="1:14" ht="17.850000000000001" customHeight="1" x14ac:dyDescent="0.2">
      <c r="A35" s="114" t="s">
        <v>394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</row>
    <row r="36" spans="1:14" ht="60" x14ac:dyDescent="0.2">
      <c r="A36" s="116">
        <v>14</v>
      </c>
      <c r="B36" s="117" t="s">
        <v>395</v>
      </c>
      <c r="C36" s="117" t="s">
        <v>396</v>
      </c>
      <c r="D36" s="116" t="s">
        <v>397</v>
      </c>
      <c r="E36" s="118" t="s">
        <v>398</v>
      </c>
      <c r="F36" s="118" t="s">
        <v>399</v>
      </c>
      <c r="G36" s="118"/>
      <c r="H36" s="119" t="s">
        <v>400</v>
      </c>
      <c r="I36" s="120">
        <v>8358</v>
      </c>
      <c r="J36" s="118">
        <v>3988</v>
      </c>
      <c r="K36" s="118" t="s">
        <v>401</v>
      </c>
      <c r="L36" s="118" t="str">
        <f>IF(0.78*0=0," ",TEXT(,ROUND((0.78*0*1),2)))</f>
        <v xml:space="preserve"> </v>
      </c>
      <c r="M36" s="118" t="s">
        <v>402</v>
      </c>
      <c r="N36" s="118" t="s">
        <v>403</v>
      </c>
    </row>
    <row r="37" spans="1:14" ht="17.850000000000001" customHeight="1" x14ac:dyDescent="0.2">
      <c r="A37" s="114" t="s">
        <v>404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</row>
    <row r="38" spans="1:14" ht="60" x14ac:dyDescent="0.2">
      <c r="A38" s="116">
        <v>15</v>
      </c>
      <c r="B38" s="117" t="s">
        <v>405</v>
      </c>
      <c r="C38" s="117" t="s">
        <v>406</v>
      </c>
      <c r="D38" s="116">
        <v>1</v>
      </c>
      <c r="E38" s="118" t="s">
        <v>407</v>
      </c>
      <c r="F38" s="118">
        <v>0.24</v>
      </c>
      <c r="G38" s="118">
        <v>13.04</v>
      </c>
      <c r="H38" s="119" t="s">
        <v>327</v>
      </c>
      <c r="I38" s="120">
        <v>1838</v>
      </c>
      <c r="J38" s="118">
        <v>1784</v>
      </c>
      <c r="K38" s="118">
        <v>2</v>
      </c>
      <c r="L38" s="118" t="str">
        <f>IF(1*13.04=0," ",TEXT(,ROUND((1*13.04*4.02),2)))</f>
        <v>52,42</v>
      </c>
      <c r="M38" s="118">
        <v>11.7</v>
      </c>
      <c r="N38" s="118">
        <v>11.7</v>
      </c>
    </row>
    <row r="39" spans="1:14" ht="96" x14ac:dyDescent="0.2">
      <c r="A39" s="116">
        <v>16</v>
      </c>
      <c r="B39" s="117" t="s">
        <v>408</v>
      </c>
      <c r="C39" s="117" t="s">
        <v>409</v>
      </c>
      <c r="D39" s="116">
        <v>1</v>
      </c>
      <c r="E39" s="118">
        <v>780.25</v>
      </c>
      <c r="F39" s="118"/>
      <c r="G39" s="118">
        <v>780.25</v>
      </c>
      <c r="H39" s="119" t="s">
        <v>410</v>
      </c>
      <c r="I39" s="120">
        <v>2746</v>
      </c>
      <c r="J39" s="118"/>
      <c r="K39" s="118"/>
      <c r="L39" s="118" t="str">
        <f>IF(1*780.25=0," ",TEXT(,ROUND((1*780.25*3.52),2)))</f>
        <v>2746,48</v>
      </c>
      <c r="M39" s="118"/>
      <c r="N39" s="118"/>
    </row>
    <row r="40" spans="1:14" ht="67.5" x14ac:dyDescent="0.2">
      <c r="A40" s="116">
        <v>17</v>
      </c>
      <c r="B40" s="117" t="s">
        <v>411</v>
      </c>
      <c r="C40" s="117" t="s">
        <v>412</v>
      </c>
      <c r="D40" s="116" t="s">
        <v>330</v>
      </c>
      <c r="E40" s="118" t="s">
        <v>413</v>
      </c>
      <c r="F40" s="118" t="s">
        <v>414</v>
      </c>
      <c r="G40" s="118">
        <v>568.97</v>
      </c>
      <c r="H40" s="119" t="s">
        <v>333</v>
      </c>
      <c r="I40" s="120">
        <v>3327</v>
      </c>
      <c r="J40" s="118">
        <v>2656</v>
      </c>
      <c r="K40" s="118" t="s">
        <v>415</v>
      </c>
      <c r="L40" s="118" t="str">
        <f>IF(0.18*568.97=0," ",TEXT(,ROUND((0.18*568.97*1.32),2)))</f>
        <v>135,19</v>
      </c>
      <c r="M40" s="118" t="s">
        <v>416</v>
      </c>
      <c r="N40" s="118" t="s">
        <v>417</v>
      </c>
    </row>
    <row r="41" spans="1:14" ht="108" x14ac:dyDescent="0.2">
      <c r="A41" s="116">
        <v>18</v>
      </c>
      <c r="B41" s="117" t="s">
        <v>418</v>
      </c>
      <c r="C41" s="117" t="s">
        <v>419</v>
      </c>
      <c r="D41" s="116">
        <v>18</v>
      </c>
      <c r="E41" s="118">
        <v>31.94</v>
      </c>
      <c r="F41" s="118"/>
      <c r="G41" s="118">
        <v>31.94</v>
      </c>
      <c r="H41" s="119" t="s">
        <v>410</v>
      </c>
      <c r="I41" s="120">
        <v>2024</v>
      </c>
      <c r="J41" s="118"/>
      <c r="K41" s="118"/>
      <c r="L41" s="118" t="str">
        <f>IF(18*31.94=0," ",TEXT(,ROUND((18*31.94*3.52),2)))</f>
        <v>2023,72</v>
      </c>
      <c r="M41" s="118"/>
      <c r="N41" s="118"/>
    </row>
    <row r="42" spans="1:14" ht="48" x14ac:dyDescent="0.2">
      <c r="A42" s="116">
        <v>19</v>
      </c>
      <c r="B42" s="117" t="s">
        <v>420</v>
      </c>
      <c r="C42" s="117" t="s">
        <v>421</v>
      </c>
      <c r="D42" s="116">
        <v>1</v>
      </c>
      <c r="E42" s="118" t="s">
        <v>422</v>
      </c>
      <c r="F42" s="118"/>
      <c r="G42" s="118">
        <v>11.53</v>
      </c>
      <c r="H42" s="119" t="s">
        <v>340</v>
      </c>
      <c r="I42" s="120">
        <v>326</v>
      </c>
      <c r="J42" s="118">
        <v>276</v>
      </c>
      <c r="K42" s="118"/>
      <c r="L42" s="118" t="str">
        <f>IF(1*11.53=0," ",TEXT(,ROUND((1*11.53*4.4),2)))</f>
        <v>50,73</v>
      </c>
      <c r="M42" s="118">
        <v>2</v>
      </c>
      <c r="N42" s="118">
        <v>2</v>
      </c>
    </row>
    <row r="43" spans="1:14" ht="108" x14ac:dyDescent="0.2">
      <c r="A43" s="116">
        <v>20</v>
      </c>
      <c r="B43" s="117" t="s">
        <v>423</v>
      </c>
      <c r="C43" s="117" t="s">
        <v>424</v>
      </c>
      <c r="D43" s="116">
        <v>1</v>
      </c>
      <c r="E43" s="118">
        <v>229.27</v>
      </c>
      <c r="F43" s="118"/>
      <c r="G43" s="118">
        <v>229.27</v>
      </c>
      <c r="H43" s="119" t="s">
        <v>410</v>
      </c>
      <c r="I43" s="120">
        <v>807</v>
      </c>
      <c r="J43" s="118"/>
      <c r="K43" s="118"/>
      <c r="L43" s="118" t="str">
        <f>IF(1*229.27=0," ",TEXT(,ROUND((1*229.27*3.52),2)))</f>
        <v>807,03</v>
      </c>
      <c r="M43" s="118"/>
      <c r="N43" s="118"/>
    </row>
    <row r="44" spans="1:14" ht="48" x14ac:dyDescent="0.2">
      <c r="A44" s="116">
        <v>21</v>
      </c>
      <c r="B44" s="117" t="s">
        <v>425</v>
      </c>
      <c r="C44" s="117" t="s">
        <v>426</v>
      </c>
      <c r="D44" s="116">
        <v>214</v>
      </c>
      <c r="E44" s="118" t="s">
        <v>427</v>
      </c>
      <c r="F44" s="118">
        <v>0.88</v>
      </c>
      <c r="G44" s="118">
        <v>2.48</v>
      </c>
      <c r="H44" s="119" t="s">
        <v>428</v>
      </c>
      <c r="I44" s="120">
        <v>13170</v>
      </c>
      <c r="J44" s="118">
        <v>10925</v>
      </c>
      <c r="K44" s="118">
        <v>1029</v>
      </c>
      <c r="L44" s="118" t="str">
        <f>IF(214*2.48=0," ",TEXT(,ROUND((214*2.48*2.29),2)))</f>
        <v>1215,35</v>
      </c>
      <c r="M44" s="118">
        <v>0.35</v>
      </c>
      <c r="N44" s="118">
        <v>74.900000000000006</v>
      </c>
    </row>
    <row r="45" spans="1:14" ht="72" x14ac:dyDescent="0.2">
      <c r="A45" s="116">
        <v>22</v>
      </c>
      <c r="B45" s="117" t="s">
        <v>429</v>
      </c>
      <c r="C45" s="117" t="s">
        <v>430</v>
      </c>
      <c r="D45" s="116" t="s">
        <v>343</v>
      </c>
      <c r="E45" s="118" t="s">
        <v>431</v>
      </c>
      <c r="F45" s="118">
        <v>0.09</v>
      </c>
      <c r="G45" s="118">
        <v>0.96</v>
      </c>
      <c r="H45" s="119" t="s">
        <v>345</v>
      </c>
      <c r="I45" s="120">
        <v>10701</v>
      </c>
      <c r="J45" s="118">
        <v>10418</v>
      </c>
      <c r="K45" s="118">
        <v>50</v>
      </c>
      <c r="L45" s="118" t="str">
        <f>IF(85*0.96=0," ",TEXT(,ROUND((85*0.96*2.85),2)))</f>
        <v>232,56</v>
      </c>
      <c r="M45" s="118">
        <v>0.84</v>
      </c>
      <c r="N45" s="118">
        <v>71.400000000000006</v>
      </c>
    </row>
    <row r="46" spans="1:14" ht="96" x14ac:dyDescent="0.2">
      <c r="A46" s="116">
        <v>23</v>
      </c>
      <c r="B46" s="117" t="s">
        <v>432</v>
      </c>
      <c r="C46" s="117" t="s">
        <v>433</v>
      </c>
      <c r="D46" s="116">
        <v>16</v>
      </c>
      <c r="E46" s="118">
        <v>27.42</v>
      </c>
      <c r="F46" s="118"/>
      <c r="G46" s="118">
        <v>27.42</v>
      </c>
      <c r="H46" s="119" t="s">
        <v>434</v>
      </c>
      <c r="I46" s="120">
        <v>1908</v>
      </c>
      <c r="J46" s="118"/>
      <c r="K46" s="118"/>
      <c r="L46" s="118" t="str">
        <f>IF(16*27.42=0," ",TEXT(,ROUND((16*27.42*4.35),2)))</f>
        <v>1908,43</v>
      </c>
      <c r="M46" s="118"/>
      <c r="N46" s="118"/>
    </row>
    <row r="47" spans="1:14" ht="48" x14ac:dyDescent="0.2">
      <c r="A47" s="116">
        <v>24</v>
      </c>
      <c r="B47" s="117" t="s">
        <v>435</v>
      </c>
      <c r="C47" s="117" t="s">
        <v>436</v>
      </c>
      <c r="D47" s="116">
        <v>69</v>
      </c>
      <c r="E47" s="118">
        <v>8.3000000000000007</v>
      </c>
      <c r="F47" s="118"/>
      <c r="G47" s="118">
        <v>8.3000000000000007</v>
      </c>
      <c r="H47" s="119" t="s">
        <v>437</v>
      </c>
      <c r="I47" s="120">
        <v>1344</v>
      </c>
      <c r="J47" s="118"/>
      <c r="K47" s="118"/>
      <c r="L47" s="118" t="str">
        <f>IF(69*8.3=0," ",TEXT(,ROUND((69*8.3*2.347),2)))</f>
        <v>1344,13</v>
      </c>
      <c r="M47" s="118"/>
      <c r="N47" s="118"/>
    </row>
    <row r="48" spans="1:14" ht="72" x14ac:dyDescent="0.2">
      <c r="A48" s="116">
        <v>25</v>
      </c>
      <c r="B48" s="117" t="s">
        <v>438</v>
      </c>
      <c r="C48" s="117" t="s">
        <v>439</v>
      </c>
      <c r="D48" s="116">
        <v>129</v>
      </c>
      <c r="E48" s="118" t="s">
        <v>440</v>
      </c>
      <c r="F48" s="118">
        <v>0.24</v>
      </c>
      <c r="G48" s="118">
        <v>1.9</v>
      </c>
      <c r="H48" s="119" t="s">
        <v>345</v>
      </c>
      <c r="I48" s="120">
        <v>32522</v>
      </c>
      <c r="J48" s="118">
        <v>31622</v>
      </c>
      <c r="K48" s="118">
        <v>203</v>
      </c>
      <c r="L48" s="118" t="str">
        <f>IF(129*1.9=0," ",TEXT(,ROUND((129*1.9*2.85),2)))</f>
        <v>698,54</v>
      </c>
      <c r="M48" s="118">
        <v>1.68</v>
      </c>
      <c r="N48" s="118">
        <v>216.72</v>
      </c>
    </row>
    <row r="49" spans="1:14" ht="108" x14ac:dyDescent="0.2">
      <c r="A49" s="116">
        <v>26</v>
      </c>
      <c r="B49" s="117" t="s">
        <v>441</v>
      </c>
      <c r="C49" s="117" t="s">
        <v>442</v>
      </c>
      <c r="D49" s="116">
        <v>129</v>
      </c>
      <c r="E49" s="118">
        <v>33.14</v>
      </c>
      <c r="F49" s="118"/>
      <c r="G49" s="118">
        <v>33.14</v>
      </c>
      <c r="H49" s="119" t="s">
        <v>410</v>
      </c>
      <c r="I49" s="120">
        <v>15048</v>
      </c>
      <c r="J49" s="118"/>
      <c r="K49" s="118"/>
      <c r="L49" s="118" t="str">
        <f>IF(129*33.14=0," ",TEXT(,ROUND((129*33.14*3.52),2)))</f>
        <v>15048,21</v>
      </c>
      <c r="M49" s="118"/>
      <c r="N49" s="118"/>
    </row>
    <row r="50" spans="1:14" ht="45" x14ac:dyDescent="0.2">
      <c r="A50" s="116">
        <v>27</v>
      </c>
      <c r="B50" s="117" t="s">
        <v>443</v>
      </c>
      <c r="C50" s="117" t="s">
        <v>444</v>
      </c>
      <c r="D50" s="116">
        <v>120</v>
      </c>
      <c r="E50" s="118" t="s">
        <v>445</v>
      </c>
      <c r="F50" s="118"/>
      <c r="G50" s="118">
        <v>0.59</v>
      </c>
      <c r="H50" s="119" t="s">
        <v>352</v>
      </c>
      <c r="I50" s="120">
        <v>9115</v>
      </c>
      <c r="J50" s="118">
        <v>8892</v>
      </c>
      <c r="K50" s="118"/>
      <c r="L50" s="118" t="str">
        <f>IF(120*0.59=0," ",TEXT(,ROUND((120*0.59*3.15),2)))</f>
        <v>223,02</v>
      </c>
      <c r="M50" s="118">
        <v>0.5</v>
      </c>
      <c r="N50" s="118">
        <v>60</v>
      </c>
    </row>
    <row r="51" spans="1:14" ht="108" x14ac:dyDescent="0.2">
      <c r="A51" s="116">
        <v>28</v>
      </c>
      <c r="B51" s="117" t="s">
        <v>446</v>
      </c>
      <c r="C51" s="117" t="s">
        <v>447</v>
      </c>
      <c r="D51" s="116">
        <v>120</v>
      </c>
      <c r="E51" s="118">
        <v>2.3199999999999998</v>
      </c>
      <c r="F51" s="118"/>
      <c r="G51" s="118">
        <v>2.3199999999999998</v>
      </c>
      <c r="H51" s="119" t="s">
        <v>410</v>
      </c>
      <c r="I51" s="120">
        <v>979</v>
      </c>
      <c r="J51" s="118"/>
      <c r="K51" s="118"/>
      <c r="L51" s="118" t="str">
        <f>IF(120*2.32=0," ",TEXT(,ROUND((120*2.32*3.52),2)))</f>
        <v>979,97</v>
      </c>
      <c r="M51" s="118"/>
      <c r="N51" s="118"/>
    </row>
    <row r="52" spans="1:14" ht="36" x14ac:dyDescent="0.2">
      <c r="A52" s="116">
        <v>29</v>
      </c>
      <c r="B52" s="117" t="s">
        <v>448</v>
      </c>
      <c r="C52" s="117" t="s">
        <v>449</v>
      </c>
      <c r="D52" s="116">
        <v>1</v>
      </c>
      <c r="E52" s="118" t="s">
        <v>450</v>
      </c>
      <c r="F52" s="118">
        <v>0.41</v>
      </c>
      <c r="G52" s="118">
        <v>1.36</v>
      </c>
      <c r="H52" s="119" t="s">
        <v>356</v>
      </c>
      <c r="I52" s="120">
        <v>146</v>
      </c>
      <c r="J52" s="118">
        <v>141</v>
      </c>
      <c r="K52" s="118">
        <v>2</v>
      </c>
      <c r="L52" s="118" t="str">
        <f>IF(1*1.36=0," ",TEXT(,ROUND((1*1.36*2),2)))</f>
        <v>2,72</v>
      </c>
      <c r="M52" s="118">
        <v>1.0900000000000001</v>
      </c>
      <c r="N52" s="118">
        <v>1.0900000000000001</v>
      </c>
    </row>
    <row r="53" spans="1:14" ht="108" x14ac:dyDescent="0.2">
      <c r="A53" s="116">
        <v>30</v>
      </c>
      <c r="B53" s="117" t="s">
        <v>451</v>
      </c>
      <c r="C53" s="117" t="s">
        <v>452</v>
      </c>
      <c r="D53" s="116">
        <v>1</v>
      </c>
      <c r="E53" s="118">
        <v>73.69</v>
      </c>
      <c r="F53" s="118"/>
      <c r="G53" s="118">
        <v>73.69</v>
      </c>
      <c r="H53" s="119" t="s">
        <v>410</v>
      </c>
      <c r="I53" s="120">
        <v>259</v>
      </c>
      <c r="J53" s="118"/>
      <c r="K53" s="118"/>
      <c r="L53" s="118" t="str">
        <f>IF(1*73.69=0," ",TEXT(,ROUND((1*73.69*3.52),2)))</f>
        <v>259,39</v>
      </c>
      <c r="M53" s="118"/>
      <c r="N53" s="118"/>
    </row>
    <row r="54" spans="1:14" ht="56.25" x14ac:dyDescent="0.2">
      <c r="A54" s="116">
        <v>31</v>
      </c>
      <c r="B54" s="117" t="s">
        <v>453</v>
      </c>
      <c r="C54" s="117" t="s">
        <v>454</v>
      </c>
      <c r="D54" s="116">
        <v>2</v>
      </c>
      <c r="E54" s="118" t="s">
        <v>455</v>
      </c>
      <c r="F54" s="118">
        <v>1.06</v>
      </c>
      <c r="G54" s="118">
        <v>0.25</v>
      </c>
      <c r="H54" s="119" t="s">
        <v>360</v>
      </c>
      <c r="I54" s="120">
        <v>288</v>
      </c>
      <c r="J54" s="118">
        <v>270</v>
      </c>
      <c r="K54" s="118">
        <v>15</v>
      </c>
      <c r="L54" s="118" t="str">
        <f>IF(2*0.25=0," ",TEXT(,ROUND((2*0.25*4.35),2)))</f>
        <v>2,18</v>
      </c>
      <c r="M54" s="118">
        <v>1.03</v>
      </c>
      <c r="N54" s="118">
        <v>2.06</v>
      </c>
    </row>
    <row r="55" spans="1:14" ht="108" x14ac:dyDescent="0.2">
      <c r="A55" s="116">
        <v>32</v>
      </c>
      <c r="B55" s="117" t="s">
        <v>456</v>
      </c>
      <c r="C55" s="117" t="s">
        <v>457</v>
      </c>
      <c r="D55" s="116">
        <v>2</v>
      </c>
      <c r="E55" s="118">
        <v>95.02</v>
      </c>
      <c r="F55" s="118"/>
      <c r="G55" s="118">
        <v>95.02</v>
      </c>
      <c r="H55" s="119" t="s">
        <v>410</v>
      </c>
      <c r="I55" s="120">
        <v>669</v>
      </c>
      <c r="J55" s="118"/>
      <c r="K55" s="118"/>
      <c r="L55" s="118" t="str">
        <f>IF(2*95.02=0," ",TEXT(,ROUND((2*95.02*3.52),2)))</f>
        <v>668,94</v>
      </c>
      <c r="M55" s="118"/>
      <c r="N55" s="118"/>
    </row>
    <row r="56" spans="1:14" ht="36" x14ac:dyDescent="0.2">
      <c r="A56" s="116">
        <v>33</v>
      </c>
      <c r="B56" s="117" t="s">
        <v>420</v>
      </c>
      <c r="C56" s="117" t="s">
        <v>458</v>
      </c>
      <c r="D56" s="116">
        <v>7</v>
      </c>
      <c r="E56" s="118" t="s">
        <v>422</v>
      </c>
      <c r="F56" s="118"/>
      <c r="G56" s="118">
        <v>11.53</v>
      </c>
      <c r="H56" s="119" t="s">
        <v>340</v>
      </c>
      <c r="I56" s="120">
        <v>2284</v>
      </c>
      <c r="J56" s="118">
        <v>1929</v>
      </c>
      <c r="K56" s="118"/>
      <c r="L56" s="118" t="str">
        <f>IF(7*11.53=0," ",TEXT(,ROUND((7*11.53*4.4),2)))</f>
        <v>355,12</v>
      </c>
      <c r="M56" s="118">
        <v>2</v>
      </c>
      <c r="N56" s="118">
        <v>14</v>
      </c>
    </row>
    <row r="57" spans="1:14" ht="108" x14ac:dyDescent="0.2">
      <c r="A57" s="116">
        <v>34</v>
      </c>
      <c r="B57" s="117" t="s">
        <v>459</v>
      </c>
      <c r="C57" s="117" t="s">
        <v>460</v>
      </c>
      <c r="D57" s="116">
        <v>7</v>
      </c>
      <c r="E57" s="118">
        <v>76.260000000000005</v>
      </c>
      <c r="F57" s="118"/>
      <c r="G57" s="118">
        <v>76.260000000000005</v>
      </c>
      <c r="H57" s="119" t="s">
        <v>410</v>
      </c>
      <c r="I57" s="120">
        <v>1879</v>
      </c>
      <c r="J57" s="118"/>
      <c r="K57" s="118"/>
      <c r="L57" s="118" t="str">
        <f>IF(7*76.26=0," ",TEXT(,ROUND((7*76.26*3.52),2)))</f>
        <v>1879,05</v>
      </c>
      <c r="M57" s="118"/>
      <c r="N57" s="118"/>
    </row>
    <row r="58" spans="1:14" ht="78.75" x14ac:dyDescent="0.2">
      <c r="A58" s="116">
        <v>35</v>
      </c>
      <c r="B58" s="117" t="s">
        <v>461</v>
      </c>
      <c r="C58" s="117" t="s">
        <v>462</v>
      </c>
      <c r="D58" s="116">
        <v>1</v>
      </c>
      <c r="E58" s="118" t="s">
        <v>463</v>
      </c>
      <c r="F58" s="118" t="s">
        <v>464</v>
      </c>
      <c r="G58" s="118">
        <v>60.07</v>
      </c>
      <c r="H58" s="119" t="s">
        <v>366</v>
      </c>
      <c r="I58" s="120">
        <v>2150</v>
      </c>
      <c r="J58" s="118">
        <v>1694</v>
      </c>
      <c r="K58" s="118" t="s">
        <v>465</v>
      </c>
      <c r="L58" s="118" t="str">
        <f>IF(1*60.07=0," ",TEXT(,ROUND((1*60.07*3.15),2)))</f>
        <v>189,22</v>
      </c>
      <c r="M58" s="118" t="s">
        <v>466</v>
      </c>
      <c r="N58" s="118" t="s">
        <v>466</v>
      </c>
    </row>
    <row r="59" spans="1:14" ht="48" x14ac:dyDescent="0.2">
      <c r="A59" s="116">
        <v>36</v>
      </c>
      <c r="B59" s="117" t="s">
        <v>467</v>
      </c>
      <c r="C59" s="117" t="s">
        <v>468</v>
      </c>
      <c r="D59" s="116">
        <v>1</v>
      </c>
      <c r="E59" s="118">
        <v>1238.06</v>
      </c>
      <c r="F59" s="118"/>
      <c r="G59" s="118">
        <v>1238.06</v>
      </c>
      <c r="H59" s="119" t="s">
        <v>469</v>
      </c>
      <c r="I59" s="120">
        <v>2789</v>
      </c>
      <c r="J59" s="118"/>
      <c r="K59" s="118"/>
      <c r="L59" s="118" t="str">
        <f>IF(1*1238.06=0," ",TEXT(,ROUND((1*1238.06*2.253),2)))</f>
        <v>2789,35</v>
      </c>
      <c r="M59" s="118"/>
      <c r="N59" s="118"/>
    </row>
    <row r="60" spans="1:14" ht="48" x14ac:dyDescent="0.2">
      <c r="A60" s="116">
        <v>37</v>
      </c>
      <c r="B60" s="117" t="s">
        <v>470</v>
      </c>
      <c r="C60" s="117" t="s">
        <v>471</v>
      </c>
      <c r="D60" s="116" t="s">
        <v>472</v>
      </c>
      <c r="E60" s="118" t="s">
        <v>473</v>
      </c>
      <c r="F60" s="118" t="s">
        <v>474</v>
      </c>
      <c r="G60" s="118">
        <v>115.19</v>
      </c>
      <c r="H60" s="119" t="s">
        <v>475</v>
      </c>
      <c r="I60" s="120">
        <v>7609</v>
      </c>
      <c r="J60" s="118">
        <v>3513</v>
      </c>
      <c r="K60" s="118" t="s">
        <v>476</v>
      </c>
      <c r="L60" s="118" t="str">
        <f>IF(7*115.19=0," ",TEXT(,ROUND((7*115.19*1.74),2)))</f>
        <v>1403,01</v>
      </c>
      <c r="M60" s="118" t="s">
        <v>477</v>
      </c>
      <c r="N60" s="118" t="s">
        <v>478</v>
      </c>
    </row>
    <row r="61" spans="1:14" ht="96" x14ac:dyDescent="0.2">
      <c r="A61" s="116">
        <v>38</v>
      </c>
      <c r="B61" s="117" t="s">
        <v>479</v>
      </c>
      <c r="C61" s="117" t="s">
        <v>480</v>
      </c>
      <c r="D61" s="116">
        <v>700</v>
      </c>
      <c r="E61" s="118">
        <v>7.25</v>
      </c>
      <c r="F61" s="118"/>
      <c r="G61" s="118">
        <v>7.25</v>
      </c>
      <c r="H61" s="119" t="s">
        <v>434</v>
      </c>
      <c r="I61" s="120">
        <v>22085</v>
      </c>
      <c r="J61" s="118"/>
      <c r="K61" s="118"/>
      <c r="L61" s="118" t="str">
        <f>IF(700*7.25=0," ",TEXT(,ROUND((700*7.25*4.35),2)))</f>
        <v>22076,25</v>
      </c>
      <c r="M61" s="118"/>
      <c r="N61" s="118"/>
    </row>
    <row r="62" spans="1:14" ht="60" x14ac:dyDescent="0.2">
      <c r="A62" s="116">
        <v>39</v>
      </c>
      <c r="B62" s="117" t="s">
        <v>481</v>
      </c>
      <c r="C62" s="117" t="s">
        <v>482</v>
      </c>
      <c r="D62" s="116" t="s">
        <v>371</v>
      </c>
      <c r="E62" s="118" t="s">
        <v>483</v>
      </c>
      <c r="F62" s="118" t="s">
        <v>484</v>
      </c>
      <c r="G62" s="118">
        <v>64.430000000000007</v>
      </c>
      <c r="H62" s="119" t="s">
        <v>485</v>
      </c>
      <c r="I62" s="120">
        <v>38899</v>
      </c>
      <c r="J62" s="118">
        <v>18096</v>
      </c>
      <c r="K62" s="118" t="s">
        <v>486</v>
      </c>
      <c r="L62" s="118" t="str">
        <f>IF(10*64.43=0," ",TEXT(,ROUND((10*64.43*3.66),2)))</f>
        <v>2358,14</v>
      </c>
      <c r="M62" s="118" t="s">
        <v>487</v>
      </c>
      <c r="N62" s="118" t="s">
        <v>488</v>
      </c>
    </row>
    <row r="63" spans="1:14" ht="96" x14ac:dyDescent="0.2">
      <c r="A63" s="116">
        <v>40</v>
      </c>
      <c r="B63" s="117" t="s">
        <v>489</v>
      </c>
      <c r="C63" s="117" t="s">
        <v>490</v>
      </c>
      <c r="D63" s="116">
        <v>300</v>
      </c>
      <c r="E63" s="118">
        <v>2.84</v>
      </c>
      <c r="F63" s="118"/>
      <c r="G63" s="118">
        <v>2.84</v>
      </c>
      <c r="H63" s="119" t="s">
        <v>434</v>
      </c>
      <c r="I63" s="120">
        <v>3702</v>
      </c>
      <c r="J63" s="118"/>
      <c r="K63" s="118"/>
      <c r="L63" s="118" t="str">
        <f>IF(300*2.84=0," ",TEXT(,ROUND((300*2.84*4.35),2)))</f>
        <v>3706,2</v>
      </c>
      <c r="M63" s="118"/>
      <c r="N63" s="118"/>
    </row>
    <row r="64" spans="1:14" ht="96" x14ac:dyDescent="0.2">
      <c r="A64" s="116">
        <v>41</v>
      </c>
      <c r="B64" s="117" t="s">
        <v>491</v>
      </c>
      <c r="C64" s="117" t="s">
        <v>492</v>
      </c>
      <c r="D64" s="116">
        <v>700</v>
      </c>
      <c r="E64" s="118">
        <v>2.4900000000000002</v>
      </c>
      <c r="F64" s="118"/>
      <c r="G64" s="118">
        <v>2.4900000000000002</v>
      </c>
      <c r="H64" s="119" t="s">
        <v>434</v>
      </c>
      <c r="I64" s="120">
        <v>7581</v>
      </c>
      <c r="J64" s="118"/>
      <c r="K64" s="118"/>
      <c r="L64" s="118" t="str">
        <f>IF(700*2.49=0," ",TEXT(,ROUND((700*2.49*4.35),2)))</f>
        <v>7582,05</v>
      </c>
      <c r="M64" s="118"/>
      <c r="N64" s="118"/>
    </row>
    <row r="65" spans="1:14" ht="45" x14ac:dyDescent="0.2">
      <c r="A65" s="116">
        <v>42</v>
      </c>
      <c r="B65" s="117" t="s">
        <v>493</v>
      </c>
      <c r="C65" s="117" t="s">
        <v>494</v>
      </c>
      <c r="D65" s="116" t="s">
        <v>378</v>
      </c>
      <c r="E65" s="118" t="s">
        <v>495</v>
      </c>
      <c r="F65" s="118" t="s">
        <v>496</v>
      </c>
      <c r="G65" s="118">
        <v>160.19999999999999</v>
      </c>
      <c r="H65" s="119" t="s">
        <v>381</v>
      </c>
      <c r="I65" s="120">
        <v>122491</v>
      </c>
      <c r="J65" s="118">
        <v>58977</v>
      </c>
      <c r="K65" s="118" t="s">
        <v>497</v>
      </c>
      <c r="L65" s="118" t="str">
        <f>IF(11*160.2=0," ",TEXT(,ROUND((11*160.2*3.42),2)))</f>
        <v>6026,72</v>
      </c>
      <c r="M65" s="118" t="s">
        <v>498</v>
      </c>
      <c r="N65" s="118" t="s">
        <v>499</v>
      </c>
    </row>
    <row r="66" spans="1:14" ht="60" x14ac:dyDescent="0.2">
      <c r="A66" s="116">
        <v>43</v>
      </c>
      <c r="B66" s="117" t="s">
        <v>500</v>
      </c>
      <c r="C66" s="117" t="s">
        <v>501</v>
      </c>
      <c r="D66" s="116">
        <v>800</v>
      </c>
      <c r="E66" s="118">
        <v>7.01</v>
      </c>
      <c r="F66" s="118"/>
      <c r="G66" s="118">
        <v>7.01</v>
      </c>
      <c r="H66" s="119" t="s">
        <v>502</v>
      </c>
      <c r="I66" s="120">
        <v>9216</v>
      </c>
      <c r="J66" s="118"/>
      <c r="K66" s="118"/>
      <c r="L66" s="118" t="str">
        <f>IF(800*7.01=0," ",TEXT(,ROUND((800*7.01*1.643),2)))</f>
        <v>9213,94</v>
      </c>
      <c r="M66" s="118"/>
      <c r="N66" s="118"/>
    </row>
    <row r="67" spans="1:14" ht="60" x14ac:dyDescent="0.2">
      <c r="A67" s="116">
        <v>44</v>
      </c>
      <c r="B67" s="117" t="s">
        <v>503</v>
      </c>
      <c r="C67" s="117" t="s">
        <v>504</v>
      </c>
      <c r="D67" s="116">
        <v>300</v>
      </c>
      <c r="E67" s="118">
        <v>10.14</v>
      </c>
      <c r="F67" s="118"/>
      <c r="G67" s="118">
        <v>10.14</v>
      </c>
      <c r="H67" s="119" t="s">
        <v>505</v>
      </c>
      <c r="I67" s="120">
        <v>5553</v>
      </c>
      <c r="J67" s="118"/>
      <c r="K67" s="118"/>
      <c r="L67" s="118" t="str">
        <f>IF(300*10.14=0," ",TEXT(,ROUND((300*10.14*1.825),2)))</f>
        <v>5551,65</v>
      </c>
      <c r="M67" s="118"/>
      <c r="N67" s="118"/>
    </row>
    <row r="68" spans="1:14" ht="48" x14ac:dyDescent="0.2">
      <c r="A68" s="116">
        <v>45</v>
      </c>
      <c r="B68" s="117" t="s">
        <v>470</v>
      </c>
      <c r="C68" s="117" t="s">
        <v>471</v>
      </c>
      <c r="D68" s="116" t="s">
        <v>387</v>
      </c>
      <c r="E68" s="118" t="s">
        <v>473</v>
      </c>
      <c r="F68" s="118" t="s">
        <v>474</v>
      </c>
      <c r="G68" s="118">
        <v>115.19</v>
      </c>
      <c r="H68" s="119" t="s">
        <v>475</v>
      </c>
      <c r="I68" s="120">
        <v>17392</v>
      </c>
      <c r="J68" s="118">
        <v>8030</v>
      </c>
      <c r="K68" s="118" t="s">
        <v>506</v>
      </c>
      <c r="L68" s="118" t="str">
        <f>IF(16*115.19=0," ",TEXT(,ROUND((16*115.19*1.74),2)))</f>
        <v>3206,89</v>
      </c>
      <c r="M68" s="118" t="s">
        <v>477</v>
      </c>
      <c r="N68" s="118" t="s">
        <v>507</v>
      </c>
    </row>
    <row r="69" spans="1:14" ht="96" x14ac:dyDescent="0.2">
      <c r="A69" s="121">
        <v>46</v>
      </c>
      <c r="B69" s="122" t="s">
        <v>508</v>
      </c>
      <c r="C69" s="122" t="s">
        <v>509</v>
      </c>
      <c r="D69" s="121">
        <v>1600</v>
      </c>
      <c r="E69" s="123">
        <v>0.51</v>
      </c>
      <c r="F69" s="123"/>
      <c r="G69" s="123">
        <v>0.51</v>
      </c>
      <c r="H69" s="124" t="s">
        <v>434</v>
      </c>
      <c r="I69" s="125">
        <v>3552</v>
      </c>
      <c r="J69" s="123"/>
      <c r="K69" s="123"/>
      <c r="L69" s="123" t="str">
        <f>IF(1600*0.51=0," ",TEXT(,ROUND((1600*0.51*4.35),2)))</f>
        <v>3549,6</v>
      </c>
      <c r="M69" s="123"/>
      <c r="N69" s="123"/>
    </row>
    <row r="70" spans="1:14" ht="36" x14ac:dyDescent="0.2">
      <c r="A70" s="126" t="s">
        <v>510</v>
      </c>
      <c r="B70" s="127"/>
      <c r="C70" s="127"/>
      <c r="D70" s="127"/>
      <c r="E70" s="127"/>
      <c r="F70" s="127"/>
      <c r="G70" s="127"/>
      <c r="H70" s="127"/>
      <c r="I70" s="128">
        <v>414773</v>
      </c>
      <c r="J70" s="128">
        <v>206899</v>
      </c>
      <c r="K70" s="128" t="s">
        <v>511</v>
      </c>
      <c r="L70" s="128">
        <v>98292</v>
      </c>
      <c r="M70" s="128"/>
      <c r="N70" s="128" t="s">
        <v>512</v>
      </c>
    </row>
    <row r="71" spans="1:14" x14ac:dyDescent="0.2">
      <c r="A71" s="126" t="s">
        <v>513</v>
      </c>
      <c r="B71" s="127"/>
      <c r="C71" s="127"/>
      <c r="D71" s="127"/>
      <c r="E71" s="127"/>
      <c r="F71" s="127"/>
      <c r="G71" s="127"/>
      <c r="H71" s="127"/>
      <c r="I71" s="128">
        <v>191042</v>
      </c>
      <c r="J71" s="128"/>
      <c r="K71" s="128"/>
      <c r="L71" s="128"/>
      <c r="M71" s="128"/>
      <c r="N71" s="128"/>
    </row>
    <row r="72" spans="1:14" x14ac:dyDescent="0.2">
      <c r="A72" s="126" t="s">
        <v>514</v>
      </c>
      <c r="B72" s="127"/>
      <c r="C72" s="127"/>
      <c r="D72" s="127"/>
      <c r="E72" s="127"/>
      <c r="F72" s="127"/>
      <c r="G72" s="127"/>
      <c r="H72" s="127"/>
      <c r="I72" s="128">
        <v>126575</v>
      </c>
      <c r="J72" s="128"/>
      <c r="K72" s="128"/>
      <c r="L72" s="128"/>
      <c r="M72" s="128"/>
      <c r="N72" s="128"/>
    </row>
    <row r="73" spans="1:14" x14ac:dyDescent="0.2">
      <c r="A73" s="129" t="s">
        <v>515</v>
      </c>
      <c r="B73" s="113"/>
      <c r="C73" s="113"/>
      <c r="D73" s="113"/>
      <c r="E73" s="113"/>
      <c r="F73" s="113"/>
      <c r="G73" s="113"/>
      <c r="H73" s="113"/>
      <c r="I73" s="128"/>
      <c r="J73" s="128"/>
      <c r="K73" s="128"/>
      <c r="L73" s="128"/>
      <c r="M73" s="128"/>
      <c r="N73" s="128"/>
    </row>
    <row r="74" spans="1:14" ht="24" x14ac:dyDescent="0.2">
      <c r="A74" s="126" t="s">
        <v>516</v>
      </c>
      <c r="B74" s="127"/>
      <c r="C74" s="127"/>
      <c r="D74" s="127"/>
      <c r="E74" s="127"/>
      <c r="F74" s="127"/>
      <c r="G74" s="127"/>
      <c r="H74" s="127"/>
      <c r="I74" s="128">
        <v>56146</v>
      </c>
      <c r="J74" s="128"/>
      <c r="K74" s="128"/>
      <c r="L74" s="128"/>
      <c r="M74" s="128"/>
      <c r="N74" s="128" t="s">
        <v>403</v>
      </c>
    </row>
    <row r="75" spans="1:14" ht="36" x14ac:dyDescent="0.2">
      <c r="A75" s="126" t="s">
        <v>517</v>
      </c>
      <c r="B75" s="127"/>
      <c r="C75" s="127"/>
      <c r="D75" s="127"/>
      <c r="E75" s="127"/>
      <c r="F75" s="127"/>
      <c r="G75" s="127"/>
      <c r="H75" s="127"/>
      <c r="I75" s="128">
        <v>676244</v>
      </c>
      <c r="J75" s="128"/>
      <c r="K75" s="128"/>
      <c r="L75" s="128"/>
      <c r="M75" s="128"/>
      <c r="N75" s="128" t="s">
        <v>518</v>
      </c>
    </row>
    <row r="76" spans="1:14" ht="36" x14ac:dyDescent="0.2">
      <c r="A76" s="126" t="s">
        <v>519</v>
      </c>
      <c r="B76" s="127"/>
      <c r="C76" s="127"/>
      <c r="D76" s="127"/>
      <c r="E76" s="127"/>
      <c r="F76" s="127"/>
      <c r="G76" s="127"/>
      <c r="H76" s="127"/>
      <c r="I76" s="128">
        <v>732390</v>
      </c>
      <c r="J76" s="128"/>
      <c r="K76" s="128"/>
      <c r="L76" s="128"/>
      <c r="M76" s="128"/>
      <c r="N76" s="128" t="s">
        <v>512</v>
      </c>
    </row>
    <row r="77" spans="1:14" x14ac:dyDescent="0.2">
      <c r="A77" s="126" t="s">
        <v>520</v>
      </c>
      <c r="B77" s="127"/>
      <c r="C77" s="127"/>
      <c r="D77" s="127"/>
      <c r="E77" s="127"/>
      <c r="F77" s="127"/>
      <c r="G77" s="127"/>
      <c r="H77" s="127"/>
      <c r="I77" s="128"/>
      <c r="J77" s="128"/>
      <c r="K77" s="128"/>
      <c r="L77" s="128"/>
      <c r="M77" s="128"/>
      <c r="N77" s="128"/>
    </row>
    <row r="78" spans="1:14" x14ac:dyDescent="0.2">
      <c r="A78" s="126" t="s">
        <v>521</v>
      </c>
      <c r="B78" s="127"/>
      <c r="C78" s="127"/>
      <c r="D78" s="127"/>
      <c r="E78" s="127"/>
      <c r="F78" s="127"/>
      <c r="G78" s="127"/>
      <c r="H78" s="127"/>
      <c r="I78" s="128">
        <v>98292</v>
      </c>
      <c r="J78" s="128"/>
      <c r="K78" s="128"/>
      <c r="L78" s="128"/>
      <c r="M78" s="128"/>
      <c r="N78" s="128"/>
    </row>
    <row r="79" spans="1:14" x14ac:dyDescent="0.2">
      <c r="A79" s="126" t="s">
        <v>522</v>
      </c>
      <c r="B79" s="127"/>
      <c r="C79" s="127"/>
      <c r="D79" s="127"/>
      <c r="E79" s="127"/>
      <c r="F79" s="127"/>
      <c r="G79" s="127"/>
      <c r="H79" s="127"/>
      <c r="I79" s="128">
        <v>109582</v>
      </c>
      <c r="J79" s="128"/>
      <c r="K79" s="128"/>
      <c r="L79" s="128"/>
      <c r="M79" s="128"/>
      <c r="N79" s="128"/>
    </row>
    <row r="80" spans="1:14" x14ac:dyDescent="0.2">
      <c r="A80" s="126" t="s">
        <v>523</v>
      </c>
      <c r="B80" s="127"/>
      <c r="C80" s="127"/>
      <c r="D80" s="127"/>
      <c r="E80" s="127"/>
      <c r="F80" s="127"/>
      <c r="G80" s="127"/>
      <c r="H80" s="127"/>
      <c r="I80" s="128">
        <v>250506</v>
      </c>
      <c r="J80" s="128"/>
      <c r="K80" s="128"/>
      <c r="L80" s="128"/>
      <c r="M80" s="128"/>
      <c r="N80" s="128"/>
    </row>
    <row r="81" spans="1:14" x14ac:dyDescent="0.2">
      <c r="A81" s="126" t="s">
        <v>524</v>
      </c>
      <c r="B81" s="127"/>
      <c r="C81" s="127"/>
      <c r="D81" s="127"/>
      <c r="E81" s="127"/>
      <c r="F81" s="127"/>
      <c r="G81" s="127"/>
      <c r="H81" s="127"/>
      <c r="I81" s="128">
        <v>191042</v>
      </c>
      <c r="J81" s="128"/>
      <c r="K81" s="128"/>
      <c r="L81" s="128"/>
      <c r="M81" s="128"/>
      <c r="N81" s="128"/>
    </row>
    <row r="82" spans="1:14" x14ac:dyDescent="0.2">
      <c r="A82" s="126" t="s">
        <v>525</v>
      </c>
      <c r="B82" s="127"/>
      <c r="C82" s="127"/>
      <c r="D82" s="127"/>
      <c r="E82" s="127"/>
      <c r="F82" s="127"/>
      <c r="G82" s="127"/>
      <c r="H82" s="127"/>
      <c r="I82" s="128">
        <v>126575</v>
      </c>
      <c r="J82" s="128"/>
      <c r="K82" s="128"/>
      <c r="L82" s="128"/>
      <c r="M82" s="128"/>
      <c r="N82" s="128"/>
    </row>
    <row r="83" spans="1:14" x14ac:dyDescent="0.2">
      <c r="A83" s="126" t="s">
        <v>526</v>
      </c>
      <c r="B83" s="127"/>
      <c r="C83" s="127"/>
      <c r="D83" s="127"/>
      <c r="E83" s="127"/>
      <c r="F83" s="127"/>
      <c r="G83" s="127"/>
      <c r="H83" s="127"/>
      <c r="I83" s="128">
        <v>131830.20000000001</v>
      </c>
      <c r="J83" s="128"/>
      <c r="K83" s="128"/>
      <c r="L83" s="128"/>
      <c r="M83" s="128"/>
      <c r="N83" s="128"/>
    </row>
    <row r="84" spans="1:14" ht="36" x14ac:dyDescent="0.2">
      <c r="A84" s="129" t="s">
        <v>527</v>
      </c>
      <c r="B84" s="113"/>
      <c r="C84" s="113"/>
      <c r="D84" s="113"/>
      <c r="E84" s="113"/>
      <c r="F84" s="113"/>
      <c r="G84" s="113"/>
      <c r="H84" s="113"/>
      <c r="I84" s="128">
        <v>864220.2</v>
      </c>
      <c r="J84" s="128"/>
      <c r="K84" s="128"/>
      <c r="L84" s="128"/>
      <c r="M84" s="128"/>
      <c r="N84" s="128" t="s">
        <v>512</v>
      </c>
    </row>
    <row r="85" spans="1:14" x14ac:dyDescent="0.2">
      <c r="A85" s="67"/>
      <c r="B85" s="70"/>
      <c r="C85" s="70"/>
      <c r="D85" s="67"/>
      <c r="E85" s="68"/>
      <c r="F85" s="68"/>
      <c r="G85" s="68"/>
      <c r="H85" s="68"/>
      <c r="I85" s="69"/>
      <c r="J85" s="68"/>
      <c r="K85" s="68"/>
      <c r="L85" s="68"/>
      <c r="M85" s="68"/>
      <c r="N85" s="66"/>
    </row>
    <row r="86" spans="1:14" x14ac:dyDescent="0.2">
      <c r="A86" s="67"/>
      <c r="B86" s="70"/>
      <c r="C86" s="70"/>
      <c r="D86" s="67"/>
      <c r="E86" s="68"/>
      <c r="F86" s="68"/>
      <c r="G86" s="68"/>
      <c r="H86" s="68"/>
      <c r="I86" s="69"/>
      <c r="J86" s="68"/>
      <c r="K86" s="68"/>
      <c r="L86" s="68"/>
      <c r="M86" s="68"/>
      <c r="N86" s="66"/>
    </row>
    <row r="87" spans="1:14" x14ac:dyDescent="0.2">
      <c r="A87" s="67"/>
      <c r="B87" s="70"/>
      <c r="C87" s="71" t="s">
        <v>320</v>
      </c>
      <c r="D87" s="67"/>
      <c r="E87" s="68"/>
      <c r="F87" s="71" t="s">
        <v>321</v>
      </c>
      <c r="G87" s="71"/>
      <c r="H87" s="71"/>
      <c r="I87" s="68"/>
      <c r="J87" s="68"/>
      <c r="K87" s="68"/>
      <c r="L87" s="68"/>
      <c r="M87" s="68"/>
      <c r="N87" s="66"/>
    </row>
    <row r="88" spans="1:14" x14ac:dyDescent="0.2">
      <c r="A88" s="72"/>
      <c r="B88" s="72"/>
      <c r="C88" s="72"/>
      <c r="D88" s="72"/>
      <c r="E88" s="73"/>
      <c r="F88" s="73"/>
      <c r="G88" s="73"/>
      <c r="H88" s="73"/>
      <c r="I88" s="73"/>
      <c r="J88" s="73"/>
      <c r="K88" s="73"/>
      <c r="L88" s="73"/>
      <c r="M88" s="73"/>
      <c r="N88" s="66"/>
    </row>
    <row r="89" spans="1:14" x14ac:dyDescent="0.2">
      <c r="A89" s="72"/>
      <c r="B89" s="72"/>
      <c r="C89" s="72"/>
      <c r="D89" s="72"/>
      <c r="E89" s="73"/>
      <c r="F89" s="73"/>
      <c r="G89" s="73"/>
      <c r="H89" s="73"/>
      <c r="I89" s="73"/>
      <c r="J89" s="73"/>
      <c r="K89" s="73"/>
      <c r="L89" s="73"/>
      <c r="M89" s="73"/>
      <c r="N89" s="66"/>
    </row>
    <row r="91" spans="1:14" x14ac:dyDescent="0.2">
      <c r="B91" s="72"/>
    </row>
  </sheetData>
  <mergeCells count="36">
    <mergeCell ref="A84:H84"/>
    <mergeCell ref="A78:H78"/>
    <mergeCell ref="A79:H79"/>
    <mergeCell ref="A80:H80"/>
    <mergeCell ref="A81:H81"/>
    <mergeCell ref="A82:H82"/>
    <mergeCell ref="A83:H83"/>
    <mergeCell ref="A72:H72"/>
    <mergeCell ref="A73:H73"/>
    <mergeCell ref="A74:H74"/>
    <mergeCell ref="A75:H75"/>
    <mergeCell ref="A76:H76"/>
    <mergeCell ref="A77:H77"/>
    <mergeCell ref="A20:N20"/>
    <mergeCell ref="A21:N21"/>
    <mergeCell ref="A35:N35"/>
    <mergeCell ref="A37:N37"/>
    <mergeCell ref="A70:H70"/>
    <mergeCell ref="A71:H71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09" t="s">
        <v>232</v>
      </c>
      <c r="B1" s="110"/>
      <c r="C1" s="110"/>
      <c r="D1" s="110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2012-11-26T08:47:44Z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