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/>
</workbook>
</file>

<file path=xl/calcChain.xml><?xml version="1.0" encoding="utf-8"?>
<calcChain xmlns="http://schemas.openxmlformats.org/spreadsheetml/2006/main">
  <c r="L21" i="5" l="1"/>
  <c r="L25" i="5"/>
  <c r="L26" i="5"/>
  <c r="L27" i="5"/>
  <c r="L28" i="5"/>
  <c r="L29" i="5"/>
  <c r="L33" i="5"/>
  <c r="L34" i="5"/>
  <c r="L35" i="5"/>
  <c r="L36" i="5"/>
  <c r="L37" i="5"/>
  <c r="L38" i="5"/>
  <c r="L39" i="5"/>
  <c r="L40" i="5"/>
  <c r="L41" i="5"/>
  <c r="L45" i="5"/>
  <c r="L46" i="5"/>
  <c r="L50" i="5"/>
  <c r="L51" i="5"/>
  <c r="L55" i="5"/>
  <c r="L56" i="5"/>
  <c r="L60" i="5"/>
  <c r="L64" i="5"/>
  <c r="L65" i="5"/>
  <c r="L69" i="5"/>
  <c r="L70" i="5"/>
  <c r="L71" i="5"/>
  <c r="L72" i="5"/>
  <c r="L73" i="5"/>
  <c r="L77" i="5"/>
  <c r="L78" i="5"/>
  <c r="L82" i="5"/>
  <c r="L83" i="5"/>
  <c r="L87" i="5"/>
  <c r="L88" i="5"/>
  <c r="L92" i="5"/>
  <c r="L96" i="5"/>
  <c r="L97" i="5"/>
  <c r="L98" i="5"/>
  <c r="L99" i="5"/>
  <c r="L103" i="5"/>
  <c r="L104" i="5"/>
  <c r="L105" i="5"/>
  <c r="L109" i="5"/>
  <c r="L110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12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12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12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12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&lt;З/п машинистов (итоги)&gt;</t>
        </r>
      </text>
    </comment>
    <comment ref="L1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12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&lt;Трудозатраты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1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15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<sst xmlns="http://schemas.openxmlformats.org/spreadsheetml/2006/main" count="639" uniqueCount="553">
  <si>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</si>
  <si>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</si>
  <si>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</si>
  <si>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</si>
  <si>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</si>
  <si>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</si>
  <si>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</si>
  <si>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</si>
  <si>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</si>
  <si>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</si>
  <si>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</si>
  <si>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</si>
  <si>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</si>
  <si>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</si>
  <si>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</si>
  <si>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</si>
  <si>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</si>
  <si>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</si>
  <si>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</si>
  <si>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</si>
  <si>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</si>
  <si>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</si>
  <si>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</si>
  <si>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</si>
  <si>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</si>
  <si>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</si>
  <si>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</si>
  <si>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</si>
  <si>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</si>
  <si>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</si>
  <si>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</si>
  <si>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</si>
  <si>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</si>
  <si>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</si>
  <si>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</si>
  <si>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</si>
  <si>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</si>
  <si>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</si>
  <si>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</si>
  <si>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</si>
  <si>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</si>
  <si>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</si>
  <si>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</si>
  <si>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</si>
  <si>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</si>
  <si>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</si>
  <si>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</si>
  <si>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</si>
  <si>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</si>
  <si>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</si>
  <si>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</si>
  <si>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</si>
  <si>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</si>
  <si>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</si>
  <si>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</si>
  <si>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</si>
  <si>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</si>
  <si>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</si>
  <si>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</si>
  <si>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</si>
  <si>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</si>
  <si>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</si>
  <si>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</si>
  <si>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</si>
  <si>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</si>
  <si>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</si>
  <si>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</si>
  <si>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</si>
  <si>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</si>
  <si>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</si>
  <si>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</si>
  <si>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</si>
  <si>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</si>
  <si>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</si>
  <si>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</si>
  <si>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</si>
  <si>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</si>
  <si>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</si>
  <si>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</si>
  <si>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</si>
  <si>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</si>
  <si>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</si>
  <si>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</si>
  <si>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</si>
  <si>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</si>
  <si>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</si>
  <si>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</si>
  <si>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</si>
  <si>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</si>
  <si>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</si>
  <si>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</si>
  <si>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</si>
  <si>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</si>
  <si>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</si>
  <si>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</si>
  <si>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</si>
  <si>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</si>
  <si>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</si>
  <si>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</si>
  <si>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</si>
  <si>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</si>
  <si>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</si>
  <si>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</si>
  <si>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</si>
  <si>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</si>
  <si>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</si>
  <si>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</si>
  <si>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</si>
  <si>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</si>
  <si>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</si>
  <si>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</si>
  <si>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</si>
  <si>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</si>
  <si>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</si>
  <si>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</si>
  <si>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</si>
  <si>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</si>
  <si>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</si>
  <si>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</si>
  <si>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</si>
  <si>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</si>
  <si>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</si>
  <si>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</si>
  <si>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</si>
  <si>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</si>
  <si>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</si>
  <si>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</si>
  <si>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</si>
  <si>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</si>
  <si>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</si>
  <si>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</si>
  <si>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</si>
  <si>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</si>
  <si>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</si>
  <si>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</si>
  <si>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</si>
  <si>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</si>
  <si>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</si>
  <si>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</si>
  <si>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</si>
  <si>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</si>
  <si>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</si>
  <si>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</si>
  <si>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</si>
  <si>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</si>
  <si>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</si>
  <si>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</si>
  <si>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</si>
  <si>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</si>
  <si>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</si>
  <si>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</si>
  <si>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</si>
  <si>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</si>
  <si>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</si>
  <si>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</si>
  <si>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</si>
  <si>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</si>
  <si>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</si>
  <si>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</si>
  <si>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</si>
  <si>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</si>
  <si>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</si>
  <si>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</si>
  <si>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</si>
  <si>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</si>
  <si>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</si>
  <si>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</si>
  <si>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</si>
  <si>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</si>
  <si>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</si>
  <si>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</si>
  <si>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</si>
  <si>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</si>
  <si>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</si>
  <si>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</si>
  <si>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</si>
  <si>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</si>
  <si>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</si>
  <si>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</si>
  <si>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</si>
  <si>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</si>
  <si>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</si>
  <si>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</si>
  <si>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</si>
  <si>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</si>
  <si>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</si>
  <si>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</si>
  <si>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</si>
  <si>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</si>
  <si>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</si>
  <si>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</si>
  <si>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</si>
  <si>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</si>
  <si>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</si>
  <si>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</si>
  <si>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</si>
  <si>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</si>
  <si>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</si>
  <si>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</si>
  <si>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</si>
  <si>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</si>
  <si>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</si>
  <si>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</si>
  <si>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</si>
  <si>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</si>
  <si>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</si>
  <si>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</si>
  <si>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</si>
  <si>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</si>
  <si>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</si>
  <si>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</si>
  <si>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</si>
  <si>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</si>
  <si>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</si>
  <si>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</si>
  <si>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</si>
  <si>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</si>
  <si>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</si>
  <si>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</si>
  <si>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</si>
  <si>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</si>
  <si>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</si>
  <si>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</si>
  <si>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</si>
  <si>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</si>
  <si>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</si>
  <si>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</si>
  <si>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</si>
  <si>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</si>
  <si>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</si>
  <si>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</si>
  <si>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</si>
  <si>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</si>
  <si>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</si>
  <si>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</si>
  <si>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</si>
  <si>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</si>
  <si>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</si>
  <si>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</si>
  <si>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</si>
  <si>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</si>
  <si>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</si>
  <si>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</si>
  <si>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</si>
  <si>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</si>
  <si>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</si>
  <si>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</si>
  <si>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</si>
  <si>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</si>
  <si>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</si>
  <si>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</si>
  <si>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</si>
  <si>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</si>
  <si>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</si>
  <si>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</si>
  <si>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</si>
  <si>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</si>
  <si>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</si>
  <si>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</si>
  <si>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</si>
  <si>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</si>
  <si>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</si>
  <si>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</si>
  <si>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</si>
  <si>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</si>
  <si>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</si>
  <si>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</si>
  <si>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</si>
  <si>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</si>
  <si>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</si>
  <si>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</si>
  <si>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</si>
  <si>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</si>
  <si>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</si>
  <si>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</si>
  <si>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</si>
  <si>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</si>
  <si>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</si>
  <si>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</si>
  <si>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</si>
  <si>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</si>
  <si>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</si>
  <si>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</si>
  <si>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</si>
  <si>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</si>
  <si>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</si>
  <si>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</si>
  <si>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</si>
  <si>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</si>
  <si>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</si>
  <si>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</si>
  <si>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</si>
  <si>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</si>
  <si>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</si>
  <si>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</si>
  <si>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</si>
  <si>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</si>
  <si>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</si>
  <si>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</si>
  <si>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</si>
  <si>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</si>
  <si>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</si>
  <si>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</si>
  <si>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</si>
  <si>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</si>
  <si>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</si>
  <si>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</si>
  <si>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</si>
  <si>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</si>
  <si>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</si>
  <si>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</si>
  <si>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</si>
  <si>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</si>
  <si>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       (наименование работ и затрат, наименование объекта)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</si>
  <si>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</si>
  <si>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</si>
  <si>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>Проверил:____________________________</t>
  </si>
  <si>
    <t xml:space="preserve">                           Раздел 1. Монтажные работы</t>
  </si>
  <si>
    <t>ТЕРм08-03-573-04</t>
  </si>
  <si>
    <t xml:space="preserve">Шкаф (пульт) управления навесной, высота, ширина и глубина: до 600х600х350 мм, 1 шт.% % </t>
  </si>
  <si>
    <t>5
1+2+1+1</t>
  </si>
  <si>
    <t>79,88
33,06</t>
  </si>
  <si>
    <t>42,5
4,17</t>
  </si>
  <si>
    <t>37.230 Пульты и шкафы управления: ОЗП=10,77; ЭМ=6,77; ЗПМ=10,77; МАТ=2,98</t>
  </si>
  <si>
    <t>1439
225</t>
  </si>
  <si>
    <t>2,37
0,29</t>
  </si>
  <si>
    <t>11,85
1,45</t>
  </si>
  <si>
    <t>95%*0.85</t>
  </si>
  <si>
    <t>65%*0.8</t>
  </si>
  <si>
    <t>СЦО-604-0021-00038</t>
  </si>
  <si>
    <t xml:space="preserve">Щиты учетно-распределительные ЩУРВ-3-18зо-1 36УХЛ, шт% % </t>
  </si>
  <si>
    <t>Щиты учетно-распределительные ЩУРВ-3-12з; МАТ=2,361</t>
  </si>
  <si>
    <t>СЦО-604-0021-00042</t>
  </si>
  <si>
    <t xml:space="preserve">Щиты для модульной аппаратуры пластиковые ЩРН-П-12, шт% % </t>
  </si>
  <si>
    <t>Щиты для модульной аппаратуры пластиковые ЩРН-П-12; МАТ=1,642</t>
  </si>
  <si>
    <t>СЦО-604-0021-00041</t>
  </si>
  <si>
    <t xml:space="preserve">Щиты для модульной аппаратуры пластиковые ЩРН-П-8, шт% % </t>
  </si>
  <si>
    <t>Щиты для модульной аппаратуры пластиковые ЩРН-П-8; МАТ=1,649</t>
  </si>
  <si>
    <t>СЦО-604-0021-00033</t>
  </si>
  <si>
    <t xml:space="preserve">Щиты распределительные навесные ЩРН-24, шт% % </t>
  </si>
  <si>
    <t>Щиты распределительные навесные ЩРН-24; МАТ=2,226</t>
  </si>
  <si>
    <t>ТЕРм08-03-575-01</t>
  </si>
  <si>
    <t xml:space="preserve">Прибор или аппарат, 1 шт.% % </t>
  </si>
  <si>
    <t>38
15+8+1+2+5+3+4</t>
  </si>
  <si>
    <t>16,37
15,62</t>
  </si>
  <si>
    <t>37.232 Приборы или автоматы, снятые перед транспортировкой: ОЗП=10,77; ЭМ=7,17; ЗПМ=10,77; МАТ=1,86</t>
  </si>
  <si>
    <t>СЦО-604-0001-00041</t>
  </si>
  <si>
    <t xml:space="preserve">Выключатель автоматический однополюсный ВА47-29 1Р 16А, шт% % </t>
  </si>
  <si>
    <t>Выключатель автоматический однополюсный ВА 47-29 1Р 16-40А; МАТ=3,477</t>
  </si>
  <si>
    <t xml:space="preserve">Выключатель автоматический однополюсный ВА47-29 1Р 25А, шт% % </t>
  </si>
  <si>
    <t>СЦО-604-0001-00070</t>
  </si>
  <si>
    <t xml:space="preserve">Выключатель автоматический серии ВА 47-100 3Р 100А, шт% % </t>
  </si>
  <si>
    <t>Выключатель автоматический серии ВА 47-100 3Р 63-100А; МАТ=2,111</t>
  </si>
  <si>
    <t>СЦО-604-0001-00069</t>
  </si>
  <si>
    <t xml:space="preserve">Выключатель автоматический серии ВА 47-100 3Р 35А, шт% % </t>
  </si>
  <si>
    <t>Выключатель автоматический серии ВА 47-100 3Р 10-50А; МАТ=2,913</t>
  </si>
  <si>
    <t>СЦО-604-0001-00043</t>
  </si>
  <si>
    <t xml:space="preserve">Выключатель автоматический трехполюсный ВА 47-29 3Р 16А, шт% % </t>
  </si>
  <si>
    <t>Выключатель автоматический трехполюсный ВА 47-29 3Р 16-40А; МАТ=3,425</t>
  </si>
  <si>
    <t xml:space="preserve">Выключатель автоматический трехполюсный ВА 47-29 3Р 25А, шт% % </t>
  </si>
  <si>
    <t xml:space="preserve">Выключатель автоматический трехполюсный ВА 47-29 3Р 32А, шт% % </t>
  </si>
  <si>
    <t>СЦМ-549-4104-40002</t>
  </si>
  <si>
    <t xml:space="preserve">Коробки соединительные металлические КС-20, 130х255х70 мм, IP54, шт% % </t>
  </si>
  <si>
    <t>Коробка соединительная металлическая КС-20, 130х255х70 мм, IP54; МАТ=1,5</t>
  </si>
  <si>
    <t>ТЕРм08-03-600-02</t>
  </si>
  <si>
    <t xml:space="preserve">Счетчики, устанавливаемые на готовом основании: трехфазные, 1 шт.% % </t>
  </si>
  <si>
    <t>15,87
12,14</t>
  </si>
  <si>
    <t>2,85
0,16</t>
  </si>
  <si>
    <t>37.255 Счетчики однофазные: ОЗП=10,77; ЭМ=7,17; ЗПМ=10,77; МАТ=1,99</t>
  </si>
  <si>
    <t>20
2</t>
  </si>
  <si>
    <t>0,87
0,01</t>
  </si>
  <si>
    <t>СЦО-610-0016-00022</t>
  </si>
  <si>
    <t xml:space="preserve">Счетчик ЦЭ6828 трехфазный, 10-100 А, шт% % </t>
  </si>
  <si>
    <t>Счетчик ЦЭ6828 трехфазный, 10-100 А; МАТ=2,104</t>
  </si>
  <si>
    <t>ТЕРм08-02-411-01</t>
  </si>
  <si>
    <t xml:space="preserve">Рукав металлический наружным диаметром: до 48 мм, 100 м% % </t>
  </si>
  <si>
    <t>0,58
58/100</t>
  </si>
  <si>
    <t>3001,14
459,43</t>
  </si>
  <si>
    <t>207,69
3,5</t>
  </si>
  <si>
    <t>37.157 Рукава металлические: ОЗП=10,77; ЭМ=6,15; ЗПМ=10,77; МАТ=2,4</t>
  </si>
  <si>
    <t>741
22</t>
  </si>
  <si>
    <t>34,7
0,22</t>
  </si>
  <si>
    <t>20,13
0,13</t>
  </si>
  <si>
    <t>СЦМ-101-2162-20008</t>
  </si>
  <si>
    <t xml:space="preserve">Рукава металлические РЗ-Ц-Х, диаметром, мм: 38              , м% % </t>
  </si>
  <si>
    <t>Рукава металлические диаметром 38мм РЗ-Ц-Х; МАТ=0,938</t>
  </si>
  <si>
    <t>ТЕРм08-02-412-04</t>
  </si>
  <si>
    <t xml:space="preserve">Затягивание провода в проложенные трубы и металлические рукава первого одножильного или многожильного в общей оплетке, суммарное сечение до 35 мм2, 100 м% % </t>
  </si>
  <si>
    <t>0,69
69/100</t>
  </si>
  <si>
    <t>836,72
148,29</t>
  </si>
  <si>
    <t>22,86
1,27</t>
  </si>
  <si>
    <t>37.159 Затягивание проводов в проложенные трубы и металлические рукава: ОЗП=10,77; ЭМ=7,17; ЗПМ=10,77; МАТ=1,28</t>
  </si>
  <si>
    <t>113
9</t>
  </si>
  <si>
    <t>11,2
0,08</t>
  </si>
  <si>
    <t>7,73
0,06</t>
  </si>
  <si>
    <t>СЦМ-501-9001-90507</t>
  </si>
  <si>
    <t xml:space="preserve">Кабель силовой на напряжение 1000 в с медными жилами в поливинилхлоридной изоляции, с наружным покровом из поливинилхлорида пониженной горючести марки ВВГнг с числом жил и сечением: 4х35мм2                     , км% % </t>
  </si>
  <si>
    <t>0,069
69/1000</t>
  </si>
  <si>
    <t>Кабель силовой ВВГнг 4х35мм2 на напряжение 1кВ с медными жилами в изоляции из ПХВ пластиката, с наружным покровом из ПХВ пластиката пониженной горючести; МАТ=4,435</t>
  </si>
  <si>
    <t>ТЕРм08-03-574-01</t>
  </si>
  <si>
    <t xml:space="preserve">Разводка по устройствам и подключение жил кабелей или проводов сечением: до 10 мм2, 100 жил% % </t>
  </si>
  <si>
    <t>0,2
20/100</t>
  </si>
  <si>
    <t>3325,89
234,36</t>
  </si>
  <si>
    <t>37.231 Разводка по устройствам и подключение жил: ОЗП=10,77; ЭМ=6,8; ЗПМ=10,77; МАТ=1,28</t>
  </si>
  <si>
    <t>16,8
0,01</t>
  </si>
  <si>
    <t>ТЕРм08-02-413-01</t>
  </si>
  <si>
    <t xml:space="preserve">Провод, количество проводов в резинобитумной трубке: до 2, сечение провода до 6 мм2, 100 м трубок% % </t>
  </si>
  <si>
    <t>16,35
1635/100</t>
  </si>
  <si>
    <t>655,79
267,45</t>
  </si>
  <si>
    <t>62,85
3,5</t>
  </si>
  <si>
    <t>37.160 Провода в резинобитумных трубах: ОЗП=10,77; ЭМ=7,17; ЗПМ=10,77; МАТ=2,85</t>
  </si>
  <si>
    <t>7368
616</t>
  </si>
  <si>
    <t>20,2
0,22</t>
  </si>
  <si>
    <t>330,27
3,6</t>
  </si>
  <si>
    <t>СЦМ-530-9015-90008</t>
  </si>
  <si>
    <t xml:space="preserve">Трубы ПВХ гофрированные диаметром: 25 мм, м% % </t>
  </si>
  <si>
    <t>Трубы ПВХ гофрированные диаметром 25 мм; МАТ=0,757</t>
  </si>
  <si>
    <t>16,35
(1060+520+40+15)/100</t>
  </si>
  <si>
    <t>СЦМ-501-9001-90402</t>
  </si>
  <si>
    <t xml:space="preserve">Кабель силовой на напряжение 1000 в с медными жилами в поливинилхлоридной изоляции, с наружным покровом из поливинилхлорида пониженной горючести марки ВВГнг с числом жил и сечением: 3х1,5мм2                    , км% % </t>
  </si>
  <si>
    <t>1,06
1060/1000</t>
  </si>
  <si>
    <t>Кабель силовой ВВГнг 3х1,5мм2 на напряжение 1кВ с медными жилами в изоляции из ПХВ пластиката, с наружным покровом из ПХВ пластиката пониженной горючести; МАТ=4,098</t>
  </si>
  <si>
    <t>СЦМ-501-9001-90403</t>
  </si>
  <si>
    <t xml:space="preserve">Кабель силовой на напряжение 1000 в с медными жилами в поливинилхлоридной изоляции, с наружным покровом из поливинилхлорида пониженной горючести марки ВВГнг с числом жил и сечением: 3х2,5мм2                    , км% % </t>
  </si>
  <si>
    <t>0,52
520/1000</t>
  </si>
  <si>
    <t>Кабель силовой ВВГнг 3х2,5мм2 на напряжение 1кВ с медными жилами в изоляции из ПХВ пластиката, с наружным покровом из ПХВ пластиката пониженной горючести; МАТ=4,107</t>
  </si>
  <si>
    <t>СЦМ-501-9001-90521</t>
  </si>
  <si>
    <t xml:space="preserve">Кабель силовой на напряжение 1000 В с медными жилами в изоляции из ПХВ пластиката, с наружным покровом из ПХВ пластиката пониженной горючести ВВГнг: сечением  5х2,5мм2 , 1000м% % </t>
  </si>
  <si>
    <t>0,04
40/1000</t>
  </si>
  <si>
    <t>Кабель силовой ВВГнг 5х2,5мм2 на напряжение 1кВ с медными жилами в изоляции из ПХВ пластиката, с наружным покровом из ПХВ пластиката пониженной горючести; МАТ=4,393</t>
  </si>
  <si>
    <t>СЦМ-501-9001-90602</t>
  </si>
  <si>
    <t xml:space="preserve">Кабель силовой ВВГ на напряжение 1кВ с медными жилами в изоляции из ПХВ пластиката, с наружным покровом из ПХВ пластиката пониженной горючести сечением 5х4 мм2 , 1000м% % </t>
  </si>
  <si>
    <t>0,015
15/1000</t>
  </si>
  <si>
    <t>Кабель силовой ВВГ 5х4 мм2 на напряжение 1кВ с медными жилами в изоляции из ПХВ пластиката, с наружным покровом из ПХВ пластиката пониженной горючести; МАТ=3,115</t>
  </si>
  <si>
    <t>ТЕРм08-03-591-08</t>
  </si>
  <si>
    <t xml:space="preserve">Розетка штепсельная: неутопленного типа при открытой проводке, 100 шт.% % </t>
  </si>
  <si>
    <t>0,32
32/100</t>
  </si>
  <si>
    <t>1121,04
602,64</t>
  </si>
  <si>
    <t>20,84
0,64</t>
  </si>
  <si>
    <t>37.233 Выключатели при открытой проводке: ОЗП=10,77; ЭМ=6,92; ЗПМ=10,77; МАТ=1,6</t>
  </si>
  <si>
    <t>46
2</t>
  </si>
  <si>
    <t>43,2
0,04</t>
  </si>
  <si>
    <t>13,82
0,01</t>
  </si>
  <si>
    <t>СЦМ-500-9013-90112</t>
  </si>
  <si>
    <t xml:space="preserve">Розетка РС20-3-БК, шт% % </t>
  </si>
  <si>
    <t>Розетка двухместная скрытой установки штепсельная РС16-262; МАТ=1,75</t>
  </si>
  <si>
    <t>ТЕРм08-03-591-01</t>
  </si>
  <si>
    <t xml:space="preserve">Выключатель: одноклавишный неутопленного типа при открытой проводке, 100 шт.% % </t>
  </si>
  <si>
    <t>0,45
45/100</t>
  </si>
  <si>
    <t>1065,54
551,03</t>
  </si>
  <si>
    <t>17,98
0,48</t>
  </si>
  <si>
    <t>56
2</t>
  </si>
  <si>
    <t>39,5
0,03</t>
  </si>
  <si>
    <t>17,78
0,01</t>
  </si>
  <si>
    <t>СЦМ-500-9011-90002</t>
  </si>
  <si>
    <t xml:space="preserve">Выключатель одноклавишный для открытой проводки, шт% % </t>
  </si>
  <si>
    <t>Выключатель одноклавишный для открытой проводки; МАТ=2,126</t>
  </si>
  <si>
    <t>ТЕРм08-03-591-04</t>
  </si>
  <si>
    <t xml:space="preserve">Выключатель: двухклавишный неутопленного типа при открытой проводке, 100 шт.% % </t>
  </si>
  <si>
    <t>0,05
5/100</t>
  </si>
  <si>
    <t>1117,81
612,41</t>
  </si>
  <si>
    <t>43,9
0,04</t>
  </si>
  <si>
    <t>СЦМ-500-9011-90003</t>
  </si>
  <si>
    <t xml:space="preserve">Выключатель двухклавишный для открытой проводки, шт% % </t>
  </si>
  <si>
    <t>Выключатель двухклавишный для открытой проводки; МАТ=1,789</t>
  </si>
  <si>
    <t>ТЕРм08-03-594-09</t>
  </si>
  <si>
    <t xml:space="preserve">Светильник на кронштейнах, 100 шт.% % </t>
  </si>
  <si>
    <t>9539,13
2469,15</t>
  </si>
  <si>
    <t>2595,62
864,52</t>
  </si>
  <si>
    <t>37.245 Светильники с люминисцентными лампами: на подвесах (штангах): ОЗП=10,77; ЭМ=5,96; ЗПМ=10,77; МАТ=2,02</t>
  </si>
  <si>
    <t>773
466</t>
  </si>
  <si>
    <t>177
54,27</t>
  </si>
  <si>
    <t>8,85
2,71</t>
  </si>
  <si>
    <t>ТЕРм08-03-594-01</t>
  </si>
  <si>
    <t xml:space="preserve">Светильник отдельно устанавливаемый: на штырях с количеством ламп в светильнике 1, 100 шт.% % </t>
  </si>
  <si>
    <t>0,64
(59+5)/100</t>
  </si>
  <si>
    <t>4459,78
1227,6</t>
  </si>
  <si>
    <t>1682
526,49</t>
  </si>
  <si>
    <t>37.244 Светильники с люминисцентными лампами: на штырях: ОЗП=10,77; ЭМ=6,1; ЗПМ=10,77; МАТ=2,37</t>
  </si>
  <si>
    <t>6567
3629</t>
  </si>
  <si>
    <t>88
33,05</t>
  </si>
  <si>
    <t>56,32
21,15</t>
  </si>
  <si>
    <t>Поставщик ООО "Севкавкабель-Томск"
ПЗ=1,02
ОЗП=1,02*1,2
ЭМ=1,02*1,2
ЗПМ=1,02*1,2
МАТ=1,02
ТЗ=1,02*1,2
ТЗМ=1,02*1,2</t>
  </si>
  <si>
    <t xml:space="preserve">Светильник ЛСП3908 ЭПРА 1х36Вт IP65 ИЭК (электронное ЭПРА)	523,20/1,18/1,718=258,08), шт.
КОЭФ. К ПОЗИЦИИ:
заготовительно-складские расходы ПЗ=1,02 (ОЗП=1,02; ЭМ=1,02 к расх.; ЗПМ=1,02; МАТ=1,02 к расх.; ТЗ=1,02; ТЗМ=1,02)
КОЭФ. УЧТЁННЫЕ В ИТОГАХ:
1. 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работ. ОЗП=1,2; ЭМ=1,2; ЗПМ=1,2; ТЗ=1,2; ТЗМ=1,2% % </t>
  </si>
  <si>
    <t>69
10+59</t>
  </si>
  <si>
    <t>Светильники люминесцентные встраиваемые типа OPL/R c ЭПРА; МАТ=1,718</t>
  </si>
  <si>
    <t xml:space="preserve">Лампа люминесцентная Т8 G/3 36 W  (38/1,18/4,35=7,40), шт.
КОЭФ. К ПОЗИЦИИ:
Заготовительно-складские расходы ПЗ=1,02 (ОЗП=1,02; ЭМ=1,02 к расх.; ЗПМ=1,02; МАТ=1,02 к расх.; ТЗ=1,02; ТЗМ=1,02)
КОЭФ. УЧТЁННЫЕ В ИТОГАХ:
1. 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работ. ОЗП=1,2; ЭМ=1,2; ЗПМ=1,2; ТЗ=1,2; ТЗМ=1,2% % </t>
  </si>
  <si>
    <t>Индекс перевода в текущие цены; МАТ=4,35</t>
  </si>
  <si>
    <t xml:space="preserve">Лампа люминенесцентная TLD 18/33  G13 (23,50/1,18/4,35=4,57), шт.
КОЭФ. К ПОЗИЦИИ:
Заготовительно-складские расходы ПЗ=1,02 (ОЗП=1,02; ЭМ=1,02 к расх.; ЗПМ=1,02; МАТ=1,02 к расх.; ТЗ=1,02; ТЗМ=1,02)
КОЭФ. УЧТЁННЫЕ В ИТОГАХ:
1. 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работ. ОЗП=1,2; ЭМ=1,2; ЗПМ=1,2; ТЗ=1,2; ТЗМ=1,2% % </t>
  </si>
  <si>
    <t>ТЕРм08-03-594-17</t>
  </si>
  <si>
    <t xml:space="preserve">Светильник в подвесных потолках, устанавливаемый: на закладных деталях, количество ламп в светильнике до 4, 100 шт.% % </t>
  </si>
  <si>
    <t>0,07
7/100</t>
  </si>
  <si>
    <t>5084,27
2287,8</t>
  </si>
  <si>
    <t>2685,17
932,7</t>
  </si>
  <si>
    <t>37.248 Светильники с люминисцентными лампами: в подвесных потолках на закладных деталях: ОЗП=10,77; ЭМ=5,82; ЗПМ=10,77; МАТ=3,96</t>
  </si>
  <si>
    <t>1094
703</t>
  </si>
  <si>
    <t>164
58,55</t>
  </si>
  <si>
    <t>11,48
4,1</t>
  </si>
  <si>
    <t>СЦМ-503-9042-90531</t>
  </si>
  <si>
    <t xml:space="preserve">Светильники потолочные с люминисцентными лампами ARS/R 4х18, шт% % </t>
  </si>
  <si>
    <t>Светильник потолочный с люминисцентными лампами ARS/R 4х18; МАТ=2,539</t>
  </si>
  <si>
    <t>СЦМ-546-0401</t>
  </si>
  <si>
    <t xml:space="preserve">Стартеры для люминесцентных ламп 4-20/СК-127С               , 10шт% % </t>
  </si>
  <si>
    <t>2,8
28/10</t>
  </si>
  <si>
    <t>Стартеры для люминесцентных ламп 4-20/СК-127С; МАТ=1,35</t>
  </si>
  <si>
    <t>ТЕРм08-03-593-06</t>
  </si>
  <si>
    <t xml:space="preserve">Светильник потолочный или настенный с креплением винтами или болтами для помещений: с нормальными условиями среды, одноламповый, 100 шт.% % </t>
  </si>
  <si>
    <t>0,27
27/100</t>
  </si>
  <si>
    <t>5574,68
1231,79</t>
  </si>
  <si>
    <t>2094,16
697,09</t>
  </si>
  <si>
    <t>37.239 Светильники для ламп накаливания: потолочные или настенные: ОЗП=10,77; ЭМ=5,87; ЗПМ=10,77; МАТ=1,32</t>
  </si>
  <si>
    <t>3319
2027</t>
  </si>
  <si>
    <t>88,3
43,76</t>
  </si>
  <si>
    <t>23,84
11,82</t>
  </si>
  <si>
    <t xml:space="preserve">СВЕТИЛЬНИК УДАРОПРОЧНЫЙ НПО 01-75 (85,80/1,18/4,35=16,71), шт.
КОЭФ. К ПОЗИЦИИ:
Заготовительно-складские расходы ПЗ=1,02 (ОЗП=1,02; ЭМ=1,02 к расх.; ЗПМ=1,02; МАТ=1,02 к расх.; ТЗ=1,02; ТЗМ=1,02)
КОЭФ. УЧТЁННЫЕ В ИТОГАХ:
1. 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работ. ОЗП=1,2; ЭМ=1,2; ЗПМ=1,2; ТЗ=1,2; ТЗМ=1,2% % </t>
  </si>
  <si>
    <t xml:space="preserve">Компактная люминесцентная лампа CE A 20W 827/840 E27 (85,80/1,18/4,35=16,71), шт.
КОЭФ. К ПОЗИЦИИ:
Заготовительно-складские расходы ПЗ=1,02 (ОЗП=1,02; ЭМ=1,02 к расх.; ЗПМ=1,02; МАТ=1,02 к расх.; ТЗ=1,02; ТЗМ=1,02)
КОЭФ. УЧТЁННЫЕ В ИТОГАХ:
1. Производство монтажных работ в существующих зданиях и сооружениях, освобожденных от оборудования и других предметов, мешающих нормальному производству работ. ОЗП=1,2; ЭМ=1,2; ЗПМ=1,2; ТЗ=1,2; ТЗМ=1,2% % </t>
  </si>
  <si>
    <t>Итого прямые затраты по разделу в текущих ценах</t>
  </si>
  <si>
    <t>28915
8319</t>
  </si>
  <si>
    <t>881,33
48,65</t>
  </si>
  <si>
    <t>Накладные расходы</t>
  </si>
  <si>
    <t>Сметная прибыль</t>
  </si>
  <si>
    <t>Итоги по разделу 1 Монтажные работы :</t>
  </si>
  <si>
    <t xml:space="preserve">  Итого Строительные работы</t>
  </si>
  <si>
    <t xml:space="preserve">  Итого Монтажные работы</t>
  </si>
  <si>
    <t xml:space="preserve">  Итого Оборудование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</si>
  <si>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</si>
  <si>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</si>
  <si>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</si>
  <si>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</si>
  <si>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</si>
  <si>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Оборудование</t>
  </si>
  <si>
    <t xml:space="preserve">      Накладные расходы</t>
  </si>
  <si>
    <t xml:space="preserve">      Сметная прибыль</t>
  </si>
  <si>
    <t xml:space="preserve">  Итого по разделу 1 Монтажные работы</t>
  </si>
  <si>
    <t>Итого прямые затраты по смете в текущих ценах</t>
  </si>
  <si>
    <t xml:space="preserve">  В том числе, справочно:</t>
  </si>
  <si>
    <t xml:space="preserve">  81% =  95%*0.85 ФОТ (от 135467)  (Поз. 1, 6, 15, 17, 19, 21-22, 24, 29, 31, 33, 35, 37-41, 44-46)</t>
  </si>
  <si>
    <t xml:space="preserve">  52% =  65%*0.8 ФОТ (от 135467)  (Поз. 1, 6, 15, 17, 19, 21-22, 24, 29, 31, 33, 35, 37-41, 44-46)</t>
  </si>
  <si>
    <t>Итоги по смете:</t>
  </si>
  <si>
    <t xml:space="preserve">  НДС 18%</t>
  </si>
  <si>
    <t xml:space="preserve">  ВСЕГО по смете</t>
  </si>
  <si>
    <t>ОГБУЗОТ "Медицинский центр мобилизационных резервов "Резерв"</t>
  </si>
  <si>
    <t>Составлен(а) в текущих ценах по состоянию на3 кв. 2012года</t>
  </si>
  <si>
    <t xml:space="preserve">Капитальный ремонт электрооборудования склада мобилизационного резерва №1 ОГБУЗОТ "Медицинский центр мобилизационных резервов "Резерв", </t>
  </si>
  <si>
    <t>на</t>
  </si>
  <si>
    <t>Основание:  Проект Силовое электрооборудование  04/07-2012-00-00-ЭС</t>
  </si>
  <si>
    <t>Директор ООО "КСЭС"</t>
  </si>
  <si>
    <t>______________________М.В.Жадобин</t>
  </si>
  <si>
    <t xml:space="preserve">                 Директор </t>
  </si>
  <si>
    <t xml:space="preserve">  ОГБУЗОТ "Медицинский центр </t>
  </si>
  <si>
    <t xml:space="preserve">    мобилизационных резервов "Резерв"</t>
  </si>
  <si>
    <t>_______________ Г.П.Кравцова</t>
  </si>
  <si>
    <t>Составил:__________________Логунова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</si>
</sst>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2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44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6" fillId="0" borderId="0" xfId="0" applyFont="1" applyAlignment="1">
      <alignment horizontal="center" vertical="top"/>
    </xf>
    <xf numFmtId="0" fontId="16" fillId="0" borderId="0" xfId="1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1" xfId="1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center" vertical="top"/>
    </xf>
    <xf numFmtId="0" fontId="16" fillId="0" borderId="0" xfId="0" applyFont="1" applyAlignment="1"/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right" vertical="top" wrapText="1"/>
    </xf>
    <xf numFmtId="0" fontId="16" fillId="0" borderId="0" xfId="0" applyNumberFormat="1" applyFont="1" applyBorder="1" applyAlignment="1">
      <alignment horizontal="righ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13" applyFont="1" applyAlignment="1">
      <alignment horizontal="left" vertical="top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6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6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19" fillId="0" borderId="0" xfId="10" applyFont="1" applyAlignment="1">
      <alignment horizontal="center"/>
    </xf>
    <xf numFmtId="0" fontId="16" fillId="0" borderId="12" xfId="5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17" fillId="0" borderId="1" xfId="0" applyNumberFormat="1" applyFont="1" applyBorder="1" applyAlignment="1">
      <alignment horizontal="right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vertical="top" wrapText="1"/>
    </xf>
    <xf numFmtId="0" fontId="16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6" fillId="0" borderId="12" xfId="0" applyNumberFormat="1" applyFont="1" applyBorder="1" applyAlignment="1">
      <alignment horizontal="right" vertical="top" wrapText="1"/>
    </xf>
    <xf numFmtId="0" fontId="16" fillId="0" borderId="1" xfId="4" applyFont="1" applyBorder="1" applyAlignment="1">
      <alignment horizontal="right" vertical="top" wrapText="1"/>
    </xf>
    <xf numFmtId="0" fontId="20" fillId="0" borderId="0" xfId="0" applyFont="1" applyAlignment="1">
      <alignment horizontal="left" vertical="top"/>
    </xf>
    <xf numFmtId="0" fontId="16" fillId="0" borderId="1" xfId="4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0" fillId="0" borderId="1" xfId="4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6" fillId="0" borderId="11" xfId="10" applyFont="1" applyBorder="1" applyAlignment="1">
      <alignment horizontal="left" wrapText="1"/>
    </xf>
    <xf numFmtId="0" fontId="0" fillId="0" borderId="11" xfId="0" applyBorder="1" applyAlignment="1">
      <alignment wrapText="1"/>
    </xf>
    <xf numFmtId="0" fontId="1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2" xfId="0" quotePrefix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43" fontId="7" fillId="0" borderId="11" xfId="12" applyFont="1" applyBorder="1" applyAlignment="1">
      <alignment horizontal="right" indent="1"/>
    </xf>
    <xf numFmtId="43" fontId="7" fillId="0" borderId="13" xfId="12" applyFont="1" applyBorder="1" applyAlignment="1">
      <alignment horizontal="right" indent="1"/>
    </xf>
    <xf numFmtId="0" fontId="16" fillId="0" borderId="14" xfId="0" quotePrefix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/>
    <xf numFmtId="0" fontId="18" fillId="0" borderId="15" xfId="0" applyFont="1" applyBorder="1" applyAlignment="1"/>
    <xf numFmtId="0" fontId="16" fillId="0" borderId="8" xfId="0" applyFont="1" applyBorder="1" applyAlignment="1"/>
    <xf numFmtId="0" fontId="16" fillId="0" borderId="0" xfId="0" applyFont="1" applyBorder="1" applyAlignment="1"/>
    <xf numFmtId="0" fontId="18" fillId="0" borderId="7" xfId="0" applyFont="1" applyBorder="1" applyAlignment="1"/>
    <xf numFmtId="0" fontId="16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154"/>
  <sheetViews>
    <sheetView showGridLines="0" tabSelected="1" zoomScale="117" zoomScaleNormal="117" workbookViewId="0">
      <pane ySplit="19" topLeftCell="A20" activePane="bottomLeft" state="frozen"/>
      <selection pane="bottomLeft" activeCell="K9" sqref="K9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 t="s">
        <v>541</v>
      </c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104" t="s">
        <v>296</v>
      </c>
      <c r="B2" s="54"/>
      <c r="C2" s="58"/>
      <c r="D2" s="57"/>
      <c r="F2" s="60" t="s">
        <v>81</v>
      </c>
      <c r="G2" s="60"/>
      <c r="H2" s="58"/>
      <c r="I2" s="61"/>
      <c r="J2" s="59"/>
      <c r="K2" s="104" t="s">
        <v>297</v>
      </c>
      <c r="L2" s="59"/>
      <c r="M2" s="53"/>
      <c r="N2" s="58"/>
    </row>
    <row r="3" spans="1:14" s="12" customFormat="1" x14ac:dyDescent="0.2">
      <c r="A3" s="59" t="s">
        <v>546</v>
      </c>
      <c r="B3" s="58"/>
      <c r="C3" s="58"/>
      <c r="D3" s="58"/>
      <c r="E3" s="53"/>
      <c r="F3" s="53"/>
      <c r="G3" s="53"/>
      <c r="H3" s="53"/>
      <c r="I3" s="53"/>
      <c r="J3" s="111" t="s">
        <v>548</v>
      </c>
      <c r="K3" s="112"/>
      <c r="L3" s="112"/>
      <c r="M3" s="53"/>
      <c r="N3" s="58"/>
    </row>
    <row r="4" spans="1:14" s="12" customFormat="1" x14ac:dyDescent="0.2">
      <c r="A4" s="53"/>
      <c r="B4" s="53"/>
      <c r="C4" s="53"/>
      <c r="D4" s="58"/>
      <c r="F4" s="86" t="s">
        <v>299</v>
      </c>
      <c r="G4" s="53"/>
      <c r="H4" s="58"/>
      <c r="I4" s="111" t="s">
        <v>549</v>
      </c>
      <c r="J4" s="112"/>
      <c r="K4" s="112"/>
      <c r="L4" s="112"/>
      <c r="M4" s="53"/>
      <c r="N4" s="58"/>
    </row>
    <row r="5" spans="1:14" s="12" customFormat="1" x14ac:dyDescent="0.2">
      <c r="A5" s="53" t="s">
        <v>547</v>
      </c>
      <c r="B5" s="53"/>
      <c r="C5" s="53"/>
      <c r="D5" s="58"/>
      <c r="F5" s="53" t="s">
        <v>82</v>
      </c>
      <c r="G5" s="53"/>
      <c r="H5" s="58"/>
      <c r="I5" s="113" t="s">
        <v>550</v>
      </c>
      <c r="J5" s="114"/>
      <c r="K5" s="114"/>
      <c r="L5" s="114"/>
      <c r="M5" s="53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111" t="s">
        <v>551</v>
      </c>
      <c r="J6" s="112"/>
      <c r="K6" s="112"/>
      <c r="L6" s="112"/>
      <c r="M6" s="53"/>
      <c r="N6" s="58"/>
    </row>
    <row r="7" spans="1:14" s="12" customFormat="1" ht="55.5" customHeight="1" x14ac:dyDescent="0.2">
      <c r="A7" s="53"/>
      <c r="B7" s="53"/>
      <c r="C7" s="62" t="s">
        <v>544</v>
      </c>
      <c r="D7" s="109" t="s">
        <v>543</v>
      </c>
      <c r="E7" s="110"/>
      <c r="F7" s="110"/>
      <c r="G7" s="110"/>
      <c r="H7" s="110"/>
      <c r="I7" s="61"/>
      <c r="J7" s="61"/>
      <c r="K7" s="61"/>
      <c r="L7" s="61"/>
      <c r="M7" s="53"/>
      <c r="N7" s="58"/>
    </row>
    <row r="8" spans="1:14" s="12" customFormat="1" ht="11.25" customHeight="1" x14ac:dyDescent="0.2">
      <c r="A8" s="53"/>
      <c r="B8" s="53"/>
      <c r="C8" s="53"/>
      <c r="D8" s="83" t="s">
        <v>313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3"/>
      <c r="B9" s="63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124" t="s">
        <v>545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4" x14ac:dyDescent="0.2">
      <c r="A11" s="84" t="s">
        <v>302</v>
      </c>
      <c r="B11" s="75"/>
      <c r="C11" s="126">
        <v>709299.18</v>
      </c>
      <c r="D11" s="126"/>
      <c r="E11" s="126"/>
      <c r="F11" s="74" t="s">
        <v>300</v>
      </c>
      <c r="G11" s="76"/>
      <c r="H11" s="76"/>
      <c r="I11" s="76"/>
      <c r="J11" s="76"/>
    </row>
    <row r="12" spans="1:14" x14ac:dyDescent="0.2">
      <c r="A12" s="85" t="s">
        <v>312</v>
      </c>
      <c r="B12" s="75"/>
      <c r="C12" s="80"/>
      <c r="D12" s="127">
        <v>135467</v>
      </c>
      <c r="E12" s="127"/>
      <c r="F12" s="74" t="s">
        <v>300</v>
      </c>
      <c r="G12" s="76"/>
      <c r="H12" s="76"/>
      <c r="I12" s="76"/>
      <c r="J12" s="76"/>
    </row>
    <row r="13" spans="1:14" x14ac:dyDescent="0.2">
      <c r="A13" s="85" t="s">
        <v>542</v>
      </c>
      <c r="B13" s="48"/>
      <c r="C13" s="77"/>
      <c r="D13" s="78"/>
      <c r="E13" s="81"/>
      <c r="F13" s="11"/>
      <c r="G13" s="82"/>
      <c r="H13" s="82"/>
      <c r="I13" s="76"/>
      <c r="J13" s="76"/>
    </row>
    <row r="14" spans="1:14" ht="11.25" customHeight="1" x14ac:dyDescent="0.2">
      <c r="A14" s="73"/>
      <c r="B14" s="74"/>
      <c r="C14" s="74"/>
      <c r="D14" s="73"/>
      <c r="E14" s="76"/>
      <c r="F14" s="76"/>
      <c r="G14" s="76"/>
      <c r="H14" s="80"/>
      <c r="I14" s="76"/>
      <c r="J14" s="76"/>
      <c r="K14" s="76"/>
      <c r="L14" s="76"/>
      <c r="M14" s="76"/>
    </row>
    <row r="15" spans="1:14" ht="12.75" customHeight="1" x14ac:dyDescent="0.2">
      <c r="A15" s="122" t="s">
        <v>83</v>
      </c>
      <c r="B15" s="122" t="s">
        <v>309</v>
      </c>
      <c r="C15" s="120" t="s">
        <v>314</v>
      </c>
      <c r="D15" s="120" t="s">
        <v>310</v>
      </c>
      <c r="E15" s="132" t="s">
        <v>315</v>
      </c>
      <c r="F15" s="133"/>
      <c r="G15" s="134"/>
      <c r="H15" s="120" t="s">
        <v>295</v>
      </c>
      <c r="I15" s="132" t="s">
        <v>301</v>
      </c>
      <c r="J15" s="138"/>
      <c r="K15" s="138"/>
      <c r="L15" s="139"/>
      <c r="M15" s="128" t="s">
        <v>311</v>
      </c>
      <c r="N15" s="129"/>
    </row>
    <row r="16" spans="1:14" s="51" customFormat="1" ht="38.25" customHeight="1" x14ac:dyDescent="0.2">
      <c r="A16" s="123"/>
      <c r="B16" s="123"/>
      <c r="C16" s="123"/>
      <c r="D16" s="123"/>
      <c r="E16" s="135"/>
      <c r="F16" s="136"/>
      <c r="G16" s="137"/>
      <c r="H16" s="123"/>
      <c r="I16" s="130"/>
      <c r="J16" s="140"/>
      <c r="K16" s="140"/>
      <c r="L16" s="141"/>
      <c r="M16" s="130"/>
      <c r="N16" s="131"/>
    </row>
    <row r="17" spans="1:20" s="51" customFormat="1" ht="12.75" customHeight="1" x14ac:dyDescent="0.2">
      <c r="A17" s="123"/>
      <c r="B17" s="123"/>
      <c r="C17" s="123"/>
      <c r="D17" s="123"/>
      <c r="E17" s="79" t="s">
        <v>304</v>
      </c>
      <c r="F17" s="79" t="s">
        <v>306</v>
      </c>
      <c r="G17" s="120" t="s">
        <v>308</v>
      </c>
      <c r="H17" s="123"/>
      <c r="I17" s="120" t="s">
        <v>304</v>
      </c>
      <c r="J17" s="120" t="s">
        <v>307</v>
      </c>
      <c r="K17" s="79" t="s">
        <v>306</v>
      </c>
      <c r="L17" s="120" t="s">
        <v>308</v>
      </c>
      <c r="M17" s="122" t="s">
        <v>298</v>
      </c>
      <c r="N17" s="120" t="s">
        <v>304</v>
      </c>
    </row>
    <row r="18" spans="1:20" s="51" customFormat="1" ht="11.25" customHeight="1" x14ac:dyDescent="0.2">
      <c r="A18" s="121"/>
      <c r="B18" s="121"/>
      <c r="C18" s="121"/>
      <c r="D18" s="121"/>
      <c r="E18" s="72" t="s">
        <v>303</v>
      </c>
      <c r="F18" s="79" t="s">
        <v>305</v>
      </c>
      <c r="G18" s="121"/>
      <c r="H18" s="121"/>
      <c r="I18" s="121"/>
      <c r="J18" s="121"/>
      <c r="K18" s="79" t="s">
        <v>305</v>
      </c>
      <c r="L18" s="121"/>
      <c r="M18" s="121"/>
      <c r="N18" s="121"/>
    </row>
    <row r="19" spans="1:20" x14ac:dyDescent="0.2">
      <c r="A19" s="87">
        <v>1</v>
      </c>
      <c r="B19" s="87">
        <v>2</v>
      </c>
      <c r="C19" s="87">
        <v>3</v>
      </c>
      <c r="D19" s="87">
        <v>4</v>
      </c>
      <c r="E19" s="87">
        <v>5</v>
      </c>
      <c r="F19" s="87">
        <v>6</v>
      </c>
      <c r="G19" s="87">
        <v>7</v>
      </c>
      <c r="H19" s="87">
        <v>8</v>
      </c>
      <c r="I19" s="87">
        <v>9</v>
      </c>
      <c r="J19" s="87">
        <v>10</v>
      </c>
      <c r="K19" s="87">
        <v>11</v>
      </c>
      <c r="L19" s="87">
        <v>12</v>
      </c>
      <c r="M19" s="87">
        <v>13</v>
      </c>
      <c r="N19" s="87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8" t="s">
        <v>317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spans="1:20" ht="45" x14ac:dyDescent="0.2">
      <c r="A21" s="88">
        <v>1</v>
      </c>
      <c r="B21" s="89" t="s">
        <v>318</v>
      </c>
      <c r="C21" s="89" t="s">
        <v>319</v>
      </c>
      <c r="D21" s="88" t="s">
        <v>320</v>
      </c>
      <c r="E21" s="90" t="s">
        <v>321</v>
      </c>
      <c r="F21" s="90" t="s">
        <v>322</v>
      </c>
      <c r="G21" s="90">
        <v>4.32</v>
      </c>
      <c r="H21" s="91" t="s">
        <v>323</v>
      </c>
      <c r="I21" s="92">
        <v>3283</v>
      </c>
      <c r="J21" s="90">
        <v>1780</v>
      </c>
      <c r="K21" s="90" t="s">
        <v>324</v>
      </c>
      <c r="L21" s="90" t="str">
        <f>IF(5*4.32=0," ",TEXT(,ROUND((5*4.32*2.98),2)))</f>
        <v>64,37</v>
      </c>
      <c r="M21" s="90" t="s">
        <v>325</v>
      </c>
      <c r="N21" s="90" t="s">
        <v>326</v>
      </c>
    </row>
    <row r="22" spans="1:20" x14ac:dyDescent="0.2">
      <c r="A22" s="93"/>
      <c r="B22" s="94"/>
      <c r="C22" s="94" t="s">
        <v>327</v>
      </c>
      <c r="D22" s="93"/>
      <c r="E22" s="95"/>
      <c r="F22" s="95"/>
      <c r="G22" s="95"/>
      <c r="H22" s="96"/>
      <c r="I22" s="97"/>
      <c r="J22" s="95"/>
      <c r="K22" s="95"/>
      <c r="L22" s="95"/>
      <c r="M22" s="95"/>
      <c r="N22" s="95"/>
    </row>
    <row r="23" spans="1:20" x14ac:dyDescent="0.2">
      <c r="A23" s="93"/>
      <c r="B23" s="94"/>
      <c r="C23" s="94" t="s">
        <v>328</v>
      </c>
      <c r="D23" s="93"/>
      <c r="E23" s="95"/>
      <c r="F23" s="95"/>
      <c r="G23" s="95"/>
      <c r="H23" s="96"/>
      <c r="I23" s="97"/>
      <c r="J23" s="95"/>
      <c r="K23" s="95"/>
      <c r="L23" s="95"/>
      <c r="M23" s="95"/>
      <c r="N23" s="95"/>
    </row>
    <row r="24" spans="1:20" x14ac:dyDescent="0.2">
      <c r="A24" s="88">
        <v>2</v>
      </c>
      <c r="B24" s="89"/>
      <c r="C24" s="89"/>
      <c r="D24" s="88"/>
      <c r="E24" s="90"/>
      <c r="F24" s="90"/>
      <c r="G24" s="90"/>
      <c r="H24" s="91"/>
      <c r="I24" s="92"/>
      <c r="J24" s="90"/>
      <c r="K24" s="90"/>
      <c r="L24" s="90"/>
      <c r="M24" s="90"/>
      <c r="N24" s="90"/>
    </row>
    <row r="25" spans="1:20" ht="33.75" x14ac:dyDescent="0.2">
      <c r="A25" s="88"/>
      <c r="B25" s="89" t="s">
        <v>329</v>
      </c>
      <c r="C25" s="89" t="s">
        <v>330</v>
      </c>
      <c r="D25" s="88">
        <v>1</v>
      </c>
      <c r="E25" s="90">
        <v>431</v>
      </c>
      <c r="F25" s="90"/>
      <c r="G25" s="90"/>
      <c r="H25" s="91" t="s">
        <v>331</v>
      </c>
      <c r="I25" s="92">
        <v>1018</v>
      </c>
      <c r="J25" s="90"/>
      <c r="K25" s="90"/>
      <c r="L25" s="90" t="str">
        <f>IF(1*0=0," ",TEXT(,ROUND((1*0*2.361),2)))</f>
        <v xml:space="preserve"> </v>
      </c>
      <c r="M25" s="90"/>
      <c r="N25" s="90"/>
    </row>
    <row r="26" spans="1:20" ht="33.75" x14ac:dyDescent="0.2">
      <c r="A26" s="88">
        <v>3</v>
      </c>
      <c r="B26" s="89" t="s">
        <v>332</v>
      </c>
      <c r="C26" s="89" t="s">
        <v>333</v>
      </c>
      <c r="D26" s="88">
        <v>2</v>
      </c>
      <c r="E26" s="90">
        <v>152.79</v>
      </c>
      <c r="F26" s="90"/>
      <c r="G26" s="90"/>
      <c r="H26" s="91" t="s">
        <v>334</v>
      </c>
      <c r="I26" s="92">
        <v>502</v>
      </c>
      <c r="J26" s="90"/>
      <c r="K26" s="90"/>
      <c r="L26" s="90" t="str">
        <f>IF(2*0=0," ",TEXT(,ROUND((2*0*1.642),2)))</f>
        <v xml:space="preserve"> </v>
      </c>
      <c r="M26" s="90"/>
      <c r="N26" s="90"/>
    </row>
    <row r="27" spans="1:20" ht="33.75" x14ac:dyDescent="0.2">
      <c r="A27" s="88">
        <v>4</v>
      </c>
      <c r="B27" s="89" t="s">
        <v>335</v>
      </c>
      <c r="C27" s="89" t="s">
        <v>336</v>
      </c>
      <c r="D27" s="88">
        <v>1</v>
      </c>
      <c r="E27" s="90">
        <v>115</v>
      </c>
      <c r="F27" s="90"/>
      <c r="G27" s="90"/>
      <c r="H27" s="91" t="s">
        <v>337</v>
      </c>
      <c r="I27" s="92">
        <v>190</v>
      </c>
      <c r="J27" s="90"/>
      <c r="K27" s="90"/>
      <c r="L27" s="90" t="str">
        <f>IF(1*0=0," ",TEXT(,ROUND((1*0*1.649),2)))</f>
        <v xml:space="preserve"> </v>
      </c>
      <c r="M27" s="90"/>
      <c r="N27" s="90"/>
    </row>
    <row r="28" spans="1:20" ht="33.75" x14ac:dyDescent="0.2">
      <c r="A28" s="88">
        <v>5</v>
      </c>
      <c r="B28" s="89" t="s">
        <v>338</v>
      </c>
      <c r="C28" s="89" t="s">
        <v>339</v>
      </c>
      <c r="D28" s="88">
        <v>1</v>
      </c>
      <c r="E28" s="90">
        <v>298</v>
      </c>
      <c r="F28" s="90"/>
      <c r="G28" s="90"/>
      <c r="H28" s="91" t="s">
        <v>340</v>
      </c>
      <c r="I28" s="92">
        <v>663</v>
      </c>
      <c r="J28" s="90"/>
      <c r="K28" s="90"/>
      <c r="L28" s="90" t="str">
        <f>IF(1*0=0," ",TEXT(,ROUND((1*0*2.226),2)))</f>
        <v xml:space="preserve"> </v>
      </c>
      <c r="M28" s="90"/>
      <c r="N28" s="90"/>
    </row>
    <row r="29" spans="1:20" ht="56.25" x14ac:dyDescent="0.2">
      <c r="A29" s="88">
        <v>6</v>
      </c>
      <c r="B29" s="89" t="s">
        <v>341</v>
      </c>
      <c r="C29" s="89" t="s">
        <v>342</v>
      </c>
      <c r="D29" s="88" t="s">
        <v>343</v>
      </c>
      <c r="E29" s="90" t="s">
        <v>344</v>
      </c>
      <c r="F29" s="90"/>
      <c r="G29" s="90">
        <v>0.75</v>
      </c>
      <c r="H29" s="91" t="s">
        <v>345</v>
      </c>
      <c r="I29" s="92">
        <v>6446</v>
      </c>
      <c r="J29" s="90">
        <v>6393</v>
      </c>
      <c r="K29" s="90"/>
      <c r="L29" s="90" t="str">
        <f>IF(38*0.75=0," ",TEXT(,ROUND((38*0.75*1.86),2)))</f>
        <v>53,01</v>
      </c>
      <c r="M29" s="90">
        <v>1.1200000000000001</v>
      </c>
      <c r="N29" s="90">
        <v>42.56</v>
      </c>
    </row>
    <row r="30" spans="1:20" x14ac:dyDescent="0.2">
      <c r="A30" s="93"/>
      <c r="B30" s="94"/>
      <c r="C30" s="94" t="s">
        <v>327</v>
      </c>
      <c r="D30" s="93"/>
      <c r="E30" s="95"/>
      <c r="F30" s="95"/>
      <c r="G30" s="95"/>
      <c r="H30" s="96"/>
      <c r="I30" s="97"/>
      <c r="J30" s="95"/>
      <c r="K30" s="95"/>
      <c r="L30" s="95"/>
      <c r="M30" s="95"/>
      <c r="N30" s="95"/>
    </row>
    <row r="31" spans="1:20" x14ac:dyDescent="0.2">
      <c r="A31" s="93"/>
      <c r="B31" s="94"/>
      <c r="C31" s="94" t="s">
        <v>328</v>
      </c>
      <c r="D31" s="93"/>
      <c r="E31" s="95"/>
      <c r="F31" s="95"/>
      <c r="G31" s="95"/>
      <c r="H31" s="96"/>
      <c r="I31" s="97"/>
      <c r="J31" s="95"/>
      <c r="K31" s="95"/>
      <c r="L31" s="95"/>
      <c r="M31" s="95"/>
      <c r="N31" s="95"/>
    </row>
    <row r="32" spans="1:20" x14ac:dyDescent="0.2">
      <c r="A32" s="88">
        <v>7</v>
      </c>
      <c r="B32" s="89"/>
      <c r="C32" s="89"/>
      <c r="D32" s="88"/>
      <c r="E32" s="90"/>
      <c r="F32" s="90"/>
      <c r="G32" s="90"/>
      <c r="H32" s="91"/>
      <c r="I32" s="92"/>
      <c r="J32" s="90"/>
      <c r="K32" s="90"/>
      <c r="L32" s="90"/>
      <c r="M32" s="90"/>
      <c r="N32" s="90"/>
    </row>
    <row r="33" spans="1:14" ht="45" x14ac:dyDescent="0.2">
      <c r="A33" s="88"/>
      <c r="B33" s="89" t="s">
        <v>346</v>
      </c>
      <c r="C33" s="89" t="s">
        <v>347</v>
      </c>
      <c r="D33" s="88">
        <v>15</v>
      </c>
      <c r="E33" s="90">
        <v>11.4</v>
      </c>
      <c r="F33" s="90"/>
      <c r="G33" s="90"/>
      <c r="H33" s="91" t="s">
        <v>348</v>
      </c>
      <c r="I33" s="92">
        <v>595</v>
      </c>
      <c r="J33" s="90"/>
      <c r="K33" s="90"/>
      <c r="L33" s="90" t="str">
        <f>IF(15*0=0," ",TEXT(,ROUND((15*0*3.477),2)))</f>
        <v xml:space="preserve"> </v>
      </c>
      <c r="M33" s="90"/>
      <c r="N33" s="90"/>
    </row>
    <row r="34" spans="1:14" ht="45" x14ac:dyDescent="0.2">
      <c r="A34" s="88">
        <v>8</v>
      </c>
      <c r="B34" s="89" t="s">
        <v>346</v>
      </c>
      <c r="C34" s="89" t="s">
        <v>349</v>
      </c>
      <c r="D34" s="88">
        <v>8</v>
      </c>
      <c r="E34" s="90">
        <v>11.4</v>
      </c>
      <c r="F34" s="90"/>
      <c r="G34" s="90"/>
      <c r="H34" s="91" t="s">
        <v>348</v>
      </c>
      <c r="I34" s="92">
        <v>317</v>
      </c>
      <c r="J34" s="90"/>
      <c r="K34" s="90"/>
      <c r="L34" s="90" t="str">
        <f>IF(8*0=0," ",TEXT(,ROUND((8*0*3.477),2)))</f>
        <v xml:space="preserve"> </v>
      </c>
      <c r="M34" s="90"/>
      <c r="N34" s="90"/>
    </row>
    <row r="35" spans="1:14" ht="45" x14ac:dyDescent="0.2">
      <c r="A35" s="88">
        <v>9</v>
      </c>
      <c r="B35" s="89" t="s">
        <v>350</v>
      </c>
      <c r="C35" s="89" t="s">
        <v>351</v>
      </c>
      <c r="D35" s="88">
        <v>1</v>
      </c>
      <c r="E35" s="90">
        <v>277.14999999999998</v>
      </c>
      <c r="F35" s="90"/>
      <c r="G35" s="90"/>
      <c r="H35" s="91" t="s">
        <v>352</v>
      </c>
      <c r="I35" s="92">
        <v>585</v>
      </c>
      <c r="J35" s="90"/>
      <c r="K35" s="90"/>
      <c r="L35" s="90" t="str">
        <f>IF(1*0=0," ",TEXT(,ROUND((1*0*2.111),2)))</f>
        <v xml:space="preserve"> </v>
      </c>
      <c r="M35" s="90"/>
      <c r="N35" s="90"/>
    </row>
    <row r="36" spans="1:14" ht="45" x14ac:dyDescent="0.2">
      <c r="A36" s="88">
        <v>10</v>
      </c>
      <c r="B36" s="89" t="s">
        <v>353</v>
      </c>
      <c r="C36" s="89" t="s">
        <v>354</v>
      </c>
      <c r="D36" s="88">
        <v>2</v>
      </c>
      <c r="E36" s="90">
        <v>209.9</v>
      </c>
      <c r="F36" s="90"/>
      <c r="G36" s="90"/>
      <c r="H36" s="91" t="s">
        <v>355</v>
      </c>
      <c r="I36" s="92">
        <v>1223</v>
      </c>
      <c r="J36" s="90"/>
      <c r="K36" s="90"/>
      <c r="L36" s="90" t="str">
        <f>IF(2*0=0," ",TEXT(,ROUND((2*0*2.913),2)))</f>
        <v xml:space="preserve"> </v>
      </c>
      <c r="M36" s="90"/>
      <c r="N36" s="90"/>
    </row>
    <row r="37" spans="1:14" ht="45" x14ac:dyDescent="0.2">
      <c r="A37" s="88">
        <v>11</v>
      </c>
      <c r="B37" s="89" t="s">
        <v>356</v>
      </c>
      <c r="C37" s="89" t="s">
        <v>357</v>
      </c>
      <c r="D37" s="88">
        <v>5</v>
      </c>
      <c r="E37" s="90">
        <v>35.5</v>
      </c>
      <c r="F37" s="90"/>
      <c r="G37" s="90"/>
      <c r="H37" s="91" t="s">
        <v>358</v>
      </c>
      <c r="I37" s="92">
        <v>608</v>
      </c>
      <c r="J37" s="90"/>
      <c r="K37" s="90"/>
      <c r="L37" s="90" t="str">
        <f>IF(5*0=0," ",TEXT(,ROUND((5*0*3.425),2)))</f>
        <v xml:space="preserve"> </v>
      </c>
      <c r="M37" s="90"/>
      <c r="N37" s="90"/>
    </row>
    <row r="38" spans="1:14" ht="45" x14ac:dyDescent="0.2">
      <c r="A38" s="88">
        <v>12</v>
      </c>
      <c r="B38" s="89" t="s">
        <v>356</v>
      </c>
      <c r="C38" s="89" t="s">
        <v>359</v>
      </c>
      <c r="D38" s="88">
        <v>3</v>
      </c>
      <c r="E38" s="90">
        <v>35.5</v>
      </c>
      <c r="F38" s="90"/>
      <c r="G38" s="90"/>
      <c r="H38" s="91" t="s">
        <v>358</v>
      </c>
      <c r="I38" s="92">
        <v>365</v>
      </c>
      <c r="J38" s="90"/>
      <c r="K38" s="90"/>
      <c r="L38" s="90" t="str">
        <f>IF(3*0=0," ",TEXT(,ROUND((3*0*3.425),2)))</f>
        <v xml:space="preserve"> </v>
      </c>
      <c r="M38" s="90"/>
      <c r="N38" s="90"/>
    </row>
    <row r="39" spans="1:14" ht="45" x14ac:dyDescent="0.2">
      <c r="A39" s="88">
        <v>13</v>
      </c>
      <c r="B39" s="89" t="s">
        <v>356</v>
      </c>
      <c r="C39" s="89" t="s">
        <v>360</v>
      </c>
      <c r="D39" s="88">
        <v>4</v>
      </c>
      <c r="E39" s="90">
        <v>35.5</v>
      </c>
      <c r="F39" s="90"/>
      <c r="G39" s="90"/>
      <c r="H39" s="91" t="s">
        <v>358</v>
      </c>
      <c r="I39" s="92">
        <v>486</v>
      </c>
      <c r="J39" s="90"/>
      <c r="K39" s="90"/>
      <c r="L39" s="90" t="str">
        <f>IF(4*0=0," ",TEXT(,ROUND((4*0*3.425),2)))</f>
        <v xml:space="preserve"> </v>
      </c>
      <c r="M39" s="90"/>
      <c r="N39" s="90"/>
    </row>
    <row r="40" spans="1:14" ht="45" x14ac:dyDescent="0.2">
      <c r="A40" s="88">
        <v>14</v>
      </c>
      <c r="B40" s="89" t="s">
        <v>361</v>
      </c>
      <c r="C40" s="89" t="s">
        <v>362</v>
      </c>
      <c r="D40" s="88">
        <v>120</v>
      </c>
      <c r="E40" s="90">
        <v>373.3</v>
      </c>
      <c r="F40" s="90"/>
      <c r="G40" s="90">
        <v>373.3</v>
      </c>
      <c r="H40" s="91" t="s">
        <v>363</v>
      </c>
      <c r="I40" s="92">
        <v>67194</v>
      </c>
      <c r="J40" s="90"/>
      <c r="K40" s="90"/>
      <c r="L40" s="90" t="str">
        <f>IF(120*373.3=0," ",TEXT(,ROUND((120*373.3*1.5),2)))</f>
        <v>67194</v>
      </c>
      <c r="M40" s="90"/>
      <c r="N40" s="90"/>
    </row>
    <row r="41" spans="1:14" ht="45" x14ac:dyDescent="0.2">
      <c r="A41" s="88">
        <v>15</v>
      </c>
      <c r="B41" s="89" t="s">
        <v>364</v>
      </c>
      <c r="C41" s="89" t="s">
        <v>365</v>
      </c>
      <c r="D41" s="88">
        <v>1</v>
      </c>
      <c r="E41" s="90" t="s">
        <v>366</v>
      </c>
      <c r="F41" s="90" t="s">
        <v>367</v>
      </c>
      <c r="G41" s="90">
        <v>0.88</v>
      </c>
      <c r="H41" s="91" t="s">
        <v>368</v>
      </c>
      <c r="I41" s="92">
        <v>153</v>
      </c>
      <c r="J41" s="90">
        <v>131</v>
      </c>
      <c r="K41" s="90" t="s">
        <v>369</v>
      </c>
      <c r="L41" s="90" t="str">
        <f>IF(1*0.88=0," ",TEXT(,ROUND((1*0.88*1.99),2)))</f>
        <v>1,75</v>
      </c>
      <c r="M41" s="90" t="s">
        <v>370</v>
      </c>
      <c r="N41" s="90" t="s">
        <v>370</v>
      </c>
    </row>
    <row r="42" spans="1:14" x14ac:dyDescent="0.2">
      <c r="A42" s="93"/>
      <c r="B42" s="94"/>
      <c r="C42" s="94" t="s">
        <v>327</v>
      </c>
      <c r="D42" s="93"/>
      <c r="E42" s="95"/>
      <c r="F42" s="95"/>
      <c r="G42" s="95"/>
      <c r="H42" s="96"/>
      <c r="I42" s="97"/>
      <c r="J42" s="95"/>
      <c r="K42" s="95"/>
      <c r="L42" s="95"/>
      <c r="M42" s="95"/>
      <c r="N42" s="95"/>
    </row>
    <row r="43" spans="1:14" x14ac:dyDescent="0.2">
      <c r="A43" s="93"/>
      <c r="B43" s="94"/>
      <c r="C43" s="94" t="s">
        <v>328</v>
      </c>
      <c r="D43" s="93"/>
      <c r="E43" s="95"/>
      <c r="F43" s="95"/>
      <c r="G43" s="95"/>
      <c r="H43" s="96"/>
      <c r="I43" s="97"/>
      <c r="J43" s="95"/>
      <c r="K43" s="95"/>
      <c r="L43" s="95"/>
      <c r="M43" s="95"/>
      <c r="N43" s="95"/>
    </row>
    <row r="44" spans="1:14" x14ac:dyDescent="0.2">
      <c r="A44" s="88">
        <v>16</v>
      </c>
      <c r="B44" s="89"/>
      <c r="C44" s="89"/>
      <c r="D44" s="88"/>
      <c r="E44" s="90"/>
      <c r="F44" s="90"/>
      <c r="G44" s="90"/>
      <c r="H44" s="91"/>
      <c r="I44" s="92"/>
      <c r="J44" s="90"/>
      <c r="K44" s="90"/>
      <c r="L44" s="90"/>
      <c r="M44" s="90"/>
      <c r="N44" s="90"/>
    </row>
    <row r="45" spans="1:14" ht="33.75" x14ac:dyDescent="0.2">
      <c r="A45" s="88"/>
      <c r="B45" s="89" t="s">
        <v>371</v>
      </c>
      <c r="C45" s="89" t="s">
        <v>372</v>
      </c>
      <c r="D45" s="88">
        <v>1</v>
      </c>
      <c r="E45" s="90">
        <v>2453.66</v>
      </c>
      <c r="F45" s="90"/>
      <c r="G45" s="90"/>
      <c r="H45" s="91" t="s">
        <v>373</v>
      </c>
      <c r="I45" s="92">
        <v>5163</v>
      </c>
      <c r="J45" s="90"/>
      <c r="K45" s="90"/>
      <c r="L45" s="90" t="str">
        <f>IF(1*0=0," ",TEXT(,ROUND((1*0*2.104),2)))</f>
        <v xml:space="preserve"> </v>
      </c>
      <c r="M45" s="90"/>
      <c r="N45" s="90"/>
    </row>
    <row r="46" spans="1:14" ht="45" x14ac:dyDescent="0.2">
      <c r="A46" s="88">
        <v>17</v>
      </c>
      <c r="B46" s="89" t="s">
        <v>374</v>
      </c>
      <c r="C46" s="89" t="s">
        <v>375</v>
      </c>
      <c r="D46" s="88" t="s">
        <v>376</v>
      </c>
      <c r="E46" s="90" t="s">
        <v>377</v>
      </c>
      <c r="F46" s="90" t="s">
        <v>378</v>
      </c>
      <c r="G46" s="90">
        <v>2334.02</v>
      </c>
      <c r="H46" s="91" t="s">
        <v>379</v>
      </c>
      <c r="I46" s="92">
        <v>6860</v>
      </c>
      <c r="J46" s="90">
        <v>2870</v>
      </c>
      <c r="K46" s="90" t="s">
        <v>380</v>
      </c>
      <c r="L46" s="90" t="str">
        <f>IF(0.58*2334.02=0," ",TEXT(,ROUND((0.58*2334.02*2.4),2)))</f>
        <v>3248,96</v>
      </c>
      <c r="M46" s="90" t="s">
        <v>381</v>
      </c>
      <c r="N46" s="90" t="s">
        <v>382</v>
      </c>
    </row>
    <row r="47" spans="1:14" x14ac:dyDescent="0.2">
      <c r="A47" s="93"/>
      <c r="B47" s="94"/>
      <c r="C47" s="94" t="s">
        <v>327</v>
      </c>
      <c r="D47" s="93"/>
      <c r="E47" s="95"/>
      <c r="F47" s="95"/>
      <c r="G47" s="95"/>
      <c r="H47" s="96"/>
      <c r="I47" s="97"/>
      <c r="J47" s="95"/>
      <c r="K47" s="95"/>
      <c r="L47" s="95"/>
      <c r="M47" s="95"/>
      <c r="N47" s="95"/>
    </row>
    <row r="48" spans="1:14" x14ac:dyDescent="0.2">
      <c r="A48" s="93"/>
      <c r="B48" s="94"/>
      <c r="C48" s="94" t="s">
        <v>328</v>
      </c>
      <c r="D48" s="93"/>
      <c r="E48" s="95"/>
      <c r="F48" s="95"/>
      <c r="G48" s="95"/>
      <c r="H48" s="96"/>
      <c r="I48" s="97"/>
      <c r="J48" s="95"/>
      <c r="K48" s="95"/>
      <c r="L48" s="95"/>
      <c r="M48" s="95"/>
      <c r="N48" s="95"/>
    </row>
    <row r="49" spans="1:14" x14ac:dyDescent="0.2">
      <c r="A49" s="88">
        <v>18</v>
      </c>
      <c r="B49" s="89"/>
      <c r="C49" s="89"/>
      <c r="D49" s="88"/>
      <c r="E49" s="90"/>
      <c r="F49" s="90"/>
      <c r="G49" s="90"/>
      <c r="H49" s="91"/>
      <c r="I49" s="92"/>
      <c r="J49" s="90"/>
      <c r="K49" s="90"/>
      <c r="L49" s="90"/>
      <c r="M49" s="90"/>
      <c r="N49" s="90"/>
    </row>
    <row r="50" spans="1:14" ht="33.75" x14ac:dyDescent="0.2">
      <c r="A50" s="88"/>
      <c r="B50" s="89" t="s">
        <v>383</v>
      </c>
      <c r="C50" s="89" t="s">
        <v>384</v>
      </c>
      <c r="D50" s="88">
        <v>58</v>
      </c>
      <c r="E50" s="90">
        <v>44.8</v>
      </c>
      <c r="F50" s="90"/>
      <c r="G50" s="90">
        <v>44.8</v>
      </c>
      <c r="H50" s="91" t="s">
        <v>385</v>
      </c>
      <c r="I50" s="92">
        <v>2437</v>
      </c>
      <c r="J50" s="90"/>
      <c r="K50" s="90"/>
      <c r="L50" s="90" t="str">
        <f>IF(58*44.8=0," ",TEXT(,ROUND((58*44.8*0.938),2)))</f>
        <v>2437,3</v>
      </c>
      <c r="M50" s="90"/>
      <c r="N50" s="90"/>
    </row>
    <row r="51" spans="1:14" ht="72" x14ac:dyDescent="0.2">
      <c r="A51" s="88">
        <v>19</v>
      </c>
      <c r="B51" s="89" t="s">
        <v>386</v>
      </c>
      <c r="C51" s="89" t="s">
        <v>387</v>
      </c>
      <c r="D51" s="88" t="s">
        <v>388</v>
      </c>
      <c r="E51" s="90" t="s">
        <v>389</v>
      </c>
      <c r="F51" s="90" t="s">
        <v>390</v>
      </c>
      <c r="G51" s="90">
        <v>665.57</v>
      </c>
      <c r="H51" s="91" t="s">
        <v>391</v>
      </c>
      <c r="I51" s="92">
        <v>1803</v>
      </c>
      <c r="J51" s="90">
        <v>1102</v>
      </c>
      <c r="K51" s="90" t="s">
        <v>392</v>
      </c>
      <c r="L51" s="90" t="str">
        <f>IF(0.69*665.57=0," ",TEXT(,ROUND((0.69*665.57*1.28),2)))</f>
        <v>587,83</v>
      </c>
      <c r="M51" s="90" t="s">
        <v>393</v>
      </c>
      <c r="N51" s="90" t="s">
        <v>394</v>
      </c>
    </row>
    <row r="52" spans="1:14" x14ac:dyDescent="0.2">
      <c r="A52" s="93"/>
      <c r="B52" s="94"/>
      <c r="C52" s="94" t="s">
        <v>327</v>
      </c>
      <c r="D52" s="93"/>
      <c r="E52" s="95"/>
      <c r="F52" s="95"/>
      <c r="G52" s="95"/>
      <c r="H52" s="96"/>
      <c r="I52" s="97"/>
      <c r="J52" s="95"/>
      <c r="K52" s="95"/>
      <c r="L52" s="95"/>
      <c r="M52" s="95"/>
      <c r="N52" s="95"/>
    </row>
    <row r="53" spans="1:14" x14ac:dyDescent="0.2">
      <c r="A53" s="93"/>
      <c r="B53" s="94"/>
      <c r="C53" s="94" t="s">
        <v>328</v>
      </c>
      <c r="D53" s="93"/>
      <c r="E53" s="95"/>
      <c r="F53" s="95"/>
      <c r="G53" s="95"/>
      <c r="H53" s="96"/>
      <c r="I53" s="97"/>
      <c r="J53" s="95"/>
      <c r="K53" s="95"/>
      <c r="L53" s="95"/>
      <c r="M53" s="95"/>
      <c r="N53" s="95"/>
    </row>
    <row r="54" spans="1:14" x14ac:dyDescent="0.2">
      <c r="A54" s="88">
        <v>20</v>
      </c>
      <c r="B54" s="89"/>
      <c r="C54" s="89"/>
      <c r="D54" s="88"/>
      <c r="E54" s="90"/>
      <c r="F54" s="90"/>
      <c r="G54" s="90"/>
      <c r="H54" s="91"/>
      <c r="I54" s="92"/>
      <c r="J54" s="90"/>
      <c r="K54" s="90"/>
      <c r="L54" s="90"/>
      <c r="M54" s="90"/>
      <c r="N54" s="90"/>
    </row>
    <row r="55" spans="1:14" ht="96" x14ac:dyDescent="0.2">
      <c r="A55" s="88"/>
      <c r="B55" s="89" t="s">
        <v>395</v>
      </c>
      <c r="C55" s="89" t="s">
        <v>396</v>
      </c>
      <c r="D55" s="88" t="s">
        <v>397</v>
      </c>
      <c r="E55" s="90">
        <v>111105</v>
      </c>
      <c r="F55" s="90"/>
      <c r="G55" s="90">
        <v>111105</v>
      </c>
      <c r="H55" s="91" t="s">
        <v>398</v>
      </c>
      <c r="I55" s="92">
        <v>34000</v>
      </c>
      <c r="J55" s="90"/>
      <c r="K55" s="90"/>
      <c r="L55" s="90" t="str">
        <f>IF(0.069*111105=0," ",TEXT(,ROUND((0.069*111105*4.435),2)))</f>
        <v>33999,8</v>
      </c>
      <c r="M55" s="90"/>
      <c r="N55" s="90"/>
    </row>
    <row r="56" spans="1:14" ht="56.25" x14ac:dyDescent="0.2">
      <c r="A56" s="88">
        <v>21</v>
      </c>
      <c r="B56" s="89" t="s">
        <v>399</v>
      </c>
      <c r="C56" s="89" t="s">
        <v>400</v>
      </c>
      <c r="D56" s="88" t="s">
        <v>401</v>
      </c>
      <c r="E56" s="90" t="s">
        <v>402</v>
      </c>
      <c r="F56" s="90" t="s">
        <v>367</v>
      </c>
      <c r="G56" s="90">
        <v>3088.68</v>
      </c>
      <c r="H56" s="91" t="s">
        <v>403</v>
      </c>
      <c r="I56" s="92">
        <v>1299</v>
      </c>
      <c r="J56" s="90">
        <v>505</v>
      </c>
      <c r="K56" s="90">
        <v>4</v>
      </c>
      <c r="L56" s="90" t="str">
        <f>IF(0.2*3088.68=0," ",TEXT(,ROUND((0.2*3088.68*1.28),2)))</f>
        <v>790,7</v>
      </c>
      <c r="M56" s="90" t="s">
        <v>404</v>
      </c>
      <c r="N56" s="90">
        <v>3.36</v>
      </c>
    </row>
    <row r="57" spans="1:14" x14ac:dyDescent="0.2">
      <c r="A57" s="93"/>
      <c r="B57" s="94"/>
      <c r="C57" s="94" t="s">
        <v>327</v>
      </c>
      <c r="D57" s="93"/>
      <c r="E57" s="95"/>
      <c r="F57" s="95"/>
      <c r="G57" s="95"/>
      <c r="H57" s="96"/>
      <c r="I57" s="97"/>
      <c r="J57" s="95"/>
      <c r="K57" s="95"/>
      <c r="L57" s="95"/>
      <c r="M57" s="95"/>
      <c r="N57" s="95"/>
    </row>
    <row r="58" spans="1:14" x14ac:dyDescent="0.2">
      <c r="A58" s="93"/>
      <c r="B58" s="94"/>
      <c r="C58" s="94" t="s">
        <v>328</v>
      </c>
      <c r="D58" s="93"/>
      <c r="E58" s="95"/>
      <c r="F58" s="95"/>
      <c r="G58" s="95"/>
      <c r="H58" s="96"/>
      <c r="I58" s="97"/>
      <c r="J58" s="95"/>
      <c r="K58" s="95"/>
      <c r="L58" s="95"/>
      <c r="M58" s="95"/>
      <c r="N58" s="95"/>
    </row>
    <row r="59" spans="1:14" x14ac:dyDescent="0.2">
      <c r="A59" s="88">
        <v>22</v>
      </c>
      <c r="B59" s="89"/>
      <c r="C59" s="89"/>
      <c r="D59" s="88"/>
      <c r="E59" s="90"/>
      <c r="F59" s="90"/>
      <c r="G59" s="90"/>
      <c r="H59" s="91"/>
      <c r="I59" s="92"/>
      <c r="J59" s="90"/>
      <c r="K59" s="90"/>
      <c r="L59" s="90"/>
      <c r="M59" s="90"/>
      <c r="N59" s="90"/>
    </row>
    <row r="60" spans="1:14" ht="48" x14ac:dyDescent="0.2">
      <c r="A60" s="88"/>
      <c r="B60" s="89" t="s">
        <v>405</v>
      </c>
      <c r="C60" s="89" t="s">
        <v>406</v>
      </c>
      <c r="D60" s="88" t="s">
        <v>407</v>
      </c>
      <c r="E60" s="90" t="s">
        <v>408</v>
      </c>
      <c r="F60" s="90" t="s">
        <v>409</v>
      </c>
      <c r="G60" s="90">
        <v>325.49</v>
      </c>
      <c r="H60" s="91" t="s">
        <v>410</v>
      </c>
      <c r="I60" s="92">
        <v>69630</v>
      </c>
      <c r="J60" s="90">
        <v>47095</v>
      </c>
      <c r="K60" s="90" t="s">
        <v>411</v>
      </c>
      <c r="L60" s="90" t="str">
        <f>IF(16.35*325.49=0," ",TEXT(,ROUND((16.35*325.49*2.85),2)))</f>
        <v>15167,02</v>
      </c>
      <c r="M60" s="90" t="s">
        <v>412</v>
      </c>
      <c r="N60" s="90" t="s">
        <v>413</v>
      </c>
    </row>
    <row r="61" spans="1:14" x14ac:dyDescent="0.2">
      <c r="A61" s="93"/>
      <c r="B61" s="94"/>
      <c r="C61" s="94" t="s">
        <v>327</v>
      </c>
      <c r="D61" s="93"/>
      <c r="E61" s="95"/>
      <c r="F61" s="95"/>
      <c r="G61" s="95"/>
      <c r="H61" s="96"/>
      <c r="I61" s="97"/>
      <c r="J61" s="95"/>
      <c r="K61" s="95"/>
      <c r="L61" s="95"/>
      <c r="M61" s="95"/>
      <c r="N61" s="95"/>
    </row>
    <row r="62" spans="1:14" x14ac:dyDescent="0.2">
      <c r="A62" s="93"/>
      <c r="B62" s="94"/>
      <c r="C62" s="94" t="s">
        <v>328</v>
      </c>
      <c r="D62" s="93"/>
      <c r="E62" s="95"/>
      <c r="F62" s="95"/>
      <c r="G62" s="95"/>
      <c r="H62" s="96"/>
      <c r="I62" s="97"/>
      <c r="J62" s="95"/>
      <c r="K62" s="95"/>
      <c r="L62" s="95"/>
      <c r="M62" s="95"/>
      <c r="N62" s="95"/>
    </row>
    <row r="63" spans="1:14" x14ac:dyDescent="0.2">
      <c r="A63" s="88">
        <v>23</v>
      </c>
      <c r="B63" s="89"/>
      <c r="C63" s="89"/>
      <c r="D63" s="88"/>
      <c r="E63" s="90"/>
      <c r="F63" s="90"/>
      <c r="G63" s="90"/>
      <c r="H63" s="91"/>
      <c r="I63" s="92"/>
      <c r="J63" s="90"/>
      <c r="K63" s="90"/>
      <c r="L63" s="90"/>
      <c r="M63" s="90"/>
      <c r="N63" s="90"/>
    </row>
    <row r="64" spans="1:14" ht="33.75" x14ac:dyDescent="0.2">
      <c r="A64" s="88"/>
      <c r="B64" s="89" t="s">
        <v>414</v>
      </c>
      <c r="C64" s="89" t="s">
        <v>415</v>
      </c>
      <c r="D64" s="88">
        <v>1635</v>
      </c>
      <c r="E64" s="90">
        <v>9.5</v>
      </c>
      <c r="F64" s="90"/>
      <c r="G64" s="90">
        <v>9.5</v>
      </c>
      <c r="H64" s="91" t="s">
        <v>416</v>
      </c>
      <c r="I64" s="92">
        <v>11756</v>
      </c>
      <c r="J64" s="90"/>
      <c r="K64" s="90"/>
      <c r="L64" s="90" t="str">
        <f>IF(1635*9.5=0," ",TEXT(,ROUND((1635*9.5*0.757),2)))</f>
        <v>11758,1</v>
      </c>
      <c r="M64" s="90"/>
      <c r="N64" s="90"/>
    </row>
    <row r="65" spans="1:14" ht="48" x14ac:dyDescent="0.2">
      <c r="A65" s="88">
        <v>24</v>
      </c>
      <c r="B65" s="89" t="s">
        <v>405</v>
      </c>
      <c r="C65" s="89" t="s">
        <v>406</v>
      </c>
      <c r="D65" s="88" t="s">
        <v>417</v>
      </c>
      <c r="E65" s="90" t="s">
        <v>408</v>
      </c>
      <c r="F65" s="90" t="s">
        <v>409</v>
      </c>
      <c r="G65" s="90">
        <v>325.49</v>
      </c>
      <c r="H65" s="91" t="s">
        <v>410</v>
      </c>
      <c r="I65" s="92">
        <v>69630</v>
      </c>
      <c r="J65" s="90">
        <v>47095</v>
      </c>
      <c r="K65" s="90" t="s">
        <v>411</v>
      </c>
      <c r="L65" s="90" t="str">
        <f>IF(16.35*325.49=0," ",TEXT(,ROUND((16.35*325.49*2.85),2)))</f>
        <v>15167,02</v>
      </c>
      <c r="M65" s="90" t="s">
        <v>412</v>
      </c>
      <c r="N65" s="90" t="s">
        <v>413</v>
      </c>
    </row>
    <row r="66" spans="1:14" x14ac:dyDescent="0.2">
      <c r="A66" s="93"/>
      <c r="B66" s="94"/>
      <c r="C66" s="94" t="s">
        <v>327</v>
      </c>
      <c r="D66" s="93"/>
      <c r="E66" s="95"/>
      <c r="F66" s="95"/>
      <c r="G66" s="95"/>
      <c r="H66" s="96"/>
      <c r="I66" s="97"/>
      <c r="J66" s="95"/>
      <c r="K66" s="95"/>
      <c r="L66" s="95"/>
      <c r="M66" s="95"/>
      <c r="N66" s="95"/>
    </row>
    <row r="67" spans="1:14" x14ac:dyDescent="0.2">
      <c r="A67" s="93"/>
      <c r="B67" s="94"/>
      <c r="C67" s="94" t="s">
        <v>328</v>
      </c>
      <c r="D67" s="93"/>
      <c r="E67" s="95"/>
      <c r="F67" s="95"/>
      <c r="G67" s="95"/>
      <c r="H67" s="96"/>
      <c r="I67" s="97"/>
      <c r="J67" s="95"/>
      <c r="K67" s="95"/>
      <c r="L67" s="95"/>
      <c r="M67" s="95"/>
      <c r="N67" s="95"/>
    </row>
    <row r="68" spans="1:14" x14ac:dyDescent="0.2">
      <c r="A68" s="88">
        <v>25</v>
      </c>
      <c r="B68" s="89"/>
      <c r="C68" s="89"/>
      <c r="D68" s="88"/>
      <c r="E68" s="90"/>
      <c r="F68" s="90"/>
      <c r="G68" s="90"/>
      <c r="H68" s="91"/>
      <c r="I68" s="92"/>
      <c r="J68" s="90"/>
      <c r="K68" s="90"/>
      <c r="L68" s="90"/>
      <c r="M68" s="90"/>
      <c r="N68" s="90"/>
    </row>
    <row r="69" spans="1:14" ht="96" x14ac:dyDescent="0.2">
      <c r="A69" s="88"/>
      <c r="B69" s="89" t="s">
        <v>418</v>
      </c>
      <c r="C69" s="89" t="s">
        <v>419</v>
      </c>
      <c r="D69" s="88" t="s">
        <v>420</v>
      </c>
      <c r="E69" s="90">
        <v>6588</v>
      </c>
      <c r="F69" s="90"/>
      <c r="G69" s="90">
        <v>6588</v>
      </c>
      <c r="H69" s="91" t="s">
        <v>421</v>
      </c>
      <c r="I69" s="92">
        <v>28617</v>
      </c>
      <c r="J69" s="90"/>
      <c r="K69" s="90"/>
      <c r="L69" s="90" t="str">
        <f>IF(1.06*6588=0," ",TEXT(,ROUND((1.06*6588*4.098),2)))</f>
        <v>28617,48</v>
      </c>
      <c r="M69" s="90"/>
      <c r="N69" s="90"/>
    </row>
    <row r="70" spans="1:14" ht="96" x14ac:dyDescent="0.2">
      <c r="A70" s="88">
        <v>26</v>
      </c>
      <c r="B70" s="89" t="s">
        <v>422</v>
      </c>
      <c r="C70" s="89" t="s">
        <v>423</v>
      </c>
      <c r="D70" s="88" t="s">
        <v>424</v>
      </c>
      <c r="E70" s="90">
        <v>9153</v>
      </c>
      <c r="F70" s="90"/>
      <c r="G70" s="90">
        <v>9153</v>
      </c>
      <c r="H70" s="91" t="s">
        <v>425</v>
      </c>
      <c r="I70" s="92">
        <v>19548</v>
      </c>
      <c r="J70" s="90"/>
      <c r="K70" s="90"/>
      <c r="L70" s="90" t="str">
        <f>IF(0.52*9153=0," ",TEXT(,ROUND((0.52*9153*4.107),2)))</f>
        <v>19547,51</v>
      </c>
      <c r="M70" s="90"/>
      <c r="N70" s="90"/>
    </row>
    <row r="71" spans="1:14" ht="90" x14ac:dyDescent="0.2">
      <c r="A71" s="88">
        <v>27</v>
      </c>
      <c r="B71" s="89" t="s">
        <v>426</v>
      </c>
      <c r="C71" s="89" t="s">
        <v>427</v>
      </c>
      <c r="D71" s="88" t="s">
        <v>428</v>
      </c>
      <c r="E71" s="90">
        <v>12904</v>
      </c>
      <c r="F71" s="90"/>
      <c r="G71" s="90">
        <v>12904</v>
      </c>
      <c r="H71" s="91" t="s">
        <v>429</v>
      </c>
      <c r="I71" s="92">
        <v>2267</v>
      </c>
      <c r="J71" s="90"/>
      <c r="K71" s="90"/>
      <c r="L71" s="90" t="str">
        <f>IF(0.04*12904=0," ",TEXT(,ROUND((0.04*12904*4.393),2)))</f>
        <v>2267,49</v>
      </c>
      <c r="M71" s="90"/>
      <c r="N71" s="90"/>
    </row>
    <row r="72" spans="1:14" ht="90" x14ac:dyDescent="0.2">
      <c r="A72" s="88">
        <v>28</v>
      </c>
      <c r="B72" s="89" t="s">
        <v>430</v>
      </c>
      <c r="C72" s="89" t="s">
        <v>431</v>
      </c>
      <c r="D72" s="88" t="s">
        <v>432</v>
      </c>
      <c r="E72" s="90">
        <v>23146.98</v>
      </c>
      <c r="F72" s="90"/>
      <c r="G72" s="90">
        <v>23146.98</v>
      </c>
      <c r="H72" s="91" t="s">
        <v>433</v>
      </c>
      <c r="I72" s="92">
        <v>1082</v>
      </c>
      <c r="J72" s="90"/>
      <c r="K72" s="90"/>
      <c r="L72" s="90" t="str">
        <f>IF(0.015*23146.98=0," ",TEXT(,ROUND((0.015*23146.98*3.115),2)))</f>
        <v>1081,54</v>
      </c>
      <c r="M72" s="90"/>
      <c r="N72" s="90"/>
    </row>
    <row r="73" spans="1:14" ht="45" x14ac:dyDescent="0.2">
      <c r="A73" s="88">
        <v>29</v>
      </c>
      <c r="B73" s="89" t="s">
        <v>434</v>
      </c>
      <c r="C73" s="89" t="s">
        <v>435</v>
      </c>
      <c r="D73" s="88" t="s">
        <v>436</v>
      </c>
      <c r="E73" s="90" t="s">
        <v>437</v>
      </c>
      <c r="F73" s="90" t="s">
        <v>438</v>
      </c>
      <c r="G73" s="90">
        <v>497.56</v>
      </c>
      <c r="H73" s="91" t="s">
        <v>439</v>
      </c>
      <c r="I73" s="92">
        <v>2378</v>
      </c>
      <c r="J73" s="90">
        <v>2077</v>
      </c>
      <c r="K73" s="90" t="s">
        <v>440</v>
      </c>
      <c r="L73" s="90" t="str">
        <f>IF(0.32*497.56=0," ",TEXT(,ROUND((0.32*497.56*1.6),2)))</f>
        <v>254,75</v>
      </c>
      <c r="M73" s="90" t="s">
        <v>441</v>
      </c>
      <c r="N73" s="90" t="s">
        <v>442</v>
      </c>
    </row>
    <row r="74" spans="1:14" x14ac:dyDescent="0.2">
      <c r="A74" s="93"/>
      <c r="B74" s="94"/>
      <c r="C74" s="94" t="s">
        <v>327</v>
      </c>
      <c r="D74" s="93"/>
      <c r="E74" s="95"/>
      <c r="F74" s="95"/>
      <c r="G74" s="95"/>
      <c r="H74" s="96"/>
      <c r="I74" s="97"/>
      <c r="J74" s="95"/>
      <c r="K74" s="95"/>
      <c r="L74" s="95"/>
      <c r="M74" s="95"/>
      <c r="N74" s="95"/>
    </row>
    <row r="75" spans="1:14" x14ac:dyDescent="0.2">
      <c r="A75" s="93"/>
      <c r="B75" s="94"/>
      <c r="C75" s="94" t="s">
        <v>328</v>
      </c>
      <c r="D75" s="93"/>
      <c r="E75" s="95"/>
      <c r="F75" s="95"/>
      <c r="G75" s="95"/>
      <c r="H75" s="96"/>
      <c r="I75" s="97"/>
      <c r="J75" s="95"/>
      <c r="K75" s="95"/>
      <c r="L75" s="95"/>
      <c r="M75" s="95"/>
      <c r="N75" s="95"/>
    </row>
    <row r="76" spans="1:14" x14ac:dyDescent="0.2">
      <c r="A76" s="88">
        <v>30</v>
      </c>
      <c r="B76" s="89"/>
      <c r="C76" s="89"/>
      <c r="D76" s="88"/>
      <c r="E76" s="90"/>
      <c r="F76" s="90"/>
      <c r="G76" s="90"/>
      <c r="H76" s="91"/>
      <c r="I76" s="92"/>
      <c r="J76" s="90"/>
      <c r="K76" s="90"/>
      <c r="L76" s="90"/>
      <c r="M76" s="90"/>
      <c r="N76" s="90"/>
    </row>
    <row r="77" spans="1:14" ht="45" x14ac:dyDescent="0.2">
      <c r="A77" s="88"/>
      <c r="B77" s="89" t="s">
        <v>443</v>
      </c>
      <c r="C77" s="89" t="s">
        <v>444</v>
      </c>
      <c r="D77" s="88">
        <v>32</v>
      </c>
      <c r="E77" s="90">
        <v>16.100000000000001</v>
      </c>
      <c r="F77" s="90"/>
      <c r="G77" s="90">
        <v>16.100000000000001</v>
      </c>
      <c r="H77" s="91" t="s">
        <v>445</v>
      </c>
      <c r="I77" s="92">
        <v>902</v>
      </c>
      <c r="J77" s="90"/>
      <c r="K77" s="90"/>
      <c r="L77" s="90" t="str">
        <f>IF(32*16.1=0," ",TEXT(,ROUND((32*16.1*1.75),2)))</f>
        <v>901,6</v>
      </c>
      <c r="M77" s="90"/>
      <c r="N77" s="90"/>
    </row>
    <row r="78" spans="1:14" ht="45" x14ac:dyDescent="0.2">
      <c r="A78" s="88">
        <v>31</v>
      </c>
      <c r="B78" s="89" t="s">
        <v>446</v>
      </c>
      <c r="C78" s="89" t="s">
        <v>447</v>
      </c>
      <c r="D78" s="88" t="s">
        <v>448</v>
      </c>
      <c r="E78" s="90" t="s">
        <v>449</v>
      </c>
      <c r="F78" s="90" t="s">
        <v>450</v>
      </c>
      <c r="G78" s="90">
        <v>496.53</v>
      </c>
      <c r="H78" s="91" t="s">
        <v>439</v>
      </c>
      <c r="I78" s="92">
        <v>3084</v>
      </c>
      <c r="J78" s="90">
        <v>2671</v>
      </c>
      <c r="K78" s="90" t="s">
        <v>451</v>
      </c>
      <c r="L78" s="90" t="str">
        <f>IF(0.45*496.53=0," ",TEXT(,ROUND((0.45*496.53*1.6),2)))</f>
        <v>357,5</v>
      </c>
      <c r="M78" s="90" t="s">
        <v>452</v>
      </c>
      <c r="N78" s="90" t="s">
        <v>453</v>
      </c>
    </row>
    <row r="79" spans="1:14" x14ac:dyDescent="0.2">
      <c r="A79" s="93"/>
      <c r="B79" s="94"/>
      <c r="C79" s="94" t="s">
        <v>327</v>
      </c>
      <c r="D79" s="93"/>
      <c r="E79" s="95"/>
      <c r="F79" s="95"/>
      <c r="G79" s="95"/>
      <c r="H79" s="96"/>
      <c r="I79" s="97"/>
      <c r="J79" s="95"/>
      <c r="K79" s="95"/>
      <c r="L79" s="95"/>
      <c r="M79" s="95"/>
      <c r="N79" s="95"/>
    </row>
    <row r="80" spans="1:14" x14ac:dyDescent="0.2">
      <c r="A80" s="93"/>
      <c r="B80" s="94"/>
      <c r="C80" s="94" t="s">
        <v>328</v>
      </c>
      <c r="D80" s="93"/>
      <c r="E80" s="95"/>
      <c r="F80" s="95"/>
      <c r="G80" s="95"/>
      <c r="H80" s="96"/>
      <c r="I80" s="97"/>
      <c r="J80" s="95"/>
      <c r="K80" s="95"/>
      <c r="L80" s="95"/>
      <c r="M80" s="95"/>
      <c r="N80" s="95"/>
    </row>
    <row r="81" spans="1:14" x14ac:dyDescent="0.2">
      <c r="A81" s="88">
        <v>32</v>
      </c>
      <c r="B81" s="89"/>
      <c r="C81" s="89"/>
      <c r="D81" s="88"/>
      <c r="E81" s="90"/>
      <c r="F81" s="90"/>
      <c r="G81" s="90"/>
      <c r="H81" s="91"/>
      <c r="I81" s="92"/>
      <c r="J81" s="90"/>
      <c r="K81" s="90"/>
      <c r="L81" s="90"/>
      <c r="M81" s="90"/>
      <c r="N81" s="90"/>
    </row>
    <row r="82" spans="1:14" ht="45" x14ac:dyDescent="0.2">
      <c r="A82" s="88"/>
      <c r="B82" s="89" t="s">
        <v>454</v>
      </c>
      <c r="C82" s="89" t="s">
        <v>455</v>
      </c>
      <c r="D82" s="88">
        <v>45</v>
      </c>
      <c r="E82" s="90">
        <v>9.5</v>
      </c>
      <c r="F82" s="90"/>
      <c r="G82" s="90">
        <v>9.5</v>
      </c>
      <c r="H82" s="91" t="s">
        <v>456</v>
      </c>
      <c r="I82" s="92">
        <v>909</v>
      </c>
      <c r="J82" s="90"/>
      <c r="K82" s="90"/>
      <c r="L82" s="90" t="str">
        <f>IF(45*9.5=0," ",TEXT(,ROUND((45*9.5*2.126),2)))</f>
        <v>908,87</v>
      </c>
      <c r="M82" s="90"/>
      <c r="N82" s="90"/>
    </row>
    <row r="83" spans="1:14" ht="45" x14ac:dyDescent="0.2">
      <c r="A83" s="88">
        <v>33</v>
      </c>
      <c r="B83" s="89" t="s">
        <v>457</v>
      </c>
      <c r="C83" s="89" t="s">
        <v>458</v>
      </c>
      <c r="D83" s="88" t="s">
        <v>459</v>
      </c>
      <c r="E83" s="90" t="s">
        <v>460</v>
      </c>
      <c r="F83" s="90" t="s">
        <v>438</v>
      </c>
      <c r="G83" s="90">
        <v>484.56</v>
      </c>
      <c r="H83" s="91" t="s">
        <v>439</v>
      </c>
      <c r="I83" s="92">
        <v>376</v>
      </c>
      <c r="J83" s="90">
        <v>330</v>
      </c>
      <c r="K83" s="90">
        <v>7</v>
      </c>
      <c r="L83" s="90" t="str">
        <f>IF(0.05*484.56=0," ",TEXT(,ROUND((0.05*484.56*1.6),2)))</f>
        <v>38,76</v>
      </c>
      <c r="M83" s="90" t="s">
        <v>461</v>
      </c>
      <c r="N83" s="90">
        <v>2.2000000000000002</v>
      </c>
    </row>
    <row r="84" spans="1:14" x14ac:dyDescent="0.2">
      <c r="A84" s="93"/>
      <c r="B84" s="94"/>
      <c r="C84" s="94" t="s">
        <v>327</v>
      </c>
      <c r="D84" s="93"/>
      <c r="E84" s="95"/>
      <c r="F84" s="95"/>
      <c r="G84" s="95"/>
      <c r="H84" s="96"/>
      <c r="I84" s="97"/>
      <c r="J84" s="95"/>
      <c r="K84" s="95"/>
      <c r="L84" s="95"/>
      <c r="M84" s="95"/>
      <c r="N84" s="95"/>
    </row>
    <row r="85" spans="1:14" x14ac:dyDescent="0.2">
      <c r="A85" s="93"/>
      <c r="B85" s="94"/>
      <c r="C85" s="94" t="s">
        <v>328</v>
      </c>
      <c r="D85" s="93"/>
      <c r="E85" s="95"/>
      <c r="F85" s="95"/>
      <c r="G85" s="95"/>
      <c r="H85" s="96"/>
      <c r="I85" s="97"/>
      <c r="J85" s="95"/>
      <c r="K85" s="95"/>
      <c r="L85" s="95"/>
      <c r="M85" s="95"/>
      <c r="N85" s="95"/>
    </row>
    <row r="86" spans="1:14" x14ac:dyDescent="0.2">
      <c r="A86" s="88">
        <v>34</v>
      </c>
      <c r="B86" s="89"/>
      <c r="C86" s="89"/>
      <c r="D86" s="88"/>
      <c r="E86" s="90"/>
      <c r="F86" s="90"/>
      <c r="G86" s="90"/>
      <c r="H86" s="91"/>
      <c r="I86" s="92"/>
      <c r="J86" s="90"/>
      <c r="K86" s="90"/>
      <c r="L86" s="90"/>
      <c r="M86" s="90"/>
      <c r="N86" s="90"/>
    </row>
    <row r="87" spans="1:14" ht="45" x14ac:dyDescent="0.2">
      <c r="A87" s="88"/>
      <c r="B87" s="89" t="s">
        <v>462</v>
      </c>
      <c r="C87" s="89" t="s">
        <v>463</v>
      </c>
      <c r="D87" s="88">
        <v>5</v>
      </c>
      <c r="E87" s="90">
        <v>12.8</v>
      </c>
      <c r="F87" s="90"/>
      <c r="G87" s="90">
        <v>12.8</v>
      </c>
      <c r="H87" s="91" t="s">
        <v>464</v>
      </c>
      <c r="I87" s="92">
        <v>115</v>
      </c>
      <c r="J87" s="90"/>
      <c r="K87" s="90"/>
      <c r="L87" s="90" t="str">
        <f>IF(5*12.8=0," ",TEXT(,ROUND((5*12.8*1.789),2)))</f>
        <v>114,5</v>
      </c>
      <c r="M87" s="90"/>
      <c r="N87" s="90"/>
    </row>
    <row r="88" spans="1:14" ht="67.5" x14ac:dyDescent="0.2">
      <c r="A88" s="88">
        <v>35</v>
      </c>
      <c r="B88" s="89" t="s">
        <v>465</v>
      </c>
      <c r="C88" s="89" t="s">
        <v>466</v>
      </c>
      <c r="D88" s="88" t="s">
        <v>459</v>
      </c>
      <c r="E88" s="90" t="s">
        <v>467</v>
      </c>
      <c r="F88" s="90" t="s">
        <v>468</v>
      </c>
      <c r="G88" s="90">
        <v>4474.3599999999997</v>
      </c>
      <c r="H88" s="91" t="s">
        <v>469</v>
      </c>
      <c r="I88" s="92">
        <v>2555</v>
      </c>
      <c r="J88" s="90">
        <v>1330</v>
      </c>
      <c r="K88" s="90" t="s">
        <v>470</v>
      </c>
      <c r="L88" s="90" t="str">
        <f>IF(0.05*4474.36=0," ",TEXT(,ROUND((0.05*4474.36*2.02),2)))</f>
        <v>451,91</v>
      </c>
      <c r="M88" s="90" t="s">
        <v>471</v>
      </c>
      <c r="N88" s="90" t="s">
        <v>472</v>
      </c>
    </row>
    <row r="89" spans="1:14" x14ac:dyDescent="0.2">
      <c r="A89" s="93"/>
      <c r="B89" s="94"/>
      <c r="C89" s="94" t="s">
        <v>327</v>
      </c>
      <c r="D89" s="93"/>
      <c r="E89" s="95"/>
      <c r="F89" s="95"/>
      <c r="G89" s="95"/>
      <c r="H89" s="96"/>
      <c r="I89" s="97"/>
      <c r="J89" s="95"/>
      <c r="K89" s="95"/>
      <c r="L89" s="95"/>
      <c r="M89" s="95"/>
      <c r="N89" s="95"/>
    </row>
    <row r="90" spans="1:14" x14ac:dyDescent="0.2">
      <c r="A90" s="93"/>
      <c r="B90" s="94"/>
      <c r="C90" s="94" t="s">
        <v>328</v>
      </c>
      <c r="D90" s="93"/>
      <c r="E90" s="95"/>
      <c r="F90" s="95"/>
      <c r="G90" s="95"/>
      <c r="H90" s="96"/>
      <c r="I90" s="97"/>
      <c r="J90" s="95"/>
      <c r="K90" s="95"/>
      <c r="L90" s="95"/>
      <c r="M90" s="95"/>
      <c r="N90" s="95"/>
    </row>
    <row r="91" spans="1:14" x14ac:dyDescent="0.2">
      <c r="A91" s="88">
        <v>37</v>
      </c>
      <c r="B91" s="89"/>
      <c r="C91" s="89"/>
      <c r="D91" s="88"/>
      <c r="E91" s="90"/>
      <c r="F91" s="90"/>
      <c r="G91" s="90"/>
      <c r="H91" s="91"/>
      <c r="I91" s="92"/>
      <c r="J91" s="90"/>
      <c r="K91" s="90"/>
      <c r="L91" s="90"/>
      <c r="M91" s="90"/>
      <c r="N91" s="90"/>
    </row>
    <row r="92" spans="1:14" ht="56.25" x14ac:dyDescent="0.2">
      <c r="A92" s="88"/>
      <c r="B92" s="89" t="s">
        <v>473</v>
      </c>
      <c r="C92" s="89" t="s">
        <v>474</v>
      </c>
      <c r="D92" s="88" t="s">
        <v>475</v>
      </c>
      <c r="E92" s="90" t="s">
        <v>476</v>
      </c>
      <c r="F92" s="90" t="s">
        <v>477</v>
      </c>
      <c r="G92" s="90">
        <v>1550.18</v>
      </c>
      <c r="H92" s="91" t="s">
        <v>478</v>
      </c>
      <c r="I92" s="92">
        <v>17379</v>
      </c>
      <c r="J92" s="90">
        <v>8462</v>
      </c>
      <c r="K92" s="90" t="s">
        <v>479</v>
      </c>
      <c r="L92" s="90" t="str">
        <f>IF(0.64*1550.18=0," ",TEXT(,ROUND((0.64*1550.18*2.37),2)))</f>
        <v>2351,31</v>
      </c>
      <c r="M92" s="90" t="s">
        <v>480</v>
      </c>
      <c r="N92" s="90" t="s">
        <v>481</v>
      </c>
    </row>
    <row r="93" spans="1:14" x14ac:dyDescent="0.2">
      <c r="A93" s="93"/>
      <c r="B93" s="94"/>
      <c r="C93" s="94" t="s">
        <v>327</v>
      </c>
      <c r="D93" s="93"/>
      <c r="E93" s="95"/>
      <c r="F93" s="95"/>
      <c r="G93" s="95"/>
      <c r="H93" s="96"/>
      <c r="I93" s="97"/>
      <c r="J93" s="95"/>
      <c r="K93" s="95"/>
      <c r="L93" s="95"/>
      <c r="M93" s="95"/>
      <c r="N93" s="95"/>
    </row>
    <row r="94" spans="1:14" x14ac:dyDescent="0.2">
      <c r="A94" s="93"/>
      <c r="B94" s="94"/>
      <c r="C94" s="94" t="s">
        <v>328</v>
      </c>
      <c r="D94" s="93"/>
      <c r="E94" s="95"/>
      <c r="F94" s="95"/>
      <c r="G94" s="95"/>
      <c r="H94" s="96"/>
      <c r="I94" s="97"/>
      <c r="J94" s="95"/>
      <c r="K94" s="95"/>
      <c r="L94" s="95"/>
      <c r="M94" s="95"/>
      <c r="N94" s="95"/>
    </row>
    <row r="95" spans="1:14" x14ac:dyDescent="0.2">
      <c r="A95" s="88">
        <v>38</v>
      </c>
      <c r="B95" s="89"/>
      <c r="C95" s="89"/>
      <c r="D95" s="88"/>
      <c r="E95" s="90"/>
      <c r="F95" s="90"/>
      <c r="G95" s="90"/>
      <c r="H95" s="91"/>
      <c r="I95" s="92"/>
      <c r="J95" s="90"/>
      <c r="K95" s="90"/>
      <c r="L95" s="90"/>
      <c r="M95" s="90"/>
      <c r="N95" s="90"/>
    </row>
    <row r="96" spans="1:14" ht="204" x14ac:dyDescent="0.2">
      <c r="A96" s="88"/>
      <c r="B96" s="89" t="s">
        <v>482</v>
      </c>
      <c r="C96" s="89" t="s">
        <v>483</v>
      </c>
      <c r="D96" s="88" t="s">
        <v>484</v>
      </c>
      <c r="E96" s="90">
        <v>263.24</v>
      </c>
      <c r="F96" s="90"/>
      <c r="G96" s="90">
        <v>263.24</v>
      </c>
      <c r="H96" s="91" t="s">
        <v>485</v>
      </c>
      <c r="I96" s="92">
        <v>31205</v>
      </c>
      <c r="J96" s="90"/>
      <c r="K96" s="90"/>
      <c r="L96" s="90" t="str">
        <f>IF(69*263.24=0," ",TEXT(,ROUND((69*263.24*1.718),2)))</f>
        <v>31205</v>
      </c>
      <c r="M96" s="90"/>
      <c r="N96" s="90"/>
    </row>
    <row r="97" spans="1:14" ht="192" x14ac:dyDescent="0.2">
      <c r="A97" s="88">
        <v>39</v>
      </c>
      <c r="B97" s="89" t="s">
        <v>482</v>
      </c>
      <c r="C97" s="89" t="s">
        <v>486</v>
      </c>
      <c r="D97" s="88">
        <v>69</v>
      </c>
      <c r="E97" s="90">
        <v>7.55</v>
      </c>
      <c r="F97" s="90"/>
      <c r="G97" s="90">
        <v>7.55</v>
      </c>
      <c r="H97" s="91" t="s">
        <v>487</v>
      </c>
      <c r="I97" s="92">
        <v>2265</v>
      </c>
      <c r="J97" s="90"/>
      <c r="K97" s="90"/>
      <c r="L97" s="90" t="str">
        <f>IF(69*7.55=0," ",TEXT(,ROUND((69*7.55*4.35),2)))</f>
        <v>2266,13</v>
      </c>
      <c r="M97" s="90"/>
      <c r="N97" s="90"/>
    </row>
    <row r="98" spans="1:14" ht="192" x14ac:dyDescent="0.2">
      <c r="A98" s="88">
        <v>40</v>
      </c>
      <c r="B98" s="89" t="s">
        <v>482</v>
      </c>
      <c r="C98" s="89" t="s">
        <v>488</v>
      </c>
      <c r="D98" s="88">
        <v>28</v>
      </c>
      <c r="E98" s="90">
        <v>4.66</v>
      </c>
      <c r="F98" s="90"/>
      <c r="G98" s="90">
        <v>4.66</v>
      </c>
      <c r="H98" s="91" t="s">
        <v>487</v>
      </c>
      <c r="I98" s="92">
        <v>568</v>
      </c>
      <c r="J98" s="90"/>
      <c r="K98" s="90"/>
      <c r="L98" s="90" t="str">
        <f>IF(28*4.66=0," ",TEXT(,ROUND((28*4.66*4.35),2)))</f>
        <v>567,59</v>
      </c>
      <c r="M98" s="90"/>
      <c r="N98" s="90"/>
    </row>
    <row r="99" spans="1:14" ht="78.75" x14ac:dyDescent="0.2">
      <c r="A99" s="88">
        <v>41</v>
      </c>
      <c r="B99" s="89" t="s">
        <v>489</v>
      </c>
      <c r="C99" s="89" t="s">
        <v>490</v>
      </c>
      <c r="D99" s="88" t="s">
        <v>491</v>
      </c>
      <c r="E99" s="90" t="s">
        <v>492</v>
      </c>
      <c r="F99" s="90" t="s">
        <v>493</v>
      </c>
      <c r="G99" s="90">
        <v>111.3</v>
      </c>
      <c r="H99" s="91" t="s">
        <v>494</v>
      </c>
      <c r="I99" s="92">
        <v>2850</v>
      </c>
      <c r="J99" s="90">
        <v>1725</v>
      </c>
      <c r="K99" s="90" t="s">
        <v>495</v>
      </c>
      <c r="L99" s="90" t="str">
        <f>IF(0.07*111.3=0," ",TEXT(,ROUND((0.07*111.3*3.96),2)))</f>
        <v>30,85</v>
      </c>
      <c r="M99" s="90" t="s">
        <v>496</v>
      </c>
      <c r="N99" s="90" t="s">
        <v>497</v>
      </c>
    </row>
    <row r="100" spans="1:14" x14ac:dyDescent="0.2">
      <c r="A100" s="93"/>
      <c r="B100" s="94"/>
      <c r="C100" s="94" t="s">
        <v>327</v>
      </c>
      <c r="D100" s="93"/>
      <c r="E100" s="95"/>
      <c r="F100" s="95"/>
      <c r="G100" s="95"/>
      <c r="H100" s="96"/>
      <c r="I100" s="97"/>
      <c r="J100" s="95"/>
      <c r="K100" s="95"/>
      <c r="L100" s="95"/>
      <c r="M100" s="95"/>
      <c r="N100" s="95"/>
    </row>
    <row r="101" spans="1:14" x14ac:dyDescent="0.2">
      <c r="A101" s="93"/>
      <c r="B101" s="94"/>
      <c r="C101" s="94" t="s">
        <v>328</v>
      </c>
      <c r="D101" s="93"/>
      <c r="E101" s="95"/>
      <c r="F101" s="95"/>
      <c r="G101" s="95"/>
      <c r="H101" s="96"/>
      <c r="I101" s="97"/>
      <c r="J101" s="95"/>
      <c r="K101" s="95"/>
      <c r="L101" s="95"/>
      <c r="M101" s="95"/>
      <c r="N101" s="95"/>
    </row>
    <row r="102" spans="1:14" x14ac:dyDescent="0.2">
      <c r="A102" s="88">
        <v>42</v>
      </c>
      <c r="B102" s="89"/>
      <c r="C102" s="89"/>
      <c r="D102" s="88"/>
      <c r="E102" s="90"/>
      <c r="F102" s="90"/>
      <c r="G102" s="90"/>
      <c r="H102" s="91"/>
      <c r="I102" s="92"/>
      <c r="J102" s="90"/>
      <c r="K102" s="90"/>
      <c r="L102" s="90"/>
      <c r="M102" s="90"/>
      <c r="N102" s="90"/>
    </row>
    <row r="103" spans="1:14" ht="45" x14ac:dyDescent="0.2">
      <c r="A103" s="88"/>
      <c r="B103" s="89" t="s">
        <v>498</v>
      </c>
      <c r="C103" s="89" t="s">
        <v>499</v>
      </c>
      <c r="D103" s="88">
        <v>7</v>
      </c>
      <c r="E103" s="90">
        <v>384.7</v>
      </c>
      <c r="F103" s="90"/>
      <c r="G103" s="90">
        <v>384.7</v>
      </c>
      <c r="H103" s="91" t="s">
        <v>500</v>
      </c>
      <c r="I103" s="92">
        <v>6837</v>
      </c>
      <c r="J103" s="90"/>
      <c r="K103" s="90"/>
      <c r="L103" s="90" t="str">
        <f>IF(7*384.7=0," ",TEXT(,ROUND((7*384.7*2.539),2)))</f>
        <v>6837,27</v>
      </c>
      <c r="M103" s="90"/>
      <c r="N103" s="90"/>
    </row>
    <row r="104" spans="1:14" ht="33.75" x14ac:dyDescent="0.2">
      <c r="A104" s="88">
        <v>43</v>
      </c>
      <c r="B104" s="89" t="s">
        <v>501</v>
      </c>
      <c r="C104" s="89" t="s">
        <v>502</v>
      </c>
      <c r="D104" s="88" t="s">
        <v>503</v>
      </c>
      <c r="E104" s="90">
        <v>21.4</v>
      </c>
      <c r="F104" s="90"/>
      <c r="G104" s="90">
        <v>21.4</v>
      </c>
      <c r="H104" s="91" t="s">
        <v>504</v>
      </c>
      <c r="I104" s="92">
        <v>81</v>
      </c>
      <c r="J104" s="90"/>
      <c r="K104" s="90"/>
      <c r="L104" s="90" t="str">
        <f>IF(2.8*21.4=0," ",TEXT(,ROUND((2.8*21.4*1.35),2)))</f>
        <v>80,89</v>
      </c>
      <c r="M104" s="90"/>
      <c r="N104" s="90"/>
    </row>
    <row r="105" spans="1:14" ht="60" x14ac:dyDescent="0.2">
      <c r="A105" s="88">
        <v>44</v>
      </c>
      <c r="B105" s="89" t="s">
        <v>505</v>
      </c>
      <c r="C105" s="89" t="s">
        <v>506</v>
      </c>
      <c r="D105" s="88" t="s">
        <v>507</v>
      </c>
      <c r="E105" s="90" t="s">
        <v>508</v>
      </c>
      <c r="F105" s="90" t="s">
        <v>509</v>
      </c>
      <c r="G105" s="90">
        <v>2248.73</v>
      </c>
      <c r="H105" s="91" t="s">
        <v>510</v>
      </c>
      <c r="I105" s="92">
        <v>7702</v>
      </c>
      <c r="J105" s="90">
        <v>3582</v>
      </c>
      <c r="K105" s="90" t="s">
        <v>511</v>
      </c>
      <c r="L105" s="90" t="str">
        <f>IF(0.27*2248.73=0," ",TEXT(,ROUND((0.27*2248.73*1.32),2)))</f>
        <v>801,45</v>
      </c>
      <c r="M105" s="90" t="s">
        <v>512</v>
      </c>
      <c r="N105" s="90" t="s">
        <v>513</v>
      </c>
    </row>
    <row r="106" spans="1:14" x14ac:dyDescent="0.2">
      <c r="A106" s="93"/>
      <c r="B106" s="94"/>
      <c r="C106" s="94" t="s">
        <v>327</v>
      </c>
      <c r="D106" s="93"/>
      <c r="E106" s="95"/>
      <c r="F106" s="95"/>
      <c r="G106" s="95"/>
      <c r="H106" s="96"/>
      <c r="I106" s="97"/>
      <c r="J106" s="95"/>
      <c r="K106" s="95"/>
      <c r="L106" s="95"/>
      <c r="M106" s="95"/>
      <c r="N106" s="95"/>
    </row>
    <row r="107" spans="1:14" x14ac:dyDescent="0.2">
      <c r="A107" s="93"/>
      <c r="B107" s="94"/>
      <c r="C107" s="94" t="s">
        <v>328</v>
      </c>
      <c r="D107" s="93"/>
      <c r="E107" s="95"/>
      <c r="F107" s="95"/>
      <c r="G107" s="95"/>
      <c r="H107" s="96"/>
      <c r="I107" s="97"/>
      <c r="J107" s="95"/>
      <c r="K107" s="95"/>
      <c r="L107" s="95"/>
      <c r="M107" s="95"/>
      <c r="N107" s="95"/>
    </row>
    <row r="108" spans="1:14" x14ac:dyDescent="0.2">
      <c r="A108" s="88">
        <v>45</v>
      </c>
      <c r="B108" s="89"/>
      <c r="C108" s="89"/>
      <c r="D108" s="88"/>
      <c r="E108" s="90"/>
      <c r="F108" s="90"/>
      <c r="G108" s="90"/>
      <c r="H108" s="91"/>
      <c r="I108" s="92"/>
      <c r="J108" s="90"/>
      <c r="K108" s="90"/>
      <c r="L108" s="90"/>
      <c r="M108" s="90"/>
      <c r="N108" s="90"/>
    </row>
    <row r="109" spans="1:14" ht="204" x14ac:dyDescent="0.2">
      <c r="A109" s="88"/>
      <c r="B109" s="89" t="s">
        <v>482</v>
      </c>
      <c r="C109" s="89" t="s">
        <v>514</v>
      </c>
      <c r="D109" s="88">
        <v>27</v>
      </c>
      <c r="E109" s="90">
        <v>17.04</v>
      </c>
      <c r="F109" s="90"/>
      <c r="G109" s="90">
        <v>17.04</v>
      </c>
      <c r="H109" s="91" t="s">
        <v>487</v>
      </c>
      <c r="I109" s="92">
        <v>2002</v>
      </c>
      <c r="J109" s="90"/>
      <c r="K109" s="90"/>
      <c r="L109" s="90" t="str">
        <f>IF(27*17.04=0," ",TEXT(,ROUND((27*17.04*4.35),2)))</f>
        <v>2001,35</v>
      </c>
      <c r="M109" s="90"/>
      <c r="N109" s="90"/>
    </row>
    <row r="110" spans="1:14" ht="204" x14ac:dyDescent="0.2">
      <c r="A110" s="98">
        <v>46</v>
      </c>
      <c r="B110" s="99" t="s">
        <v>482</v>
      </c>
      <c r="C110" s="99" t="s">
        <v>515</v>
      </c>
      <c r="D110" s="98">
        <v>27</v>
      </c>
      <c r="E110" s="100">
        <v>17.04</v>
      </c>
      <c r="F110" s="100"/>
      <c r="G110" s="100">
        <v>17.04</v>
      </c>
      <c r="H110" s="101" t="s">
        <v>487</v>
      </c>
      <c r="I110" s="102">
        <v>2002</v>
      </c>
      <c r="J110" s="100"/>
      <c r="K110" s="100"/>
      <c r="L110" s="100" t="str">
        <f>IF(27*17.04=0," ",TEXT(,ROUND((27*17.04*4.35),2)))</f>
        <v>2001,35</v>
      </c>
      <c r="M110" s="100"/>
      <c r="N110" s="100"/>
    </row>
    <row r="111" spans="1:14" ht="24" x14ac:dyDescent="0.2">
      <c r="A111" s="115" t="s">
        <v>516</v>
      </c>
      <c r="B111" s="106"/>
      <c r="C111" s="106"/>
      <c r="D111" s="106"/>
      <c r="E111" s="106"/>
      <c r="F111" s="106"/>
      <c r="G111" s="106"/>
      <c r="H111" s="106"/>
      <c r="I111" s="92">
        <v>420930</v>
      </c>
      <c r="J111" s="90">
        <v>127148</v>
      </c>
      <c r="K111" s="90" t="s">
        <v>517</v>
      </c>
      <c r="L111" s="90">
        <v>253152</v>
      </c>
      <c r="M111" s="90"/>
      <c r="N111" s="90" t="s">
        <v>518</v>
      </c>
    </row>
    <row r="112" spans="1:14" x14ac:dyDescent="0.2">
      <c r="A112" s="115" t="s">
        <v>519</v>
      </c>
      <c r="B112" s="106"/>
      <c r="C112" s="106"/>
      <c r="D112" s="106"/>
      <c r="E112" s="106"/>
      <c r="F112" s="106"/>
      <c r="G112" s="106"/>
      <c r="H112" s="106"/>
      <c r="I112" s="92">
        <v>109728</v>
      </c>
      <c r="J112" s="90"/>
      <c r="K112" s="90"/>
      <c r="L112" s="90"/>
      <c r="M112" s="90"/>
      <c r="N112" s="90"/>
    </row>
    <row r="113" spans="1:14" x14ac:dyDescent="0.2">
      <c r="A113" s="115" t="s">
        <v>520</v>
      </c>
      <c r="B113" s="106"/>
      <c r="C113" s="106"/>
      <c r="D113" s="106"/>
      <c r="E113" s="106"/>
      <c r="F113" s="106"/>
      <c r="G113" s="106"/>
      <c r="H113" s="106"/>
      <c r="I113" s="92">
        <v>70443</v>
      </c>
      <c r="J113" s="90"/>
      <c r="K113" s="90"/>
      <c r="L113" s="90"/>
      <c r="M113" s="90"/>
      <c r="N113" s="90"/>
    </row>
    <row r="114" spans="1:14" x14ac:dyDescent="0.2">
      <c r="A114" s="119" t="s">
        <v>521</v>
      </c>
      <c r="B114" s="108"/>
      <c r="C114" s="108"/>
      <c r="D114" s="108"/>
      <c r="E114" s="108"/>
      <c r="F114" s="108"/>
      <c r="G114" s="108"/>
      <c r="H114" s="108"/>
      <c r="I114" s="92"/>
      <c r="J114" s="90"/>
      <c r="K114" s="90"/>
      <c r="L114" s="90"/>
      <c r="M114" s="90"/>
      <c r="N114" s="90"/>
    </row>
    <row r="115" spans="1:14" x14ac:dyDescent="0.2">
      <c r="A115" s="115" t="s">
        <v>522</v>
      </c>
      <c r="B115" s="106"/>
      <c r="C115" s="106"/>
      <c r="D115" s="106"/>
      <c r="E115" s="106"/>
      <c r="F115" s="106"/>
      <c r="G115" s="106"/>
      <c r="H115" s="106"/>
      <c r="I115" s="92">
        <v>175745</v>
      </c>
      <c r="J115" s="90"/>
      <c r="K115" s="90"/>
      <c r="L115" s="90"/>
      <c r="M115" s="90"/>
      <c r="N115" s="90"/>
    </row>
    <row r="116" spans="1:14" ht="24" x14ac:dyDescent="0.2">
      <c r="A116" s="115" t="s">
        <v>523</v>
      </c>
      <c r="B116" s="106"/>
      <c r="C116" s="106"/>
      <c r="D116" s="106"/>
      <c r="E116" s="106"/>
      <c r="F116" s="106"/>
      <c r="G116" s="106"/>
      <c r="H116" s="106"/>
      <c r="I116" s="92">
        <v>413641</v>
      </c>
      <c r="J116" s="90"/>
      <c r="K116" s="90"/>
      <c r="L116" s="90"/>
      <c r="M116" s="90"/>
      <c r="N116" s="90" t="s">
        <v>518</v>
      </c>
    </row>
    <row r="117" spans="1:14" x14ac:dyDescent="0.2">
      <c r="A117" s="115" t="s">
        <v>524</v>
      </c>
      <c r="B117" s="106"/>
      <c r="C117" s="106"/>
      <c r="D117" s="106"/>
      <c r="E117" s="106"/>
      <c r="F117" s="106"/>
      <c r="G117" s="106"/>
      <c r="H117" s="106"/>
      <c r="I117" s="92">
        <v>11715</v>
      </c>
      <c r="J117" s="90"/>
      <c r="K117" s="90"/>
      <c r="L117" s="90"/>
      <c r="M117" s="90"/>
      <c r="N117" s="90"/>
    </row>
    <row r="118" spans="1:14" ht="24" x14ac:dyDescent="0.2">
      <c r="A118" s="115" t="s">
        <v>525</v>
      </c>
      <c r="B118" s="106"/>
      <c r="C118" s="106"/>
      <c r="D118" s="106"/>
      <c r="E118" s="106"/>
      <c r="F118" s="106"/>
      <c r="G118" s="106"/>
      <c r="H118" s="106"/>
      <c r="I118" s="92">
        <v>601101</v>
      </c>
      <c r="J118" s="90"/>
      <c r="K118" s="90"/>
      <c r="L118" s="90"/>
      <c r="M118" s="90"/>
      <c r="N118" s="90" t="s">
        <v>518</v>
      </c>
    </row>
    <row r="119" spans="1:14" x14ac:dyDescent="0.2">
      <c r="A119" s="115" t="s">
        <v>526</v>
      </c>
      <c r="B119" s="106"/>
      <c r="C119" s="106"/>
      <c r="D119" s="106"/>
      <c r="E119" s="106"/>
      <c r="F119" s="106"/>
      <c r="G119" s="106"/>
      <c r="H119" s="106"/>
      <c r="I119" s="92"/>
      <c r="J119" s="90"/>
      <c r="K119" s="90"/>
      <c r="L119" s="90"/>
      <c r="M119" s="90"/>
      <c r="N119" s="90"/>
    </row>
    <row r="120" spans="1:14" x14ac:dyDescent="0.2">
      <c r="A120" s="115" t="s">
        <v>527</v>
      </c>
      <c r="B120" s="106"/>
      <c r="C120" s="106"/>
      <c r="D120" s="106"/>
      <c r="E120" s="106"/>
      <c r="F120" s="106"/>
      <c r="G120" s="106"/>
      <c r="H120" s="106"/>
      <c r="I120" s="92">
        <v>253152</v>
      </c>
      <c r="J120" s="90"/>
      <c r="K120" s="90"/>
      <c r="L120" s="90"/>
      <c r="M120" s="90"/>
      <c r="N120" s="90"/>
    </row>
    <row r="121" spans="1:14" x14ac:dyDescent="0.2">
      <c r="A121" s="115" t="s">
        <v>528</v>
      </c>
      <c r="B121" s="106"/>
      <c r="C121" s="106"/>
      <c r="D121" s="106"/>
      <c r="E121" s="106"/>
      <c r="F121" s="106"/>
      <c r="G121" s="106"/>
      <c r="H121" s="106"/>
      <c r="I121" s="92">
        <v>28915</v>
      </c>
      <c r="J121" s="90"/>
      <c r="K121" s="90"/>
      <c r="L121" s="90"/>
      <c r="M121" s="90"/>
      <c r="N121" s="90"/>
    </row>
    <row r="122" spans="1:14" x14ac:dyDescent="0.2">
      <c r="A122" s="115" t="s">
        <v>529</v>
      </c>
      <c r="B122" s="106"/>
      <c r="C122" s="106"/>
      <c r="D122" s="106"/>
      <c r="E122" s="106"/>
      <c r="F122" s="106"/>
      <c r="G122" s="106"/>
      <c r="H122" s="106"/>
      <c r="I122" s="92">
        <v>135467</v>
      </c>
      <c r="J122" s="90"/>
      <c r="K122" s="90"/>
      <c r="L122" s="90"/>
      <c r="M122" s="90"/>
      <c r="N122" s="90"/>
    </row>
    <row r="123" spans="1:14" x14ac:dyDescent="0.2">
      <c r="A123" s="115" t="s">
        <v>530</v>
      </c>
      <c r="B123" s="106"/>
      <c r="C123" s="106"/>
      <c r="D123" s="106"/>
      <c r="E123" s="106"/>
      <c r="F123" s="106"/>
      <c r="G123" s="106"/>
      <c r="H123" s="106"/>
      <c r="I123" s="92">
        <v>11715</v>
      </c>
      <c r="J123" s="90"/>
      <c r="K123" s="90"/>
      <c r="L123" s="90"/>
      <c r="M123" s="90"/>
      <c r="N123" s="90"/>
    </row>
    <row r="124" spans="1:14" x14ac:dyDescent="0.2">
      <c r="A124" s="115" t="s">
        <v>531</v>
      </c>
      <c r="B124" s="106"/>
      <c r="C124" s="106"/>
      <c r="D124" s="106"/>
      <c r="E124" s="106"/>
      <c r="F124" s="106"/>
      <c r="G124" s="106"/>
      <c r="H124" s="106"/>
      <c r="I124" s="92">
        <v>109728</v>
      </c>
      <c r="J124" s="90"/>
      <c r="K124" s="90"/>
      <c r="L124" s="90"/>
      <c r="M124" s="90"/>
      <c r="N124" s="90"/>
    </row>
    <row r="125" spans="1:14" x14ac:dyDescent="0.2">
      <c r="A125" s="115" t="s">
        <v>532</v>
      </c>
      <c r="B125" s="106"/>
      <c r="C125" s="106"/>
      <c r="D125" s="106"/>
      <c r="E125" s="106"/>
      <c r="F125" s="106"/>
      <c r="G125" s="106"/>
      <c r="H125" s="106"/>
      <c r="I125" s="92">
        <v>70443</v>
      </c>
      <c r="J125" s="90"/>
      <c r="K125" s="90"/>
      <c r="L125" s="90"/>
      <c r="M125" s="90"/>
      <c r="N125" s="90"/>
    </row>
    <row r="126" spans="1:14" ht="24" x14ac:dyDescent="0.2">
      <c r="A126" s="116" t="s">
        <v>533</v>
      </c>
      <c r="B126" s="117"/>
      <c r="C126" s="117"/>
      <c r="D126" s="117"/>
      <c r="E126" s="117"/>
      <c r="F126" s="117"/>
      <c r="G126" s="117"/>
      <c r="H126" s="117"/>
      <c r="I126" s="102">
        <v>601101</v>
      </c>
      <c r="J126" s="100"/>
      <c r="K126" s="100"/>
      <c r="L126" s="100"/>
      <c r="M126" s="100"/>
      <c r="N126" s="100" t="s">
        <v>518</v>
      </c>
    </row>
    <row r="127" spans="1:14" ht="24" x14ac:dyDescent="0.2">
      <c r="A127" s="105" t="s">
        <v>534</v>
      </c>
      <c r="B127" s="106"/>
      <c r="C127" s="106"/>
      <c r="D127" s="106"/>
      <c r="E127" s="106"/>
      <c r="F127" s="106"/>
      <c r="G127" s="106"/>
      <c r="H127" s="106"/>
      <c r="I127" s="103">
        <v>420930</v>
      </c>
      <c r="J127" s="103">
        <v>127148</v>
      </c>
      <c r="K127" s="103" t="s">
        <v>517</v>
      </c>
      <c r="L127" s="103">
        <v>253152</v>
      </c>
      <c r="M127" s="103"/>
      <c r="N127" s="103" t="s">
        <v>518</v>
      </c>
    </row>
    <row r="128" spans="1:14" x14ac:dyDescent="0.2">
      <c r="A128" s="105" t="s">
        <v>519</v>
      </c>
      <c r="B128" s="106"/>
      <c r="C128" s="106"/>
      <c r="D128" s="106"/>
      <c r="E128" s="106"/>
      <c r="F128" s="106"/>
      <c r="G128" s="106"/>
      <c r="H128" s="106"/>
      <c r="I128" s="103">
        <v>109728</v>
      </c>
      <c r="J128" s="103"/>
      <c r="K128" s="103"/>
      <c r="L128" s="103"/>
      <c r="M128" s="103"/>
      <c r="N128" s="103"/>
    </row>
    <row r="129" spans="1:14" x14ac:dyDescent="0.2">
      <c r="A129" s="105" t="s">
        <v>535</v>
      </c>
      <c r="B129" s="106"/>
      <c r="C129" s="106"/>
      <c r="D129" s="106"/>
      <c r="E129" s="106"/>
      <c r="F129" s="106"/>
      <c r="G129" s="106"/>
      <c r="H129" s="106"/>
      <c r="I129" s="103"/>
      <c r="J129" s="103"/>
      <c r="K129" s="103"/>
      <c r="L129" s="103"/>
      <c r="M129" s="103"/>
      <c r="N129" s="103"/>
    </row>
    <row r="130" spans="1:14" x14ac:dyDescent="0.2">
      <c r="A130" s="105" t="s">
        <v>536</v>
      </c>
      <c r="B130" s="106"/>
      <c r="C130" s="106"/>
      <c r="D130" s="106"/>
      <c r="E130" s="106"/>
      <c r="F130" s="106"/>
      <c r="G130" s="106"/>
      <c r="H130" s="106"/>
      <c r="I130" s="103">
        <v>109728</v>
      </c>
      <c r="J130" s="103"/>
      <c r="K130" s="103"/>
      <c r="L130" s="103"/>
      <c r="M130" s="103"/>
      <c r="N130" s="103"/>
    </row>
    <row r="131" spans="1:14" x14ac:dyDescent="0.2">
      <c r="A131" s="105" t="s">
        <v>520</v>
      </c>
      <c r="B131" s="106"/>
      <c r="C131" s="106"/>
      <c r="D131" s="106"/>
      <c r="E131" s="106"/>
      <c r="F131" s="106"/>
      <c r="G131" s="106"/>
      <c r="H131" s="106"/>
      <c r="I131" s="103">
        <v>70443</v>
      </c>
      <c r="J131" s="103"/>
      <c r="K131" s="103"/>
      <c r="L131" s="103"/>
      <c r="M131" s="103"/>
      <c r="N131" s="103"/>
    </row>
    <row r="132" spans="1:14" x14ac:dyDescent="0.2">
      <c r="A132" s="105" t="s">
        <v>535</v>
      </c>
      <c r="B132" s="106"/>
      <c r="C132" s="106"/>
      <c r="D132" s="106"/>
      <c r="E132" s="106"/>
      <c r="F132" s="106"/>
      <c r="G132" s="106"/>
      <c r="H132" s="106"/>
      <c r="I132" s="103"/>
      <c r="J132" s="103"/>
      <c r="K132" s="103"/>
      <c r="L132" s="103"/>
      <c r="M132" s="103"/>
      <c r="N132" s="103"/>
    </row>
    <row r="133" spans="1:14" x14ac:dyDescent="0.2">
      <c r="A133" s="105" t="s">
        <v>537</v>
      </c>
      <c r="B133" s="106"/>
      <c r="C133" s="106"/>
      <c r="D133" s="106"/>
      <c r="E133" s="106"/>
      <c r="F133" s="106"/>
      <c r="G133" s="106"/>
      <c r="H133" s="106"/>
      <c r="I133" s="103">
        <v>70443</v>
      </c>
      <c r="J133" s="103"/>
      <c r="K133" s="103"/>
      <c r="L133" s="103"/>
      <c r="M133" s="103"/>
      <c r="N133" s="103"/>
    </row>
    <row r="134" spans="1:14" x14ac:dyDescent="0.2">
      <c r="A134" s="107" t="s">
        <v>538</v>
      </c>
      <c r="B134" s="108"/>
      <c r="C134" s="108"/>
      <c r="D134" s="108"/>
      <c r="E134" s="108"/>
      <c r="F134" s="108"/>
      <c r="G134" s="108"/>
      <c r="H134" s="108"/>
      <c r="I134" s="103"/>
      <c r="J134" s="103"/>
      <c r="K134" s="103"/>
      <c r="L134" s="103"/>
      <c r="M134" s="103"/>
      <c r="N134" s="103"/>
    </row>
    <row r="135" spans="1:14" x14ac:dyDescent="0.2">
      <c r="A135" s="105" t="s">
        <v>522</v>
      </c>
      <c r="B135" s="106"/>
      <c r="C135" s="106"/>
      <c r="D135" s="106"/>
      <c r="E135" s="106"/>
      <c r="F135" s="106"/>
      <c r="G135" s="106"/>
      <c r="H135" s="106"/>
      <c r="I135" s="103">
        <v>175745</v>
      </c>
      <c r="J135" s="103"/>
      <c r="K135" s="103"/>
      <c r="L135" s="103"/>
      <c r="M135" s="103"/>
      <c r="N135" s="103"/>
    </row>
    <row r="136" spans="1:14" ht="24" x14ac:dyDescent="0.2">
      <c r="A136" s="105" t="s">
        <v>523</v>
      </c>
      <c r="B136" s="106"/>
      <c r="C136" s="106"/>
      <c r="D136" s="106"/>
      <c r="E136" s="106"/>
      <c r="F136" s="106"/>
      <c r="G136" s="106"/>
      <c r="H136" s="106"/>
      <c r="I136" s="103">
        <v>413641</v>
      </c>
      <c r="J136" s="103"/>
      <c r="K136" s="103"/>
      <c r="L136" s="103"/>
      <c r="M136" s="103"/>
      <c r="N136" s="103" t="s">
        <v>518</v>
      </c>
    </row>
    <row r="137" spans="1:14" x14ac:dyDescent="0.2">
      <c r="A137" s="105" t="s">
        <v>524</v>
      </c>
      <c r="B137" s="106"/>
      <c r="C137" s="106"/>
      <c r="D137" s="106"/>
      <c r="E137" s="106"/>
      <c r="F137" s="106"/>
      <c r="G137" s="106"/>
      <c r="H137" s="106"/>
      <c r="I137" s="103">
        <v>11715</v>
      </c>
      <c r="J137" s="103"/>
      <c r="K137" s="103"/>
      <c r="L137" s="103"/>
      <c r="M137" s="103"/>
      <c r="N137" s="103"/>
    </row>
    <row r="138" spans="1:14" ht="24" x14ac:dyDescent="0.2">
      <c r="A138" s="105" t="s">
        <v>525</v>
      </c>
      <c r="B138" s="106"/>
      <c r="C138" s="106"/>
      <c r="D138" s="106"/>
      <c r="E138" s="106"/>
      <c r="F138" s="106"/>
      <c r="G138" s="106"/>
      <c r="H138" s="106"/>
      <c r="I138" s="103">
        <v>601101</v>
      </c>
      <c r="J138" s="103"/>
      <c r="K138" s="103"/>
      <c r="L138" s="103"/>
      <c r="M138" s="103"/>
      <c r="N138" s="103" t="s">
        <v>518</v>
      </c>
    </row>
    <row r="139" spans="1:14" x14ac:dyDescent="0.2">
      <c r="A139" s="105" t="s">
        <v>526</v>
      </c>
      <c r="B139" s="106"/>
      <c r="C139" s="106"/>
      <c r="D139" s="106"/>
      <c r="E139" s="106"/>
      <c r="F139" s="106"/>
      <c r="G139" s="106"/>
      <c r="H139" s="106"/>
      <c r="I139" s="103"/>
      <c r="J139" s="103"/>
      <c r="K139" s="103"/>
      <c r="L139" s="103"/>
      <c r="M139" s="103"/>
      <c r="N139" s="103"/>
    </row>
    <row r="140" spans="1:14" x14ac:dyDescent="0.2">
      <c r="A140" s="105" t="s">
        <v>527</v>
      </c>
      <c r="B140" s="106"/>
      <c r="C140" s="106"/>
      <c r="D140" s="106"/>
      <c r="E140" s="106"/>
      <c r="F140" s="106"/>
      <c r="G140" s="106"/>
      <c r="H140" s="106"/>
      <c r="I140" s="103">
        <v>253152</v>
      </c>
      <c r="J140" s="103"/>
      <c r="K140" s="103"/>
      <c r="L140" s="103"/>
      <c r="M140" s="103"/>
      <c r="N140" s="103"/>
    </row>
    <row r="141" spans="1:14" x14ac:dyDescent="0.2">
      <c r="A141" s="105" t="s">
        <v>528</v>
      </c>
      <c r="B141" s="106"/>
      <c r="C141" s="106"/>
      <c r="D141" s="106"/>
      <c r="E141" s="106"/>
      <c r="F141" s="106"/>
      <c r="G141" s="106"/>
      <c r="H141" s="106"/>
      <c r="I141" s="103">
        <v>28915</v>
      </c>
      <c r="J141" s="103"/>
      <c r="K141" s="103"/>
      <c r="L141" s="103"/>
      <c r="M141" s="103"/>
      <c r="N141" s="103"/>
    </row>
    <row r="142" spans="1:14" x14ac:dyDescent="0.2">
      <c r="A142" s="105" t="s">
        <v>529</v>
      </c>
      <c r="B142" s="106"/>
      <c r="C142" s="106"/>
      <c r="D142" s="106"/>
      <c r="E142" s="106"/>
      <c r="F142" s="106"/>
      <c r="G142" s="106"/>
      <c r="H142" s="106"/>
      <c r="I142" s="103">
        <v>135467</v>
      </c>
      <c r="J142" s="103"/>
      <c r="K142" s="103"/>
      <c r="L142" s="103"/>
      <c r="M142" s="103"/>
      <c r="N142" s="103"/>
    </row>
    <row r="143" spans="1:14" x14ac:dyDescent="0.2">
      <c r="A143" s="105" t="s">
        <v>530</v>
      </c>
      <c r="B143" s="106"/>
      <c r="C143" s="106"/>
      <c r="D143" s="106"/>
      <c r="E143" s="106"/>
      <c r="F143" s="106"/>
      <c r="G143" s="106"/>
      <c r="H143" s="106"/>
      <c r="I143" s="103">
        <v>11715</v>
      </c>
      <c r="J143" s="103"/>
      <c r="K143" s="103"/>
      <c r="L143" s="103"/>
      <c r="M143" s="103"/>
      <c r="N143" s="103"/>
    </row>
    <row r="144" spans="1:14" x14ac:dyDescent="0.2">
      <c r="A144" s="105" t="s">
        <v>531</v>
      </c>
      <c r="B144" s="106"/>
      <c r="C144" s="106"/>
      <c r="D144" s="106"/>
      <c r="E144" s="106"/>
      <c r="F144" s="106"/>
      <c r="G144" s="106"/>
      <c r="H144" s="106"/>
      <c r="I144" s="103">
        <v>109728</v>
      </c>
      <c r="J144" s="103"/>
      <c r="K144" s="103"/>
      <c r="L144" s="103"/>
      <c r="M144" s="103"/>
      <c r="N144" s="103"/>
    </row>
    <row r="145" spans="1:14" x14ac:dyDescent="0.2">
      <c r="A145" s="105" t="s">
        <v>532</v>
      </c>
      <c r="B145" s="106"/>
      <c r="C145" s="106"/>
      <c r="D145" s="106"/>
      <c r="E145" s="106"/>
      <c r="F145" s="106"/>
      <c r="G145" s="106"/>
      <c r="H145" s="106"/>
      <c r="I145" s="103">
        <v>70443</v>
      </c>
      <c r="J145" s="103"/>
      <c r="K145" s="103"/>
      <c r="L145" s="103"/>
      <c r="M145" s="103"/>
      <c r="N145" s="103"/>
    </row>
    <row r="146" spans="1:14" x14ac:dyDescent="0.2">
      <c r="A146" s="105" t="s">
        <v>539</v>
      </c>
      <c r="B146" s="106"/>
      <c r="C146" s="106"/>
      <c r="D146" s="106"/>
      <c r="E146" s="106"/>
      <c r="F146" s="106"/>
      <c r="G146" s="106"/>
      <c r="H146" s="106"/>
      <c r="I146" s="103">
        <v>108198.18</v>
      </c>
      <c r="J146" s="103"/>
      <c r="K146" s="103"/>
      <c r="L146" s="103"/>
      <c r="M146" s="103"/>
      <c r="N146" s="103"/>
    </row>
    <row r="147" spans="1:14" ht="24" x14ac:dyDescent="0.2">
      <c r="A147" s="107" t="s">
        <v>540</v>
      </c>
      <c r="B147" s="108"/>
      <c r="C147" s="108"/>
      <c r="D147" s="108"/>
      <c r="E147" s="108"/>
      <c r="F147" s="108"/>
      <c r="G147" s="108"/>
      <c r="H147" s="108"/>
      <c r="I147" s="103">
        <v>709299.18</v>
      </c>
      <c r="J147" s="103"/>
      <c r="K147" s="103"/>
      <c r="L147" s="103"/>
      <c r="M147" s="103"/>
      <c r="N147" s="103" t="s">
        <v>518</v>
      </c>
    </row>
    <row r="148" spans="1:14" x14ac:dyDescent="0.2">
      <c r="A148" s="65"/>
      <c r="B148" s="68"/>
      <c r="C148" s="68"/>
      <c r="D148" s="65"/>
      <c r="E148" s="66"/>
      <c r="F148" s="66"/>
      <c r="G148" s="66"/>
      <c r="H148" s="66"/>
      <c r="I148" s="67"/>
      <c r="J148" s="66"/>
      <c r="K148" s="66"/>
      <c r="L148" s="66"/>
      <c r="M148" s="66"/>
      <c r="N148" s="64"/>
    </row>
    <row r="149" spans="1:14" x14ac:dyDescent="0.2">
      <c r="A149" s="65"/>
      <c r="B149" s="68"/>
      <c r="C149" s="68"/>
      <c r="D149" s="65"/>
      <c r="E149" s="66"/>
      <c r="F149" s="66"/>
      <c r="G149" s="66"/>
      <c r="H149" s="66"/>
      <c r="I149" s="67"/>
      <c r="J149" s="66"/>
      <c r="K149" s="66"/>
      <c r="L149" s="66"/>
      <c r="M149" s="66"/>
      <c r="N149" s="64"/>
    </row>
    <row r="150" spans="1:14" x14ac:dyDescent="0.2">
      <c r="A150" s="65"/>
      <c r="B150" s="68"/>
      <c r="C150" s="69" t="s">
        <v>552</v>
      </c>
      <c r="D150" s="65"/>
      <c r="E150" s="66"/>
      <c r="F150" s="69" t="s">
        <v>316</v>
      </c>
      <c r="G150" s="69"/>
      <c r="H150" s="69"/>
      <c r="I150" s="66"/>
      <c r="J150" s="66"/>
      <c r="K150" s="66"/>
      <c r="L150" s="66"/>
      <c r="M150" s="66"/>
      <c r="N150" s="64"/>
    </row>
    <row r="151" spans="1:14" x14ac:dyDescent="0.2">
      <c r="A151" s="70"/>
      <c r="B151" s="70"/>
      <c r="C151" s="70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64"/>
    </row>
    <row r="152" spans="1:14" x14ac:dyDescent="0.2">
      <c r="A152" s="70"/>
      <c r="B152" s="70"/>
      <c r="C152" s="70"/>
      <c r="D152" s="70"/>
      <c r="E152" s="71"/>
      <c r="F152" s="71"/>
      <c r="G152" s="71"/>
      <c r="H152" s="71"/>
      <c r="I152" s="71"/>
      <c r="J152" s="71"/>
      <c r="K152" s="71"/>
      <c r="L152" s="71"/>
      <c r="M152" s="71"/>
      <c r="N152" s="64"/>
    </row>
    <row r="154" spans="1:14" x14ac:dyDescent="0.2">
      <c r="B154" s="70"/>
    </row>
  </sheetData>
  <mergeCells count="60"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  <mergeCell ref="A115:H115"/>
    <mergeCell ref="J17:J18"/>
    <mergeCell ref="L17:L18"/>
    <mergeCell ref="N17:N18"/>
    <mergeCell ref="A15:A18"/>
    <mergeCell ref="D15:D18"/>
    <mergeCell ref="C15:C18"/>
    <mergeCell ref="B15:B18"/>
    <mergeCell ref="A20:N20"/>
    <mergeCell ref="A111:H111"/>
    <mergeCell ref="A112:H112"/>
    <mergeCell ref="A113:H113"/>
    <mergeCell ref="A114:H114"/>
    <mergeCell ref="A127:H127"/>
    <mergeCell ref="A116:H116"/>
    <mergeCell ref="A117:H117"/>
    <mergeCell ref="A118:H118"/>
    <mergeCell ref="A119:H119"/>
    <mergeCell ref="A120:H120"/>
    <mergeCell ref="A121:H121"/>
    <mergeCell ref="A122:H122"/>
    <mergeCell ref="A123:H123"/>
    <mergeCell ref="A124:H124"/>
    <mergeCell ref="A125:H125"/>
    <mergeCell ref="A126:H126"/>
    <mergeCell ref="A137:H137"/>
    <mergeCell ref="A138:H138"/>
    <mergeCell ref="A139:H139"/>
    <mergeCell ref="A128:H128"/>
    <mergeCell ref="A129:H129"/>
    <mergeCell ref="A130:H130"/>
    <mergeCell ref="A131:H131"/>
    <mergeCell ref="A132:H132"/>
    <mergeCell ref="A133:H133"/>
    <mergeCell ref="A146:H146"/>
    <mergeCell ref="A147:H147"/>
    <mergeCell ref="D7:H7"/>
    <mergeCell ref="J3:L3"/>
    <mergeCell ref="I4:L4"/>
    <mergeCell ref="I5:L5"/>
    <mergeCell ref="I6:L6"/>
    <mergeCell ref="A140:H140"/>
    <mergeCell ref="A141:H141"/>
    <mergeCell ref="A142:H142"/>
    <mergeCell ref="A143:H143"/>
    <mergeCell ref="A144:H144"/>
    <mergeCell ref="A145:H145"/>
    <mergeCell ref="A134:H134"/>
    <mergeCell ref="A135:H135"/>
    <mergeCell ref="A136:H136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42" t="s">
        <v>232</v>
      </c>
      <c r="B1" s="143"/>
      <c r="C1" s="143"/>
      <c r="D1" s="143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2012-09-14T05:07:55Z</cp:lastPrinted>
  <dcterms:created xsi:type="dcterms:W3CDTF">2003-01-28T12:33:10Z</dcterms:created>
  <dcterms:modified xsi:type="dcterms:W3CDTF">2012-09-14T05:09:24Z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