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 fullCalcOnLoad="1"/>
</workbook>
</file>

<file path=xl/calcChain.xml><?xml version="1.0" encoding="utf-8"?>
<calcChain xmlns="http://schemas.openxmlformats.org/spreadsheetml/2006/main">
  <c r="L22" i="5" l="1"/>
  <c r="L23" i="5"/>
  <c r="L24" i="5"/>
  <c r="L25" i="5"/>
  <c r="L26" i="5"/>
  <c r="L27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5" i="5"/>
  <c r="L46" i="5"/>
  <c r="L47" i="5"/>
  <c r="L48" i="5"/>
  <c r="L49" i="5"/>
  <c r="L50" i="5"/>
  <c r="L51" i="5"/>
  <c r="L52" i="5"/>
  <c r="L53" i="5"/>
  <c r="L54" i="5"/>
  <c r="L55" i="5"/>
  <c r="L56" i="5"/>
  <c r="L58" i="5"/>
  <c r="L59" i="5"/>
  <c r="L60" i="5"/>
  <c r="L61" i="5"/>
  <c r="L62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12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<sst xmlns="http://schemas.openxmlformats.org/spreadsheetml/2006/main" count="761" uniqueCount="699">
  <si>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</si>
  <si>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</si>
  <si>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</si>
  <si>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</si>
  <si>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</si>
  <si>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</si>
  <si>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</si>
  <si>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</si>
  <si>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</si>
  <si>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</si>
  <si>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</si>
  <si>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</si>
  <si>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</si>
  <si>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</si>
  <si>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</si>
  <si>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</si>
  <si>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</si>
  <si>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</si>
  <si>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</si>
  <si>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</si>
  <si>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</si>
  <si>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</si>
  <si>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</si>
  <si>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</si>
  <si>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</si>
  <si>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</si>
  <si>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</si>
  <si>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</si>
  <si>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</si>
  <si>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</si>
  <si>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</si>
  <si>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</si>
  <si>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</si>
  <si>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</si>
  <si>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</si>
  <si>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</si>
  <si>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</si>
  <si>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</si>
  <si>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</si>
  <si>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</si>
  <si>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</si>
  <si>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</si>
  <si>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</si>
  <si>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</si>
  <si>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</si>
  <si>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</si>
  <si>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</si>
  <si>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</si>
  <si>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</si>
  <si>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</si>
  <si>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</si>
  <si>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</si>
  <si>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</si>
  <si>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</si>
  <si>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</si>
  <si>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</si>
  <si>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</si>
  <si>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</si>
  <si>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</si>
  <si>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</si>
  <si>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</si>
  <si>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</si>
  <si>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</si>
  <si>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</si>
  <si>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</si>
  <si>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</si>
  <si>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</si>
  <si>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</si>
  <si>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</si>
  <si>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</si>
  <si>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</si>
  <si>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</si>
  <si>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</si>
  <si>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</si>
  <si>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</si>
  <si>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</si>
  <si>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</si>
  <si>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</si>
  <si>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</si>
  <si>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</si>
  <si>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</si>
  <si>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</si>
  <si>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</si>
  <si>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</si>
  <si>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</si>
  <si>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</si>
  <si>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</si>
  <si>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</si>
  <si>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</si>
  <si>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</si>
  <si>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</si>
  <si>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</si>
  <si>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</si>
  <si>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</si>
  <si>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</si>
  <si>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</si>
  <si>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</si>
  <si>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</si>
  <si>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</si>
  <si>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</si>
  <si>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</si>
  <si>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</si>
  <si>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</si>
  <si>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</si>
  <si>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</si>
  <si>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</si>
  <si>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</si>
  <si>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</si>
  <si>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</si>
  <si>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</si>
  <si>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</si>
  <si>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</si>
  <si>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</si>
  <si>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</si>
  <si>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</si>
  <si>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</si>
  <si>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</si>
  <si>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</si>
  <si>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</si>
  <si>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</si>
  <si>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</si>
  <si>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</si>
  <si>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</si>
  <si>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</si>
  <si>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</si>
  <si>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</si>
  <si>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</si>
  <si>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</si>
  <si>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</si>
  <si>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</si>
  <si>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</si>
  <si>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</si>
  <si>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</si>
  <si>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</si>
  <si>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</si>
  <si>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</si>
  <si>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</si>
  <si>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</si>
  <si>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</si>
  <si>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</si>
  <si>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</si>
  <si>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</si>
  <si>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</si>
  <si>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</si>
  <si>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</si>
  <si>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</si>
  <si>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</si>
  <si>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</si>
  <si>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</si>
  <si>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</si>
  <si>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</si>
  <si>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</si>
  <si>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</si>
  <si>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</si>
  <si>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</si>
  <si>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</si>
  <si>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</si>
  <si>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</si>
  <si>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</si>
  <si>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</si>
  <si>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</si>
  <si>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</si>
  <si>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</si>
  <si>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</si>
  <si>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</si>
  <si>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</si>
  <si>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</si>
  <si>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</si>
  <si>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</si>
  <si>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</si>
  <si>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</si>
  <si>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</si>
  <si>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</si>
  <si>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</si>
  <si>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</si>
  <si>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</si>
  <si>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</si>
  <si>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</si>
  <si>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</si>
  <si>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</si>
  <si>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</si>
  <si>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</si>
  <si>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</si>
  <si>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</si>
  <si>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</si>
  <si>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</si>
  <si>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</si>
  <si>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</si>
  <si>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</si>
  <si>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</si>
  <si>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</si>
  <si>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</si>
  <si>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</si>
  <si>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</si>
  <si>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</si>
  <si>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</si>
  <si>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</si>
  <si>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</si>
  <si>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</si>
  <si>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</si>
  <si>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</si>
  <si>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</si>
  <si>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</si>
  <si>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</si>
  <si>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</si>
  <si>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</si>
  <si>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</si>
  <si>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</si>
  <si>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</si>
  <si>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</si>
  <si>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</si>
  <si>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</si>
  <si>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</si>
  <si>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</si>
  <si>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</si>
  <si>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</si>
  <si>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</si>
  <si>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</si>
  <si>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</si>
  <si>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</si>
  <si>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</si>
  <si>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</si>
  <si>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</si>
  <si>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</si>
  <si>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</si>
  <si>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</si>
  <si>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</si>
  <si>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</si>
  <si>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</si>
  <si>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</si>
  <si>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</si>
  <si>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</si>
  <si>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</si>
  <si>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</si>
  <si>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</si>
  <si>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</si>
  <si>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</si>
  <si>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</si>
  <si>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</si>
  <si>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</si>
  <si>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</si>
  <si>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</si>
  <si>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</si>
  <si>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</si>
  <si>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</si>
  <si>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</si>
  <si>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</si>
  <si>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</si>
  <si>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</si>
  <si>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</si>
  <si>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</si>
  <si>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</si>
  <si>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</si>
  <si>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</si>
  <si>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</si>
  <si>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</si>
  <si>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</si>
  <si>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</si>
  <si>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</si>
  <si>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</si>
  <si>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</si>
  <si>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</si>
  <si>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</si>
  <si>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</si>
  <si>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</si>
  <si>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</si>
  <si>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</si>
  <si>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</si>
  <si>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</si>
  <si>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</si>
  <si>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</si>
  <si>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</si>
  <si>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</si>
  <si>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</si>
  <si>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</si>
  <si>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</si>
  <si>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</si>
  <si>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</si>
  <si>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</si>
  <si>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</si>
  <si>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</si>
  <si>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</si>
  <si>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</si>
  <si>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</si>
  <si>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</si>
  <si>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</si>
  <si>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</si>
  <si>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</si>
  <si>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</si>
  <si>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</si>
  <si>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</si>
  <si>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</si>
  <si>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</si>
  <si>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</si>
  <si>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</si>
  <si>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</si>
  <si>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</si>
  <si>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</si>
  <si>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Подрядчик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</si>
  <si>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</si>
  <si>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</si>
  <si>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</si>
  <si>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</si>
  <si>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</si>
  <si>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</si>
  <si>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</si>
  <si>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</si>
  <si>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</si>
  <si>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</si>
  <si>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</si>
  <si>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</si>
  <si>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</si>
  <si>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</si>
  <si>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</si>
  <si>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Основание:  </t>
  </si>
  <si>
    <t xml:space="preserve">на   </t>
  </si>
  <si>
    <t xml:space="preserve">       (наименование работ и затрат, наименование объекта)</t>
  </si>
  <si>
    <t>Составлен(а) в текущих ценах по состоянию на ____ кв. 200 __ года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</si>
  <si>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</si>
  <si>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</si>
  <si>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Составил:____________________________</t>
  </si>
  <si>
    <t>Проверил:____________________________</t>
  </si>
  <si>
    <t xml:space="preserve">                           Раздел 1. </t>
  </si>
  <si>
    <t xml:space="preserve">                                   Демонтажные работы</t>
  </si>
  <si>
    <t>ТЕРр63-7-5</t>
  </si>
  <si>
    <t>Разборка облицовки стен: из керамических глазурованных плиток, 100 м2 поверхности облицовки
Норматив НР % : 77%  *0.85
Норматив СП % : 50%  *0.8</t>
  </si>
  <si>
    <t>983,51
823,24</t>
  </si>
  <si>
    <t>160,27
28,31</t>
  </si>
  <si>
    <t>57.7 Разборка облицовки стен из плит естественного камня и из глазурованных плиток: ОЗП=10,77; ЭМ=6,47; ЗПМ=10,77</t>
  </si>
  <si>
    <t>1887
555</t>
  </si>
  <si>
    <t>74,3
1,99</t>
  </si>
  <si>
    <t>135,23
3,62</t>
  </si>
  <si>
    <t>ТЕРр57-2-3</t>
  </si>
  <si>
    <t>Разборка покрытий полов: из керамических плиток, 100 м2 покрытия
Норматив НР % : 80%  *0.85
Норматив СП % : 68%  *0.8</t>
  </si>
  <si>
    <t>896,25
840,54</t>
  </si>
  <si>
    <t>55,71
22,94</t>
  </si>
  <si>
    <t>51.2 Разборка покрытий полов: ОЗП=10,77; ЭМ=6,48; ЗПМ=10,77</t>
  </si>
  <si>
    <t>215
147</t>
  </si>
  <si>
    <t>69,87
1,44</t>
  </si>
  <si>
    <t>41,57
0,86</t>
  </si>
  <si>
    <t>ТЕР46-04-006-04</t>
  </si>
  <si>
    <t>Разборка деревянных перегородок из фанеры, 100 м2
Норматив НР % : 110%  *0.85
Норматив СП % : 70%  *(0.85*0.8)</t>
  </si>
  <si>
    <t>979,68
831,11</t>
  </si>
  <si>
    <t>148,57
61,17</t>
  </si>
  <si>
    <t>32.44 Разборка деревянных перегородок: ОЗП=10,77; ЭМ=5,55; ЗПМ=10,77</t>
  </si>
  <si>
    <t>370
296</t>
  </si>
  <si>
    <t>75,01
3,84</t>
  </si>
  <si>
    <t>33,68
1,72</t>
  </si>
  <si>
    <t>ТЕР11-01-011-01
ОЗП=0,8
ЭМ=0,8
ЗПМ=0,8
МАТ=0
ТЗ=0,8
ТЗМ=0,8</t>
  </si>
  <si>
    <t>Демонтаж  стяжек: цементных толщиной 20 мм, 100 м2 стяжки
КОЭФ. К ПОЗИЦИИ:
Демонтаж (разборка) сборных бетонных и железобетонных конструкций ОЗП=0,8; ЭМ=0,8 к расх.; ЗПМ=0,8; МАТ=0 к расх.; ТЗ=0,8; ТЗМ=0,8
Норматив НР % : 123%  *0.85
Норматив СП % : 75%  *(0.85*0.8)</t>
  </si>
  <si>
    <t>398,06
353,38</t>
  </si>
  <si>
    <t>44,68
16,18</t>
  </si>
  <si>
    <t>9.23. Устройство стяжек: цементных, бетонных, легкобетонных: ОЗП=10,77; ЭМ=5,67; ЗПМ=10,77; МАТ=5,65</t>
  </si>
  <si>
    <t>151
104</t>
  </si>
  <si>
    <t>31,61
1,02</t>
  </si>
  <si>
    <t>18,81
0,61</t>
  </si>
  <si>
    <t>ТЕР11-01-011-02
ПЗ=16
ОЗП=0,8*16
ЭМ=0,8*16
ЗПМ=0,8*16
МАТ=0*16
ТЗ=0,8*16
ТЗМ=0,8*16</t>
  </si>
  <si>
    <t>Демонтаж стяжек: на каждые 5 мм изменения толщины стяжки добавлять или исключать к расценке 11-01-011-01, 100 м2 стяжки
КОЭФ. К ПОЗИЦИИ:
Демонтаж (разборка) сборных бетонных и железобетонных конструкций ОЗП=0,8; ЭМ=0,8 к расх.; ЗПМ=0,8; МАТ=0 к расх.; ТЗ=0,8; ТЗМ=0,8;
толщина разбираемой стяжки 10 см ПЗ=16 (ОЗП=16; ЭМ=16 к расх.; ЗПМ=16; МАТ=16 к расх.; ТЗ=16; ТЗМ=16)
Норматив НР % : 123%  *0.85
Норматив СП % : 75%  *(0.85*0.8)</t>
  </si>
  <si>
    <t>197,5
71,55</t>
  </si>
  <si>
    <t>125,95
42,88</t>
  </si>
  <si>
    <t>424
275</t>
  </si>
  <si>
    <t>6,4
2,69</t>
  </si>
  <si>
    <t>3,81
1,6</t>
  </si>
  <si>
    <t>ТЕР13-06-003-01</t>
  </si>
  <si>
    <t>Очистка поверхности от набела, 1 м2 очищаемой поверхности
Норматив НР % : 90%  *0.85
Норматив СП % : 70%  *(0.85*0.8)</t>
  </si>
  <si>
    <t>10,83
10,83</t>
  </si>
  <si>
    <t>11.71. Очистка поверхности щетками: ОЗП=10,77</t>
  </si>
  <si>
    <t xml:space="preserve">                                   Строительные работы</t>
  </si>
  <si>
    <t>ТЕР11-01-011-01</t>
  </si>
  <si>
    <t>Устройство стяжек: цементных М100 толщиной 20 мм, 100 м2 стяжки
Норматив НР % : 123%  *0.85
Норматив СП % : 75%  *(0.85*0.8)</t>
  </si>
  <si>
    <t>1719,25
441,72</t>
  </si>
  <si>
    <t>55,85
20,23</t>
  </si>
  <si>
    <t>188
130</t>
  </si>
  <si>
    <t>39,51
1,27</t>
  </si>
  <si>
    <t>23,51
0,76</t>
  </si>
  <si>
    <t>ТЕР11-01-011-02
ПЗ=16
ОЗП=16
ЭМ=16
ЗПМ=16
МАТ=16
ТЗ=16
ТЗМ=16</t>
  </si>
  <si>
    <t>Устройство стяжек: на каждые 5 мм изменения толщины стяжки добавлять или исключать к расценке 11-01-011-01, 100 м2 стяжки
КОЭФ. К ПОЗИЦИИ:
общая толщина 10 см (добавить 8 см) ПЗ=16 (ОЗП=16; ЭМ=16 к расх.; ЗПМ=16; МАТ=16 к расх.; ТЗ=16; ТЗМ=16)
Норматив НР % : 123%  *0.85
Норматив СП % : 75%  *(0.85*0.8)</t>
  </si>
  <si>
    <t>4829,76
89,44</t>
  </si>
  <si>
    <t>157,44
53,6</t>
  </si>
  <si>
    <t>531
343</t>
  </si>
  <si>
    <t>8
3,36</t>
  </si>
  <si>
    <t>4,76
2</t>
  </si>
  <si>
    <t>ТЕР11-01-027-03</t>
  </si>
  <si>
    <t>Устройство покрытий на цементном растворе из плиток: керамических для полов одноцветных с красителем, 100 м2 покрытия
Норматив НР % : 123%  *0.85
Норматив СП % : 75%  *(0.85*0.8)</t>
  </si>
  <si>
    <t>2590,38
1476,89</t>
  </si>
  <si>
    <t>149,18
42,37</t>
  </si>
  <si>
    <t>9.45. Устройство покрытий на цементном растворе из плиток: керамических: ОЗП=10,77; ЭМ=6,23; ЗПМ=10,77; МАТ=5,43</t>
  </si>
  <si>
    <t>553
272</t>
  </si>
  <si>
    <t>119,78
2,66</t>
  </si>
  <si>
    <t>71,27
1,58</t>
  </si>
  <si>
    <t>ТСЦ-101-3445</t>
  </si>
  <si>
    <t>Керамический гранит, неполированный, квадратный, толщиной 8 мм, м2
Норматив НР % : 123%  *0.85
Норматив СП % : 75%  *(0.85*0.8)</t>
  </si>
  <si>
    <t>Керамический гранит, неполированный, квадратный; МАТ=1,763</t>
  </si>
  <si>
    <t>ТЕР11-01-039-04</t>
  </si>
  <si>
    <t>Устройство плинтусов: из плиток керамических, 100 м плинтуса
Норматив НР % : 123%  *0.85
Норматив СП % : 75%  *(0.85*0.8)</t>
  </si>
  <si>
    <t>2043,65
316,24</t>
  </si>
  <si>
    <t>9.65. Устройство плинтусов: из плиток керамических: ОЗП=10,77; ЭМ=7,59; ЗПМ=10,77; МАТ=3,45</t>
  </si>
  <si>
    <t>ТЕР15-02-016-01</t>
  </si>
  <si>
    <t>Штукатурка поверхностей внутри здания цементно-известковым или цементным раствором по камню и бетону: простая стен, 100 м2 оштукатуриваемой поверхности
Норматив НР % : 105%  *0.85
Норматив СП % : 55%  *(0.85*0.8)</t>
  </si>
  <si>
    <t>1957,19
964,37</t>
  </si>
  <si>
    <t>107,38
85,42</t>
  </si>
  <si>
    <t>13.67. Оштукатуривание поверхностей цементно-известковым или цементным раствором: ОЗП=10,77; ЭМ=10,13; ЗПМ=10,77; МАТ=4,47</t>
  </si>
  <si>
    <t>3269
2765</t>
  </si>
  <si>
    <t>75,4
6,07</t>
  </si>
  <si>
    <t>226,58
18,24</t>
  </si>
  <si>
    <t>ТЕР15-01-019-07</t>
  </si>
  <si>
    <t>Гладкая облицовка стен, столбов, пилястр и откосов (без карнизных, плинтусных и угловых плиток) с установкой плиток туалетного гарнитура на клее из сухих смесей: по кирпичу и бетону, 100 м2 поверхности облицовки
Норматив НР % : 105%  *0.85
Норматив СП % : 55%  *(0.85*0.8)</t>
  </si>
  <si>
    <t>6984,09
2149,46</t>
  </si>
  <si>
    <t>41,64
26,28</t>
  </si>
  <si>
    <t>13.18. Облицовка поверхностей на клее из сухих смесей по кирпичу и бетону: ОЗП=10,77; ЭМ=9,79; ЗПМ=10,77; МАТ=2,83</t>
  </si>
  <si>
    <t>1225
851</t>
  </si>
  <si>
    <t>166,11
1,65</t>
  </si>
  <si>
    <t>499,16
4,96</t>
  </si>
  <si>
    <t>ТСЦ-101-0256</t>
  </si>
  <si>
    <t>Плитки керамические глазурованные для внутренней облицовки стенгладкие без завала белые, м2
Норматив НР % : 105%  *0.85
Норматив СП % : 55%  *(0.85*0.8)</t>
  </si>
  <si>
    <t>Плитки керамические глазурованные для внутренней облицовки стен:гладкие без завала белые; МАТ=2,692</t>
  </si>
  <si>
    <t>ТЕР15-01-047-15</t>
  </si>
  <si>
    <t>Устройство: подвесных потолков типа &lt;Армстронг&gt; по каркасу из оцинкованного профиля, 100 м2 поверхности облицовки
Норматив НР % : 105%  *0.85
Норматив СП % : 55%  *(0.85*0.8)</t>
  </si>
  <si>
    <t>15353,84
1356,57</t>
  </si>
  <si>
    <t>521,78
12,11</t>
  </si>
  <si>
    <t>13.48. Устройство подвесных потолков типа 'Армстронг' по каркасу из оцинкованного профиля: ОЗП=10,77; ЭМ=7,47; ЗПМ=10,77; МАТ=1,81</t>
  </si>
  <si>
    <t>2319
78</t>
  </si>
  <si>
    <t>102,46
0,76</t>
  </si>
  <si>
    <t>60,96
0,45</t>
  </si>
  <si>
    <t>ТЕР09-06-001-03</t>
  </si>
  <si>
    <t>Монтаж м/к каркасов сантехнических кабинок, 1 т конструкций
Норматив НР % : 90%  *0.85
Норматив СП % : 85%  *(0.85*0.8)</t>
  </si>
  <si>
    <t>1407,52
1245,71</t>
  </si>
  <si>
    <t>92,69
2,55</t>
  </si>
  <si>
    <t>7.60. Монтаж дверей, люков, подвесных путей из полосовой стали и труб; лотков решеток, стеллажей из стали различного профиля: ОЗП=10,77; ЭМ=5,78; ЗПМ=10,77; МАТ=3,15</t>
  </si>
  <si>
    <t>321
16</t>
  </si>
  <si>
    <t>103,55
0,16</t>
  </si>
  <si>
    <t>62,13
0,1</t>
  </si>
  <si>
    <t>ТЕР10-02-031-01</t>
  </si>
  <si>
    <t>Сборка перегородок: из панелей площадью до 5 м2, 100 м2 панелей и перегородок (без вычета проемов)
Норматив НР % : 118%  *0.85
Норматив СП % : 63%  *(0.85*0.8)</t>
  </si>
  <si>
    <t>2359,42
799,87</t>
  </si>
  <si>
    <t>1442,77
158,5</t>
  </si>
  <si>
    <t>8.112. Сборка перегородок: ОЗП=10,77; ЭМ=6,68; ЗПМ=10,77; МАТ=3,92</t>
  </si>
  <si>
    <t>5686
1007</t>
  </si>
  <si>
    <t>66,49
9,95</t>
  </si>
  <si>
    <t>39,23
5,87</t>
  </si>
  <si>
    <t>ТЕР10-04-012-03</t>
  </si>
  <si>
    <t>Оформление (обделка) дверных проемов в перегородках с каркасом из стальных профилей ПС-3 и ПН-3: общественных зданий, 100 шт. проемов
Норматив НР % : 118%  *0.85
Норматив СП % : 63%  *(0.85*0.8)</t>
  </si>
  <si>
    <t>3636,16
996,97</t>
  </si>
  <si>
    <t>8.130. Оформление (обделка) дверных проемов в перегородках с каркасом из стальных профилей: ОЗП=10,77; ЭМ=7,26; ЗПМ=10,77; МАТ=3,02</t>
  </si>
  <si>
    <t>прайс-лист</t>
  </si>
  <si>
    <t>Кабинка в санузле П-образной формы, шт.
Норматив НР % : 118%  *0.85
Норматив СП % : 63%  *(0.85*0.8)</t>
  </si>
  <si>
    <t>Кабинка в санузле Г-образной формы, шт.
Норматив НР % : 118%  *0.85
Норматив СП % : 63%  *(0.85*0.8)</t>
  </si>
  <si>
    <t>ТЕР10-01-047-04</t>
  </si>
  <si>
    <t>Установка дверей в кабинки, 100 м2 проемов
Норматив НР % : 118%  *0.85
Норматив СП % : 63%  *(0.85*0.8)</t>
  </si>
  <si>
    <t>10245,13
1955,13</t>
  </si>
  <si>
    <t>554,2
16,73</t>
  </si>
  <si>
    <t>8.66. Установка блоков из ПВХ в наружных и внутренних дверных проемах: ОЗП=10,77; ЭМ=7,19; ЗПМ=10,77; МАТ=1,85</t>
  </si>
  <si>
    <t>703
32</t>
  </si>
  <si>
    <t>160,52
1,05</t>
  </si>
  <si>
    <t>28,32
0,19</t>
  </si>
  <si>
    <t xml:space="preserve">                                   Электрическая часть</t>
  </si>
  <si>
    <t>ТЕРр67-4-3</t>
  </si>
  <si>
    <t>Демонтаж: светильников с лампами накаливания, 100 шт.
Норматив НР % : 85%  *0.85
Норматив СП % : 65%  *0.8</t>
  </si>
  <si>
    <t>70,49
69,33</t>
  </si>
  <si>
    <t>1,16
0,48</t>
  </si>
  <si>
    <t>60.4 Демонтаж приборов: ОЗП=10,77; ЭМ=5,55; ЗПМ=10,77</t>
  </si>
  <si>
    <t>1
1</t>
  </si>
  <si>
    <t>6,32
0,03</t>
  </si>
  <si>
    <t>ТЕРр67-3-1</t>
  </si>
  <si>
    <t>Демонтаж кабеля, 100 м
Норматив НР % : 85%  *0.85
Норматив СП % : 65%  *0.8</t>
  </si>
  <si>
    <t>106,14
105,75</t>
  </si>
  <si>
    <t>0,39
0,16</t>
  </si>
  <si>
    <t>60.3 Демонтаж кабеля: ОЗП=10,77; ЭМ=5,51; ЗПМ=10,77</t>
  </si>
  <si>
    <t>2
1</t>
  </si>
  <si>
    <t>9,64
0,01</t>
  </si>
  <si>
    <t>8,1
0,01</t>
  </si>
  <si>
    <t>ТЕРр67-4-1</t>
  </si>
  <si>
    <t>Демонтаж: выключателей, розеток, 100 шт.
Норматив НР % : 85%  *0.85
Норматив СП % : 65%  *0.8</t>
  </si>
  <si>
    <t>64,06
64,06</t>
  </si>
  <si>
    <t>ТЕРм08-02-407-01</t>
  </si>
  <si>
    <t>Труба стальная по установленным конструкциям, по стенам с креплением скобами, диаметр: до 25 мм, 100 м
Норматив НР % : 95%  *0.85
Норматив СП % : 65%  *0.8</t>
  </si>
  <si>
    <t>2700,28
407,79</t>
  </si>
  <si>
    <t>987,09
326,09</t>
  </si>
  <si>
    <t>37.153 Трубы стальные по установленным конструкциям: ОЗП=10,77; ЭМ=5,99; ЗПМ=10,77; МАТ=2,01</t>
  </si>
  <si>
    <t>1596
948</t>
  </si>
  <si>
    <t>30,8
20,47</t>
  </si>
  <si>
    <t>8,32
5,53</t>
  </si>
  <si>
    <t>ТЕРм08-02-148-01</t>
  </si>
  <si>
    <t>Кабель до 35 кВ в проложенных трубах, блоках и коробах, масса 1 м кабеля: до 1 кг, 100 м кабеля
Норматив НР % : 95%  *0.85
Норматив СП % : 65%  *0.8</t>
  </si>
  <si>
    <t>793,09
168,02</t>
  </si>
  <si>
    <t>560,64
43,14</t>
  </si>
  <si>
    <t>37.71 Кабели до 35 кв в проложенных трубах, блоках и коробах: ОЗП=10,77; ЭМ=3,29; ЗПМ=10,77; МАТ=3,66</t>
  </si>
  <si>
    <t>498
125</t>
  </si>
  <si>
    <t>12,4
3,39</t>
  </si>
  <si>
    <t>3,35
0,92</t>
  </si>
  <si>
    <t>ТЕРм08-02-394-01</t>
  </si>
  <si>
    <t>Прокладка кабеля в штробе, 100 м линии
Норматив НР % : 95%  *0.85
Норматив СП % : 65%  *0.8</t>
  </si>
  <si>
    <t>3709,25
376,02</t>
  </si>
  <si>
    <t>747,33
259,02</t>
  </si>
  <si>
    <t>37.142 Проводки тросовые: ОЗП=10,77; ЭМ=5,78; ЗПМ=10,77; МАТ=2,56</t>
  </si>
  <si>
    <t>2462
1590</t>
  </si>
  <si>
    <t>28,4
16,26</t>
  </si>
  <si>
    <t>16,19
9,27</t>
  </si>
  <si>
    <t>ТСЦ-501-8190</t>
  </si>
  <si>
    <t>Кабель силовой с медными жилами с поливинилхлоридной изоляцией в поливинилхлоридной оболочке без защитного покрова ВВГ, напряжением 0,66 Кв, число жил - 3 и сечением 1,5 мм2, 1000 м
Норматив НР % : 95%  *0.85
Норматив СП % : 65%  *0.8</t>
  </si>
  <si>
    <t>Кабель силовой с медными жилами с поливинилхлоридной изоляцией в поливинилхлоридной оболочке без защитного покрова ВВГ, напряжением 0,66 Кв, число жил - 3 и сечением 1,5 мм2; МАТ=3,667</t>
  </si>
  <si>
    <t>ТЕРм08-03-594-14</t>
  </si>
  <si>
    <t>Светильник в подвесных потолках, устанавливаемый: на профиле, количество ламп в светильнике до 4, 100 шт.
Норматив НР % : 95%  *0.85
Норматив СП % : 65%  *0.8</t>
  </si>
  <si>
    <t>12933,05
3724,65</t>
  </si>
  <si>
    <t>3976,77
1450,43</t>
  </si>
  <si>
    <t>37.247 Светильники с люминисцентными лампами: в подвесных потолках на профиле: ОЗП=10,77; ЭМ=5,73; ЗПМ=10,77; МАТ=4,08</t>
  </si>
  <si>
    <t>2507
1718</t>
  </si>
  <si>
    <t>267
91,05</t>
  </si>
  <si>
    <t>29,37
10,02</t>
  </si>
  <si>
    <t>ТСЦ-509-0768</t>
  </si>
  <si>
    <t>Светильники с люминесцентными лампами для общественных помещений потолочный с рассеивателем цельным из оргстекла, со стартерными ПРА, тип ЛПО02-4х40/П-01 УХЛ4, шт.
Норматив НР % : 95%  *0.85
Норматив СП % : 65%  *0.8</t>
  </si>
  <si>
    <t>Светильники с люминесцентными лампами для общественных помещений потолочный с рассеивателем цельным из оргстекла, со стартерными ПРА, тип ЛПО02-4х40/П-01 УХЛ4; МАТ=2,192</t>
  </si>
  <si>
    <t>ТЕРм08-03-591-02</t>
  </si>
  <si>
    <t>Выключатель: одноклавишный утопленного типа при скрытой проводке, 100 шт.
Норматив НР % : 95%  *0.85
Норматив СП % : 65%  *0.8</t>
  </si>
  <si>
    <t>505,68
449,19</t>
  </si>
  <si>
    <t>11,43
0,64</t>
  </si>
  <si>
    <t>37.234 Выключатели при скрытой проводке: ОЗП=10,77; ЭМ=7,17; ЗПМ=10,77; МАТ=5,32</t>
  </si>
  <si>
    <t>9
1</t>
  </si>
  <si>
    <t>32,2
0,04</t>
  </si>
  <si>
    <t>ТССЦ-604-0001-00041</t>
  </si>
  <si>
    <t>Выключатель автоматический однополюсный ВА 47-29 1Р 16-40А, шт
Норматив НР % : 95%  *0.85
Норматив СП % : 65%  *0.8</t>
  </si>
  <si>
    <t>Выключатель автоматический однополюсный ВА 47-29 1Р 16-40А; МАТ=3,477</t>
  </si>
  <si>
    <t>ТЕР46-03-011-01</t>
  </si>
  <si>
    <t>Пробивка в кирпичных стенах борозд площадью сечения: до 20 см2, 100 м борозд
Норматив НР % : 110%  *0.85
Норматив СП % : 70%  *(0.85*0.8)</t>
  </si>
  <si>
    <t>588,64
202,38</t>
  </si>
  <si>
    <t>386,26
56,27</t>
  </si>
  <si>
    <t>32.36 Пробивка борозд в кирпичных стенах: ОЗП=10,77; ЭМ=6,55; ЗПМ=10,77</t>
  </si>
  <si>
    <t>759
182</t>
  </si>
  <si>
    <t>15,64
4,06</t>
  </si>
  <si>
    <t>4,69
1,22</t>
  </si>
  <si>
    <t xml:space="preserve">                                   Откосы</t>
  </si>
  <si>
    <t>ТЕР15-02-016-03</t>
  </si>
  <si>
    <t>Штукатурка поверхностей внутри здания цементно-известковым или цементным раствором по камню и бетону: улучшенная стен, 100 м2 оштукатуриваемой поверхности
Норматив НР % : 105%  *0.85
Норматив СП % : 55%  *(0.85*0.8)</t>
  </si>
  <si>
    <t>2434,43
1136,52</t>
  </si>
  <si>
    <t>115,89
88,92</t>
  </si>
  <si>
    <t>229
187</t>
  </si>
  <si>
    <t>85,84
6,29</t>
  </si>
  <si>
    <t>16,74
1,23</t>
  </si>
  <si>
    <t>118
97</t>
  </si>
  <si>
    <t>8,65
0,63</t>
  </si>
  <si>
    <t>ТЕРр61-1-9</t>
  </si>
  <si>
    <t>Шпатлёвка откосов, 100 м2 поверхности
Норматив НР % : 79%  *0.85
Норматив СП % : 50%  *0.8</t>
  </si>
  <si>
    <t>14334,76
1014,75</t>
  </si>
  <si>
    <t>44,83
30,27</t>
  </si>
  <si>
    <t>55.1 Сплошное выравнивание штукатурки внутри здания: ОЗП=10,77; ЭМ=9,38; ЗПМ=10,77; МАТ=1,51</t>
  </si>
  <si>
    <t>124
96</t>
  </si>
  <si>
    <t>73,8
1,9</t>
  </si>
  <si>
    <t>21,84
0,56</t>
  </si>
  <si>
    <t>ТЕР15-04-025-08</t>
  </si>
  <si>
    <t>Окраска окон и дверей, 100 м2 окрашиваемой поверхности
Норматив НР % : 105%  *0.85
Норматив СП % : 55%  *(0.85*0.8)</t>
  </si>
  <si>
    <t>2256,24
652,42</t>
  </si>
  <si>
    <t>12,03
0,16</t>
  </si>
  <si>
    <t>13.108. Окраска масляными составами по штукатурке: ОЗП=10,77; ЭМ=7,5; ЗПМ=10,77; МАТ=1,74</t>
  </si>
  <si>
    <t>27
1</t>
  </si>
  <si>
    <t>51,01
0,01</t>
  </si>
  <si>
    <t xml:space="preserve">                                   Сантехнические работы</t>
  </si>
  <si>
    <t>ТЕРр65-4-2</t>
  </si>
  <si>
    <t>Демонтаж: унитазов и писсуаров, 100 приборов
Норматив НР % : 74%  *0.85
Норматив СП % : 50%  *0.8</t>
  </si>
  <si>
    <t>779,22
768</t>
  </si>
  <si>
    <t>11,22
4,62</t>
  </si>
  <si>
    <t>58.4 Демонтаж санитарно-технических приборов: ОЗП=10,77; ЭМ=5,55; ЗПМ=10,77</t>
  </si>
  <si>
    <t>9
7</t>
  </si>
  <si>
    <t>63,84
0,29</t>
  </si>
  <si>
    <t>9,58
0,04</t>
  </si>
  <si>
    <t>ТЕРр65-4-10</t>
  </si>
  <si>
    <t>Демонтаж: смывных бачков фаянсовых на унитазе, 100 приборов
Норматив НР % : 74%  *0.85
Норматив СП % : 50%  *0.8</t>
  </si>
  <si>
    <t>458,54
448,48</t>
  </si>
  <si>
    <t>10,06
4,14</t>
  </si>
  <si>
    <t>8
7</t>
  </si>
  <si>
    <t>37,28
0,26</t>
  </si>
  <si>
    <t>5,59
0,04</t>
  </si>
  <si>
    <t>ТЕРр65-2-2</t>
  </si>
  <si>
    <t>Разборка трубопроводов из чугунных канализационных труб диаметром: 100 мм, 100 м трубопровода с фасонными частями
Норматив НР % : 74%  *0.85
Норматив СП % : 50%  *0.8</t>
  </si>
  <si>
    <t>1029,16
1016,78</t>
  </si>
  <si>
    <t>12,38
5,1</t>
  </si>
  <si>
    <t>58.2 Разборка трубопроводов из чугунных канализационных труб: ОЗП=10,77; ЭМ=5,55; ЗПМ=10,77</t>
  </si>
  <si>
    <t>43
35</t>
  </si>
  <si>
    <t>85,3
0,32</t>
  </si>
  <si>
    <t>53,74
0,2</t>
  </si>
  <si>
    <t>ТЕРр65-1-1</t>
  </si>
  <si>
    <t>Разборка трубопроводов из водогазопроводных труб диаметром: до 32 мм, 100 м трубопровода
Норматив НР % : 74%  *0.85
Норматив СП % : 50%  *0.8</t>
  </si>
  <si>
    <t>477,61
405,87</t>
  </si>
  <si>
    <t>9,88
1,59</t>
  </si>
  <si>
    <t>58.1 Разборка трубопроводов из водогазопроводных труб: ОЗП=10,77; ЭМ=6,13; ЗПМ=10,77; МАТ=2,27</t>
  </si>
  <si>
    <t>35
10</t>
  </si>
  <si>
    <t>34,66
0,1</t>
  </si>
  <si>
    <t>20,04
0,06</t>
  </si>
  <si>
    <t>ТЕРр65-4-1</t>
  </si>
  <si>
    <t>Демонтаж: умывальников и раковин, 100 приборов
Норматив НР % : 74%  *0.85
Норматив СП % : 50%  *0.8</t>
  </si>
  <si>
    <t>627,2
617,14</t>
  </si>
  <si>
    <t>6
5</t>
  </si>
  <si>
    <t>51,3
0,26</t>
  </si>
  <si>
    <t>5,64
0,03</t>
  </si>
  <si>
    <t>ТЕРр65-3-7</t>
  </si>
  <si>
    <t>Снятие смесителя: без душевой сетки, 100 шт. арматуры
Норматив НР % : 74%  *0.85
Норматив СП % : 50%  *0.8</t>
  </si>
  <si>
    <t>444,33
441,62</t>
  </si>
  <si>
    <t>2,71
1,12</t>
  </si>
  <si>
    <t>58.3 Снятие арматуры: ОЗП=10,77; ЭМ=5,55; ЗПМ=10,77</t>
  </si>
  <si>
    <t>36,71
0,07</t>
  </si>
  <si>
    <t>4,04
0,01</t>
  </si>
  <si>
    <t>ТЕРр65-2-1</t>
  </si>
  <si>
    <t>Разборка трубопроводов из чугунных канализационных труб диаметром: 50 мм, 100 м трубопровода с фасонными частями
Норматив НР % : 74%  *0.85
Норматив СП % : 50%  *0.8</t>
  </si>
  <si>
    <t>826,29
820,1</t>
  </si>
  <si>
    <t>6,19
2,55</t>
  </si>
  <si>
    <t>3
2</t>
  </si>
  <si>
    <t>68,8
0,16</t>
  </si>
  <si>
    <t>6,19
0,01</t>
  </si>
  <si>
    <t>ТЕР46-03-017-01</t>
  </si>
  <si>
    <t>Заделка штробы, 1 м3 заделки
Норматив НР % : 110%  *0.85
Норматив СП % : 70%  *(0.85*0.8)</t>
  </si>
  <si>
    <t>1932,83
628,27</t>
  </si>
  <si>
    <t>32.38 Заделка отверстий, гнезд и борозд: ОЗП=10,77; ЭМ=7,46; ЗПМ=10,77; МАТ=4,48</t>
  </si>
  <si>
    <t>ТЕР16-04-002-09</t>
  </si>
  <si>
    <t>Прокладка трубопроводов водоснабжения из напорных полиэтиленовых труб низкого давления среднего типа наружным диаметром: 110 мм, 100 м трубопровода
Норматив НР % : 128%  *0.85
Норматив СП % : 83%  *(0.85*0.8)</t>
  </si>
  <si>
    <t>13529,64
1725,38</t>
  </si>
  <si>
    <t>2451,26
268,73</t>
  </si>
  <si>
    <t>14.16. Прокладка трубопроводов водоснабжения из напорных полиэтиленовых труб низкого давления среднего типа: ОЗП=10,77; ЭМ=6,7; ЗПМ=10,77; МАТ=2,28</t>
  </si>
  <si>
    <t>10347
1823</t>
  </si>
  <si>
    <t>128,76
14,46</t>
  </si>
  <si>
    <t>81,12
9,11</t>
  </si>
  <si>
    <t>ТЕР16-04-002-06</t>
  </si>
  <si>
    <t>Прокладка трубопроводов водоснабжения из напорных полиэтиленовых труб низкого давления среднего типа наружным диаметром: 63 мм, 100 м трубопровода
Норматив НР % : 128%  *0.85
Норматив СП % : 83%  *(0.85*0.8)</t>
  </si>
  <si>
    <t>7092,23
1896,37</t>
  </si>
  <si>
    <t>2268,33
250,31</t>
  </si>
  <si>
    <t>1368
243</t>
  </si>
  <si>
    <t>141,52
13,46</t>
  </si>
  <si>
    <t>12,74
1,21</t>
  </si>
  <si>
    <t>ТЕР17-01-003-02</t>
  </si>
  <si>
    <t>Установка унитазов: с бачком высокорасполагаемым, 10 компл.
Норматив НР % : 128%  *0.85
Норматив СП % : 83%  *(0.85*0.8)</t>
  </si>
  <si>
    <t>1365,31
415</t>
  </si>
  <si>
    <t>60,43
5,1</t>
  </si>
  <si>
    <t>15.11. Установка унитазов: ОЗП=10,77; ЭМ=7,12; ЗПМ=10,77; МАТ=2,09</t>
  </si>
  <si>
    <t>645
82</t>
  </si>
  <si>
    <t>30,97
0,32</t>
  </si>
  <si>
    <t>46,46
0,48</t>
  </si>
  <si>
    <t>ТСЦ-301-1521</t>
  </si>
  <si>
    <t>Унитаз-компакт (Комфорт), компл.
Норматив НР % : 128%  *0.85
Норматив СП % : 83%  *(0.85*0.8)</t>
  </si>
  <si>
    <t>Унитаз-компакт «Комфорт»; МАТ=5,77</t>
  </si>
  <si>
    <t>ТЕР16-04-002-01</t>
  </si>
  <si>
    <t>Прокладка трубопроводов водоснабжения из напорных полиэтиленовых труб низкого давления среднего типа наружным диаметром: 20 мм, 100 м трубопровода
Норматив НР % : 128%  *0.85
Норматив СП % : 83%  *(0.85*0.8)</t>
  </si>
  <si>
    <t>5305,3
2653,85</t>
  </si>
  <si>
    <t>2250,24
249,67</t>
  </si>
  <si>
    <t>6031
1076</t>
  </si>
  <si>
    <t>190,24
13,42</t>
  </si>
  <si>
    <t>76,1
5,37</t>
  </si>
  <si>
    <t>ТСЦ-302-1484</t>
  </si>
  <si>
    <t>Кран шаровой В-В размером 3/4', шт.
Норматив НР % : 128%  *0.85
Норматив СП % : 83%  *(0.85*0.8)</t>
  </si>
  <si>
    <t>Кран шаровой В-В размером 3/4'; МАТ=1,995</t>
  </si>
  <si>
    <t>ТЕР17-01-001-13</t>
  </si>
  <si>
    <t>Установка умывальников одиночных: с подводкой холодной воды, 10 компл.
Норматив НР % : 128%  *0.85
Норматив СП % : 83%  *(0.85*0.8)</t>
  </si>
  <si>
    <t>343,59
224,12</t>
  </si>
  <si>
    <t>25,42
2,07</t>
  </si>
  <si>
    <t>15.3. Установка умывальников с подводкой воды: ОЗП=10,77; ЭМ=7,23; ЗПМ=10,77; МАТ=2,16</t>
  </si>
  <si>
    <t>202
25</t>
  </si>
  <si>
    <t>16,54
0,13</t>
  </si>
  <si>
    <t>18,19
0,14</t>
  </si>
  <si>
    <t>ТСЦ-301-0647</t>
  </si>
  <si>
    <t>Умывальники полуфарфоровые и фарфоровые с нижней камерой смешивания, кронштейнами, сифоном бутылочным латунным и выпуском овальные со скрытыми установочными поверхностями без спинки размером 550х420х150 мм, компл.
Норматив НР % : 128%  *0.85
Норматив СП % : 83%  *(0.85*0.8)</t>
  </si>
  <si>
    <t>Умывальники полуфарфоровые и фарфоровые с нижней камерой смешивания, кронштейнами, сифоном бутылочным латунным и выпуском овальные со скрытыми установочными поверхностями без спинки размером 550х420х150 мм; МАТ=2,706</t>
  </si>
  <si>
    <t>ТЕР17-01-002-03</t>
  </si>
  <si>
    <t>Установка смесителей, 10 шт.
Норматив НР % : 128%  *0.85
Норматив СП % : 83%  *(0.85*0.8)</t>
  </si>
  <si>
    <t>108,42
94,85</t>
  </si>
  <si>
    <t>15.9. Установка смесителей: ОЗП=10,77; ЭМ=6,53; ЗПМ=10,77; МАТ=1,8</t>
  </si>
  <si>
    <t>ТСЦ-301-0628</t>
  </si>
  <si>
    <t>Смесители для умывальников СМ-УМ-НКСА настольные, с нижней камерой смешения с аэратором, компл.
Норматив НР % : 128%  *0.85
Норматив СП % : 83%  *(0.85*0.8)</t>
  </si>
  <si>
    <t>Смесители для умывальников СМ-УМ-НКСА настольные, с нижней камерой смешения с аэратором; МАТ=2,309</t>
  </si>
  <si>
    <t>ТЕР26-01-017-01</t>
  </si>
  <si>
    <t>Изоляция трубопроводов изделиями из вспененного каучука ("Армофлекс"), вспененного полиэтилена ("Термофлекс"): трубками, 10 м трубопровода
Норматив НР % : 100%  *0.85
Норматив СП % : 70%  *(0.85*0.8)</t>
  </si>
  <si>
    <t>3733,09
49,1</t>
  </si>
  <si>
    <t>25.20. Изоляция трубопроводов, плоских и криволинейных поверхностей,арматуры и фланцевых соединений  изделиями из вспененных материалов (Армофлекс, Термофлекс): ОЗП=10,77; ЭМ=7,59; ЗПМ=10,77; МАТ=1,3</t>
  </si>
  <si>
    <t>ТЕРр52-15-1</t>
  </si>
  <si>
    <t>Герметизация вводов в подвальное помещение, 100 шт.
Норматив НР % : 93%  *0.85
Норматив СП % : 75%  *0.8</t>
  </si>
  <si>
    <t>2052,12
794,67</t>
  </si>
  <si>
    <t>46.25 Герметизация вводов в подвальное помещение: ОЗП=10,77; ЭМ=7,58; ЗПМ=10,77; МАТ=5,88</t>
  </si>
  <si>
    <t>Позиции, которые невозможно учесть в расчете раздела</t>
  </si>
  <si>
    <t>19 прайс-лист Кабинка в санузле П-образной формы</t>
  </si>
  <si>
    <t xml:space="preserve">Не задан индекс перевода в тек. цены </t>
  </si>
  <si>
    <t>20 прайс-лист Кабинка в санузле Г-образной формы</t>
  </si>
  <si>
    <t>Итого прямые затраты по разделу в текущих ценах</t>
  </si>
  <si>
    <t>45190
15134</t>
  </si>
  <si>
    <t>1911,8
88,65</t>
  </si>
  <si>
    <t>Накладные расходы</t>
  </si>
  <si>
    <t>Сметная прибыль</t>
  </si>
  <si>
    <t>Итоги по разделу 1  :</t>
  </si>
  <si>
    <t xml:space="preserve">  Итого Строительные работы</t>
  </si>
  <si>
    <t>1841,76
62,9</t>
  </si>
  <si>
    <t xml:space="preserve">  Итого Монтажные работы</t>
  </si>
  <si>
    <t>70,04
25,75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</si>
  <si>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</si>
  <si>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</si>
  <si>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</si>
  <si>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</si>
  <si>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</si>
  <si>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</si>
  <si>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</si>
  <si>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</t>
  </si>
  <si>
    <t>Итого прямые затраты по смете в текущих ценах</t>
  </si>
  <si>
    <t>Итоги по смете:</t>
  </si>
  <si>
    <t xml:space="preserve">  НДС 18%</t>
  </si>
  <si>
    <t xml:space="preserve">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</si>
</sst>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36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8" fillId="0" borderId="0" xfId="0" applyFont="1" applyAlignment="1">
      <alignment horizontal="center" vertical="top"/>
    </xf>
    <xf numFmtId="0" fontId="18" fillId="0" borderId="0" xfId="10" applyFont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1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horizontal="right"/>
    </xf>
    <xf numFmtId="0" fontId="18" fillId="0" borderId="11" xfId="10" applyFont="1" applyBorder="1" applyAlignment="1">
      <alignment horizontal="left"/>
    </xf>
    <xf numFmtId="0" fontId="18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/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top" wrapText="1"/>
    </xf>
    <xf numFmtId="0" fontId="18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0" xfId="13" applyFont="1" applyAlignment="1">
      <alignment horizontal="left" vertical="top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8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8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21" fillId="0" borderId="0" xfId="10" applyFont="1" applyAlignment="1">
      <alignment horizontal="center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0" fontId="7" fillId="0" borderId="13" xfId="10" applyBorder="1">
      <alignment horizontal="right" indent="1"/>
    </xf>
    <xf numFmtId="0" fontId="18" fillId="0" borderId="12" xfId="0" quotePrefix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/>
    <xf numFmtId="0" fontId="20" fillId="0" borderId="15" xfId="0" applyFont="1" applyBorder="1" applyAlignment="1"/>
    <xf numFmtId="0" fontId="18" fillId="0" borderId="8" xfId="0" applyFont="1" applyBorder="1" applyAlignment="1"/>
    <xf numFmtId="0" fontId="18" fillId="0" borderId="0" xfId="0" applyFont="1" applyBorder="1" applyAlignment="1"/>
    <xf numFmtId="0" fontId="20" fillId="0" borderId="7" xfId="0" applyFont="1" applyBorder="1" applyAlignment="1"/>
    <xf numFmtId="0" fontId="18" fillId="0" borderId="1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2" xfId="5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2" xfId="0" applyFont="1" applyBorder="1" applyAlignment="1">
      <alignment vertical="top" wrapText="1"/>
    </xf>
    <xf numFmtId="0" fontId="18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2" fillId="0" borderId="12" xfId="0" applyFont="1" applyBorder="1" applyAlignment="1">
      <alignment horizontal="left" vertical="top" wrapText="1"/>
    </xf>
    <xf numFmtId="0" fontId="22" fillId="0" borderId="1" xfId="4" applyFont="1" applyBorder="1" applyAlignment="1">
      <alignment horizontal="left" vertical="top" wrapText="1"/>
    </xf>
    <xf numFmtId="0" fontId="18" fillId="0" borderId="1" xfId="4" applyFont="1" applyBorder="1" applyAlignment="1">
      <alignment horizontal="right" vertical="top" wrapText="1"/>
    </xf>
    <xf numFmtId="0" fontId="18" fillId="0" borderId="1" xfId="4" applyFont="1" applyBorder="1" applyAlignment="1">
      <alignment horizontal="left" vertical="top" wrapText="1"/>
    </xf>
    <xf numFmtId="43" fontId="7" fillId="0" borderId="11" xfId="12" applyFont="1" applyBorder="1" applyAlignment="1">
      <alignment horizontal="right" indent="1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124"/>
  <sheetViews>
    <sheetView showGridLines="0" tabSelected="1" zoomScale="117" zoomScaleNormal="117" workbookViewId="0">
      <pane ySplit="19" topLeftCell="A92" activePane="bottomLeft" state="frozen"/>
      <selection pane="bottomLeft" activeCell="A101" sqref="A101:H101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/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59" t="s">
        <v>296</v>
      </c>
      <c r="B2" s="54"/>
      <c r="C2" s="58"/>
      <c r="D2" s="57"/>
      <c r="F2" s="60" t="s">
        <v>81</v>
      </c>
      <c r="G2" s="60"/>
      <c r="H2" s="58"/>
      <c r="I2" s="61"/>
      <c r="J2" s="59"/>
      <c r="K2" s="59" t="s">
        <v>297</v>
      </c>
      <c r="L2" s="59"/>
      <c r="M2" s="53"/>
      <c r="N2" s="58"/>
    </row>
    <row r="3" spans="1:14" s="12" customFormat="1" x14ac:dyDescent="0.2">
      <c r="A3" s="59" t="s">
        <v>298</v>
      </c>
      <c r="B3" s="58"/>
      <c r="C3" s="58"/>
      <c r="D3" s="58"/>
      <c r="E3" s="53"/>
      <c r="F3" s="53"/>
      <c r="G3" s="53"/>
      <c r="H3" s="53"/>
      <c r="I3" s="53"/>
      <c r="J3" s="59"/>
      <c r="K3" s="59" t="s">
        <v>6</v>
      </c>
      <c r="L3" s="59"/>
      <c r="M3" s="53"/>
      <c r="N3" s="58"/>
    </row>
    <row r="4" spans="1:14" s="12" customFormat="1" x14ac:dyDescent="0.2">
      <c r="A4" s="53"/>
      <c r="B4" s="53"/>
      <c r="C4" s="53"/>
      <c r="D4" s="58"/>
      <c r="F4" s="88" t="s">
        <v>300</v>
      </c>
      <c r="G4" s="53"/>
      <c r="H4" s="58"/>
      <c r="I4" s="53"/>
      <c r="J4" s="53"/>
      <c r="K4" s="53"/>
      <c r="L4" s="53"/>
      <c r="M4" s="53"/>
      <c r="N4" s="58"/>
    </row>
    <row r="5" spans="1:14" s="12" customFormat="1" x14ac:dyDescent="0.2">
      <c r="A5" s="53"/>
      <c r="B5" s="53"/>
      <c r="C5" s="53"/>
      <c r="D5" s="58"/>
      <c r="F5" s="53" t="s">
        <v>82</v>
      </c>
      <c r="G5" s="53"/>
      <c r="H5" s="58"/>
      <c r="I5" s="53"/>
      <c r="J5" s="53"/>
      <c r="K5" s="53"/>
      <c r="L5" s="53"/>
      <c r="M5" s="53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53"/>
      <c r="J6" s="53"/>
      <c r="K6" s="53"/>
      <c r="L6" s="53"/>
      <c r="M6" s="53"/>
      <c r="N6" s="58"/>
    </row>
    <row r="7" spans="1:14" s="12" customFormat="1" x14ac:dyDescent="0.2">
      <c r="A7" s="53"/>
      <c r="B7" s="53"/>
      <c r="C7" s="62"/>
      <c r="D7" s="63" t="s">
        <v>315</v>
      </c>
      <c r="E7" s="64"/>
      <c r="F7" s="64"/>
      <c r="G7" s="64"/>
      <c r="H7" s="64"/>
      <c r="I7" s="61"/>
      <c r="J7" s="61"/>
      <c r="K7" s="61"/>
      <c r="L7" s="61"/>
      <c r="M7" s="53"/>
      <c r="N7" s="58"/>
    </row>
    <row r="8" spans="1:14" s="12" customFormat="1" x14ac:dyDescent="0.2">
      <c r="A8" s="53"/>
      <c r="B8" s="53"/>
      <c r="C8" s="53"/>
      <c r="D8" s="85" t="s">
        <v>316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5"/>
      <c r="B9" s="65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89" t="s">
        <v>314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x14ac:dyDescent="0.2">
      <c r="A11" s="86" t="s">
        <v>303</v>
      </c>
      <c r="B11" s="77"/>
      <c r="C11" s="135">
        <v>1120887.8999999999</v>
      </c>
      <c r="D11" s="135"/>
      <c r="E11" s="135"/>
      <c r="F11" s="76" t="s">
        <v>301</v>
      </c>
      <c r="G11" s="78"/>
      <c r="H11" s="78"/>
      <c r="I11" s="78"/>
      <c r="J11" s="78"/>
    </row>
    <row r="12" spans="1:14" x14ac:dyDescent="0.2">
      <c r="A12" s="87" t="s">
        <v>313</v>
      </c>
      <c r="B12" s="77"/>
      <c r="C12" s="82"/>
      <c r="D12" s="91">
        <v>274476</v>
      </c>
      <c r="E12" s="91"/>
      <c r="F12" s="76" t="s">
        <v>301</v>
      </c>
      <c r="G12" s="78"/>
      <c r="H12" s="78"/>
      <c r="I12" s="78"/>
      <c r="J12" s="78"/>
    </row>
    <row r="13" spans="1:14" x14ac:dyDescent="0.2">
      <c r="A13" s="87" t="s">
        <v>317</v>
      </c>
      <c r="B13" s="48"/>
      <c r="C13" s="79"/>
      <c r="D13" s="80"/>
      <c r="E13" s="83"/>
      <c r="F13" s="11"/>
      <c r="G13" s="84"/>
      <c r="H13" s="84"/>
      <c r="I13" s="78"/>
      <c r="J13" s="78"/>
    </row>
    <row r="14" spans="1:14" ht="11.25" customHeight="1" x14ac:dyDescent="0.2">
      <c r="A14" s="75"/>
      <c r="B14" s="76"/>
      <c r="C14" s="76"/>
      <c r="D14" s="75"/>
      <c r="E14" s="78"/>
      <c r="F14" s="78"/>
      <c r="G14" s="78"/>
      <c r="H14" s="82"/>
      <c r="I14" s="78"/>
      <c r="J14" s="78"/>
      <c r="K14" s="78"/>
      <c r="L14" s="78"/>
      <c r="M14" s="78"/>
      <c r="N14" s="48" t="s">
        <v>301</v>
      </c>
    </row>
    <row r="15" spans="1:14" ht="12.75" customHeight="1" x14ac:dyDescent="0.2">
      <c r="A15" s="108" t="s">
        <v>83</v>
      </c>
      <c r="B15" s="108" t="s">
        <v>310</v>
      </c>
      <c r="C15" s="92" t="s">
        <v>318</v>
      </c>
      <c r="D15" s="92" t="s">
        <v>311</v>
      </c>
      <c r="E15" s="98" t="s">
        <v>319</v>
      </c>
      <c r="F15" s="99"/>
      <c r="G15" s="100"/>
      <c r="H15" s="92" t="s">
        <v>295</v>
      </c>
      <c r="I15" s="98" t="s">
        <v>302</v>
      </c>
      <c r="J15" s="104"/>
      <c r="K15" s="104"/>
      <c r="L15" s="105"/>
      <c r="M15" s="94" t="s">
        <v>312</v>
      </c>
      <c r="N15" s="95"/>
    </row>
    <row r="16" spans="1:14" s="51" customFormat="1" ht="38.25" customHeight="1" x14ac:dyDescent="0.2">
      <c r="A16" s="109"/>
      <c r="B16" s="109"/>
      <c r="C16" s="109"/>
      <c r="D16" s="109"/>
      <c r="E16" s="101"/>
      <c r="F16" s="102"/>
      <c r="G16" s="103"/>
      <c r="H16" s="109"/>
      <c r="I16" s="96"/>
      <c r="J16" s="106"/>
      <c r="K16" s="106"/>
      <c r="L16" s="107"/>
      <c r="M16" s="96"/>
      <c r="N16" s="97"/>
    </row>
    <row r="17" spans="1:20" s="51" customFormat="1" ht="12.75" customHeight="1" x14ac:dyDescent="0.2">
      <c r="A17" s="109"/>
      <c r="B17" s="109"/>
      <c r="C17" s="109"/>
      <c r="D17" s="109"/>
      <c r="E17" s="81" t="s">
        <v>305</v>
      </c>
      <c r="F17" s="81" t="s">
        <v>307</v>
      </c>
      <c r="G17" s="92" t="s">
        <v>309</v>
      </c>
      <c r="H17" s="109"/>
      <c r="I17" s="92" t="s">
        <v>305</v>
      </c>
      <c r="J17" s="92" t="s">
        <v>308</v>
      </c>
      <c r="K17" s="81" t="s">
        <v>307</v>
      </c>
      <c r="L17" s="92" t="s">
        <v>309</v>
      </c>
      <c r="M17" s="108" t="s">
        <v>299</v>
      </c>
      <c r="N17" s="92" t="s">
        <v>305</v>
      </c>
    </row>
    <row r="18" spans="1:20" s="51" customFormat="1" ht="11.25" customHeight="1" x14ac:dyDescent="0.2">
      <c r="A18" s="93"/>
      <c r="B18" s="93"/>
      <c r="C18" s="93"/>
      <c r="D18" s="93"/>
      <c r="E18" s="74" t="s">
        <v>304</v>
      </c>
      <c r="F18" s="81" t="s">
        <v>306</v>
      </c>
      <c r="G18" s="93"/>
      <c r="H18" s="93"/>
      <c r="I18" s="93"/>
      <c r="J18" s="93"/>
      <c r="K18" s="81" t="s">
        <v>306</v>
      </c>
      <c r="L18" s="93"/>
      <c r="M18" s="93"/>
      <c r="N18" s="93"/>
    </row>
    <row r="19" spans="1:20" x14ac:dyDescent="0.2">
      <c r="A19" s="112">
        <v>1</v>
      </c>
      <c r="B19" s="112">
        <v>2</v>
      </c>
      <c r="C19" s="112">
        <v>3</v>
      </c>
      <c r="D19" s="112">
        <v>4</v>
      </c>
      <c r="E19" s="112">
        <v>5</v>
      </c>
      <c r="F19" s="112">
        <v>6</v>
      </c>
      <c r="G19" s="112">
        <v>7</v>
      </c>
      <c r="H19" s="112">
        <v>8</v>
      </c>
      <c r="I19" s="112">
        <v>9</v>
      </c>
      <c r="J19" s="112">
        <v>10</v>
      </c>
      <c r="K19" s="112">
        <v>11</v>
      </c>
      <c r="L19" s="112">
        <v>12</v>
      </c>
      <c r="M19" s="112">
        <v>13</v>
      </c>
      <c r="N19" s="112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3" t="s">
        <v>322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</row>
    <row r="21" spans="1:20" ht="17.850000000000001" customHeight="1" x14ac:dyDescent="0.2">
      <c r="A21" s="116" t="s">
        <v>323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</row>
    <row r="22" spans="1:20" ht="60" x14ac:dyDescent="0.2">
      <c r="A22" s="118">
        <v>1</v>
      </c>
      <c r="B22" s="119" t="s">
        <v>324</v>
      </c>
      <c r="C22" s="119" t="s">
        <v>325</v>
      </c>
      <c r="D22" s="118">
        <v>1.82</v>
      </c>
      <c r="E22" s="120" t="s">
        <v>326</v>
      </c>
      <c r="F22" s="120" t="s">
        <v>327</v>
      </c>
      <c r="G22" s="120"/>
      <c r="H22" s="121" t="s">
        <v>328</v>
      </c>
      <c r="I22" s="122">
        <v>18024</v>
      </c>
      <c r="J22" s="120">
        <v>16137</v>
      </c>
      <c r="K22" s="120" t="s">
        <v>329</v>
      </c>
      <c r="L22" s="120" t="str">
        <f>IF(1.82*0=0," ",TEXT(,ROUND((1.82*0*1),2)))</f>
        <v xml:space="preserve"> </v>
      </c>
      <c r="M22" s="120" t="s">
        <v>330</v>
      </c>
      <c r="N22" s="120" t="s">
        <v>331</v>
      </c>
    </row>
    <row r="23" spans="1:20" ht="60" x14ac:dyDescent="0.2">
      <c r="A23" s="118">
        <v>2</v>
      </c>
      <c r="B23" s="119" t="s">
        <v>332</v>
      </c>
      <c r="C23" s="119" t="s">
        <v>333</v>
      </c>
      <c r="D23" s="118">
        <v>0.59499999999999997</v>
      </c>
      <c r="E23" s="120" t="s">
        <v>334</v>
      </c>
      <c r="F23" s="120" t="s">
        <v>335</v>
      </c>
      <c r="G23" s="120"/>
      <c r="H23" s="121" t="s">
        <v>336</v>
      </c>
      <c r="I23" s="122">
        <v>5601</v>
      </c>
      <c r="J23" s="120">
        <v>5386</v>
      </c>
      <c r="K23" s="120" t="s">
        <v>337</v>
      </c>
      <c r="L23" s="120" t="str">
        <f>IF(0.595*0=0," ",TEXT(,ROUND((0.595*0*1),2)))</f>
        <v xml:space="preserve"> </v>
      </c>
      <c r="M23" s="120" t="s">
        <v>338</v>
      </c>
      <c r="N23" s="120" t="s">
        <v>339</v>
      </c>
    </row>
    <row r="24" spans="1:20" ht="48" x14ac:dyDescent="0.2">
      <c r="A24" s="118">
        <v>3</v>
      </c>
      <c r="B24" s="119" t="s">
        <v>340</v>
      </c>
      <c r="C24" s="119" t="s">
        <v>341</v>
      </c>
      <c r="D24" s="118">
        <v>0.44900000000000001</v>
      </c>
      <c r="E24" s="120" t="s">
        <v>342</v>
      </c>
      <c r="F24" s="120" t="s">
        <v>343</v>
      </c>
      <c r="G24" s="120"/>
      <c r="H24" s="121" t="s">
        <v>344</v>
      </c>
      <c r="I24" s="122">
        <v>4389</v>
      </c>
      <c r="J24" s="120">
        <v>4019</v>
      </c>
      <c r="K24" s="120" t="s">
        <v>345</v>
      </c>
      <c r="L24" s="120" t="str">
        <f>IF(0.449*0=0," ",TEXT(,ROUND((0.449*0*1),2)))</f>
        <v xml:space="preserve"> </v>
      </c>
      <c r="M24" s="120" t="s">
        <v>346</v>
      </c>
      <c r="N24" s="120" t="s">
        <v>347</v>
      </c>
    </row>
    <row r="25" spans="1:20" ht="120" x14ac:dyDescent="0.2">
      <c r="A25" s="118">
        <v>4</v>
      </c>
      <c r="B25" s="119" t="s">
        <v>348</v>
      </c>
      <c r="C25" s="119" t="s">
        <v>349</v>
      </c>
      <c r="D25" s="118">
        <v>0.59499999999999997</v>
      </c>
      <c r="E25" s="120" t="s">
        <v>350</v>
      </c>
      <c r="F25" s="120" t="s">
        <v>351</v>
      </c>
      <c r="G25" s="120"/>
      <c r="H25" s="121" t="s">
        <v>352</v>
      </c>
      <c r="I25" s="122">
        <v>2415</v>
      </c>
      <c r="J25" s="120">
        <v>2264</v>
      </c>
      <c r="K25" s="120" t="s">
        <v>353</v>
      </c>
      <c r="L25" s="120" t="str">
        <f>IF(0.595*0=0," ",TEXT(,ROUND((0.595*0*5.65),2)))</f>
        <v xml:space="preserve"> </v>
      </c>
      <c r="M25" s="120" t="s">
        <v>354</v>
      </c>
      <c r="N25" s="120" t="s">
        <v>355</v>
      </c>
    </row>
    <row r="26" spans="1:20" ht="192" x14ac:dyDescent="0.2">
      <c r="A26" s="118">
        <v>5</v>
      </c>
      <c r="B26" s="119" t="s">
        <v>356</v>
      </c>
      <c r="C26" s="119" t="s">
        <v>357</v>
      </c>
      <c r="D26" s="118">
        <v>0.59499999999999997</v>
      </c>
      <c r="E26" s="120" t="s">
        <v>358</v>
      </c>
      <c r="F26" s="120" t="s">
        <v>359</v>
      </c>
      <c r="G26" s="120"/>
      <c r="H26" s="121" t="s">
        <v>352</v>
      </c>
      <c r="I26" s="122">
        <v>883</v>
      </c>
      <c r="J26" s="120">
        <v>459</v>
      </c>
      <c r="K26" s="120" t="s">
        <v>360</v>
      </c>
      <c r="L26" s="120" t="str">
        <f>IF(0.595*0=0," ",TEXT(,ROUND((0.595*0*5.65),2)))</f>
        <v xml:space="preserve"> </v>
      </c>
      <c r="M26" s="120" t="s">
        <v>361</v>
      </c>
      <c r="N26" s="120" t="s">
        <v>362</v>
      </c>
    </row>
    <row r="27" spans="1:20" ht="48" x14ac:dyDescent="0.2">
      <c r="A27" s="118">
        <v>6</v>
      </c>
      <c r="B27" s="119" t="s">
        <v>363</v>
      </c>
      <c r="C27" s="119" t="s">
        <v>364</v>
      </c>
      <c r="D27" s="118">
        <v>118.5</v>
      </c>
      <c r="E27" s="120" t="s">
        <v>365</v>
      </c>
      <c r="F27" s="120"/>
      <c r="G27" s="120"/>
      <c r="H27" s="121" t="s">
        <v>366</v>
      </c>
      <c r="I27" s="122">
        <v>13822</v>
      </c>
      <c r="J27" s="120">
        <v>13822</v>
      </c>
      <c r="K27" s="120"/>
      <c r="L27" s="120" t="str">
        <f>IF(118.5*0=0," ",TEXT(,ROUND((118.5*0*1),2)))</f>
        <v xml:space="preserve"> </v>
      </c>
      <c r="M27" s="120">
        <v>0.9</v>
      </c>
      <c r="N27" s="120">
        <v>106.65</v>
      </c>
    </row>
    <row r="28" spans="1:20" ht="17.850000000000001" customHeight="1" x14ac:dyDescent="0.2">
      <c r="A28" s="116" t="s">
        <v>367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</row>
    <row r="29" spans="1:20" ht="56.25" x14ac:dyDescent="0.2">
      <c r="A29" s="118">
        <v>7</v>
      </c>
      <c r="B29" s="119" t="s">
        <v>368</v>
      </c>
      <c r="C29" s="119" t="s">
        <v>369</v>
      </c>
      <c r="D29" s="118">
        <v>0.59499999999999997</v>
      </c>
      <c r="E29" s="120" t="s">
        <v>370</v>
      </c>
      <c r="F29" s="120" t="s">
        <v>371</v>
      </c>
      <c r="G29" s="120">
        <v>1221.68</v>
      </c>
      <c r="H29" s="121" t="s">
        <v>352</v>
      </c>
      <c r="I29" s="122">
        <v>7126</v>
      </c>
      <c r="J29" s="120">
        <v>2831</v>
      </c>
      <c r="K29" s="120" t="s">
        <v>372</v>
      </c>
      <c r="L29" s="120" t="str">
        <f>IF(0.595*1221.68=0," ",TEXT(,ROUND((0.595*1221.68*5.65),2)))</f>
        <v>4106,98</v>
      </c>
      <c r="M29" s="120" t="s">
        <v>373</v>
      </c>
      <c r="N29" s="120" t="s">
        <v>374</v>
      </c>
    </row>
    <row r="30" spans="1:20" ht="132" x14ac:dyDescent="0.2">
      <c r="A30" s="118">
        <v>8</v>
      </c>
      <c r="B30" s="119" t="s">
        <v>375</v>
      </c>
      <c r="C30" s="119" t="s">
        <v>376</v>
      </c>
      <c r="D30" s="118">
        <v>0.59499999999999997</v>
      </c>
      <c r="E30" s="120" t="s">
        <v>377</v>
      </c>
      <c r="F30" s="120" t="s">
        <v>378</v>
      </c>
      <c r="G30" s="120">
        <v>4582.88</v>
      </c>
      <c r="H30" s="121" t="s">
        <v>352</v>
      </c>
      <c r="I30" s="122">
        <v>16511</v>
      </c>
      <c r="J30" s="120">
        <v>573</v>
      </c>
      <c r="K30" s="120" t="s">
        <v>379</v>
      </c>
      <c r="L30" s="120" t="str">
        <f>IF(0.595*4582.88=0," ",TEXT(,ROUND((0.595*4582.88*5.65),2)))</f>
        <v>15406,5</v>
      </c>
      <c r="M30" s="120" t="s">
        <v>380</v>
      </c>
      <c r="N30" s="120" t="s">
        <v>381</v>
      </c>
    </row>
    <row r="31" spans="1:20" ht="72" x14ac:dyDescent="0.2">
      <c r="A31" s="118">
        <v>9</v>
      </c>
      <c r="B31" s="119" t="s">
        <v>382</v>
      </c>
      <c r="C31" s="119" t="s">
        <v>383</v>
      </c>
      <c r="D31" s="118">
        <v>0.59499999999999997</v>
      </c>
      <c r="E31" s="120" t="s">
        <v>384</v>
      </c>
      <c r="F31" s="120" t="s">
        <v>385</v>
      </c>
      <c r="G31" s="120">
        <v>964.31</v>
      </c>
      <c r="H31" s="121" t="s">
        <v>386</v>
      </c>
      <c r="I31" s="122">
        <v>13133</v>
      </c>
      <c r="J31" s="120">
        <v>9464</v>
      </c>
      <c r="K31" s="120" t="s">
        <v>387</v>
      </c>
      <c r="L31" s="120" t="str">
        <f>IF(0.595*964.31=0," ",TEXT(,ROUND((0.595*964.31*5.43),2)))</f>
        <v>3115,54</v>
      </c>
      <c r="M31" s="120" t="s">
        <v>388</v>
      </c>
      <c r="N31" s="120" t="s">
        <v>389</v>
      </c>
    </row>
    <row r="32" spans="1:20" ht="60" x14ac:dyDescent="0.2">
      <c r="A32" s="118">
        <v>10</v>
      </c>
      <c r="B32" s="119" t="s">
        <v>390</v>
      </c>
      <c r="C32" s="119" t="s">
        <v>391</v>
      </c>
      <c r="D32" s="118">
        <v>60.69</v>
      </c>
      <c r="E32" s="120">
        <v>185.55</v>
      </c>
      <c r="F32" s="120"/>
      <c r="G32" s="120">
        <v>185.55</v>
      </c>
      <c r="H32" s="121" t="s">
        <v>392</v>
      </c>
      <c r="I32" s="122">
        <v>19853</v>
      </c>
      <c r="J32" s="120"/>
      <c r="K32" s="120"/>
      <c r="L32" s="120" t="str">
        <f>IF(60.69*185.55=0," ",TEXT(,ROUND((60.69*185.55*1.763),2)))</f>
        <v>19853,2</v>
      </c>
      <c r="M32" s="120"/>
      <c r="N32" s="120"/>
    </row>
    <row r="33" spans="1:14" ht="56.25" x14ac:dyDescent="0.2">
      <c r="A33" s="118">
        <v>11</v>
      </c>
      <c r="B33" s="119" t="s">
        <v>393</v>
      </c>
      <c r="C33" s="119" t="s">
        <v>394</v>
      </c>
      <c r="D33" s="118">
        <v>0.88</v>
      </c>
      <c r="E33" s="120" t="s">
        <v>395</v>
      </c>
      <c r="F33" s="120">
        <v>6.35</v>
      </c>
      <c r="G33" s="120">
        <v>1721.06</v>
      </c>
      <c r="H33" s="121" t="s">
        <v>396</v>
      </c>
      <c r="I33" s="122">
        <v>8265</v>
      </c>
      <c r="J33" s="120">
        <v>2997</v>
      </c>
      <c r="K33" s="120">
        <v>42</v>
      </c>
      <c r="L33" s="120" t="str">
        <f>IF(0.88*1721.06=0," ",TEXT(,ROUND((0.88*1721.06*3.45),2)))</f>
        <v>5225,14</v>
      </c>
      <c r="M33" s="120">
        <v>23.6</v>
      </c>
      <c r="N33" s="120">
        <v>20.77</v>
      </c>
    </row>
    <row r="34" spans="1:14" ht="84" x14ac:dyDescent="0.2">
      <c r="A34" s="118">
        <v>12</v>
      </c>
      <c r="B34" s="119" t="s">
        <v>397</v>
      </c>
      <c r="C34" s="119" t="s">
        <v>398</v>
      </c>
      <c r="D34" s="118">
        <v>3.0049999999999999</v>
      </c>
      <c r="E34" s="120" t="s">
        <v>399</v>
      </c>
      <c r="F34" s="120" t="s">
        <v>400</v>
      </c>
      <c r="G34" s="120">
        <v>885.44</v>
      </c>
      <c r="H34" s="121" t="s">
        <v>401</v>
      </c>
      <c r="I34" s="122">
        <v>46373</v>
      </c>
      <c r="J34" s="120">
        <v>31211</v>
      </c>
      <c r="K34" s="120" t="s">
        <v>402</v>
      </c>
      <c r="L34" s="120" t="str">
        <f>IF(3.005*885.44=0," ",TEXT(,ROUND((3.005*885.44*4.47),2)))</f>
        <v>11893,54</v>
      </c>
      <c r="M34" s="120" t="s">
        <v>403</v>
      </c>
      <c r="N34" s="120" t="s">
        <v>404</v>
      </c>
    </row>
    <row r="35" spans="1:14" ht="108" x14ac:dyDescent="0.2">
      <c r="A35" s="118">
        <v>13</v>
      </c>
      <c r="B35" s="119" t="s">
        <v>405</v>
      </c>
      <c r="C35" s="119" t="s">
        <v>406</v>
      </c>
      <c r="D35" s="118">
        <v>3.0049999999999999</v>
      </c>
      <c r="E35" s="120" t="s">
        <v>407</v>
      </c>
      <c r="F35" s="120" t="s">
        <v>408</v>
      </c>
      <c r="G35" s="120">
        <v>4792.99</v>
      </c>
      <c r="H35" s="121" t="s">
        <v>409</v>
      </c>
      <c r="I35" s="122">
        <v>111550</v>
      </c>
      <c r="J35" s="120">
        <v>69565</v>
      </c>
      <c r="K35" s="120" t="s">
        <v>410</v>
      </c>
      <c r="L35" s="120" t="str">
        <f>IF(3.005*4792.99=0," ",TEXT(,ROUND((3.005*4792.99*2.83),2)))</f>
        <v>40760,31</v>
      </c>
      <c r="M35" s="120" t="s">
        <v>411</v>
      </c>
      <c r="N35" s="120" t="s">
        <v>412</v>
      </c>
    </row>
    <row r="36" spans="1:14" ht="60" x14ac:dyDescent="0.2">
      <c r="A36" s="118">
        <v>14</v>
      </c>
      <c r="B36" s="119" t="s">
        <v>413</v>
      </c>
      <c r="C36" s="119" t="s">
        <v>414</v>
      </c>
      <c r="D36" s="118">
        <v>297.5</v>
      </c>
      <c r="E36" s="120">
        <v>75.180000000000007</v>
      </c>
      <c r="F36" s="120"/>
      <c r="G36" s="120">
        <v>75.180000000000007</v>
      </c>
      <c r="H36" s="121" t="s">
        <v>415</v>
      </c>
      <c r="I36" s="122">
        <v>60208</v>
      </c>
      <c r="J36" s="120"/>
      <c r="K36" s="120"/>
      <c r="L36" s="120" t="str">
        <f>IF(297.5*75.18=0," ",TEXT(,ROUND((297.5*75.18*2.692),2)))</f>
        <v>60209,41</v>
      </c>
      <c r="M36" s="120"/>
      <c r="N36" s="120"/>
    </row>
    <row r="37" spans="1:14" ht="72" x14ac:dyDescent="0.2">
      <c r="A37" s="118">
        <v>15</v>
      </c>
      <c r="B37" s="119" t="s">
        <v>416</v>
      </c>
      <c r="C37" s="119" t="s">
        <v>417</v>
      </c>
      <c r="D37" s="118">
        <v>0.59499999999999997</v>
      </c>
      <c r="E37" s="120" t="s">
        <v>418</v>
      </c>
      <c r="F37" s="120" t="s">
        <v>419</v>
      </c>
      <c r="G37" s="120">
        <v>13475.49</v>
      </c>
      <c r="H37" s="121" t="s">
        <v>420</v>
      </c>
      <c r="I37" s="122">
        <v>25525</v>
      </c>
      <c r="J37" s="120">
        <v>8693</v>
      </c>
      <c r="K37" s="120" t="s">
        <v>421</v>
      </c>
      <c r="L37" s="120" t="str">
        <f>IF(0.595*13475.49=0," ",TEXT(,ROUND((0.595*13475.49*1.81),2)))</f>
        <v>14512,43</v>
      </c>
      <c r="M37" s="120" t="s">
        <v>422</v>
      </c>
      <c r="N37" s="120" t="s">
        <v>423</v>
      </c>
    </row>
    <row r="38" spans="1:14" ht="90" x14ac:dyDescent="0.2">
      <c r="A38" s="118">
        <v>16</v>
      </c>
      <c r="B38" s="119" t="s">
        <v>424</v>
      </c>
      <c r="C38" s="119" t="s">
        <v>425</v>
      </c>
      <c r="D38" s="118">
        <v>0.6</v>
      </c>
      <c r="E38" s="120" t="s">
        <v>426</v>
      </c>
      <c r="F38" s="120" t="s">
        <v>427</v>
      </c>
      <c r="G38" s="120">
        <v>69.12</v>
      </c>
      <c r="H38" s="121" t="s">
        <v>428</v>
      </c>
      <c r="I38" s="122">
        <v>8502</v>
      </c>
      <c r="J38" s="120">
        <v>8050</v>
      </c>
      <c r="K38" s="120" t="s">
        <v>429</v>
      </c>
      <c r="L38" s="120" t="str">
        <f>IF(0.6*69.12=0," ",TEXT(,ROUND((0.6*69.12*3.15),2)))</f>
        <v>130,64</v>
      </c>
      <c r="M38" s="120" t="s">
        <v>430</v>
      </c>
      <c r="N38" s="120" t="s">
        <v>431</v>
      </c>
    </row>
    <row r="39" spans="1:14" ht="60" x14ac:dyDescent="0.2">
      <c r="A39" s="118">
        <v>17</v>
      </c>
      <c r="B39" s="119" t="s">
        <v>432</v>
      </c>
      <c r="C39" s="119" t="s">
        <v>433</v>
      </c>
      <c r="D39" s="118">
        <v>0.59</v>
      </c>
      <c r="E39" s="120" t="s">
        <v>434</v>
      </c>
      <c r="F39" s="120" t="s">
        <v>435</v>
      </c>
      <c r="G39" s="120">
        <v>116.78</v>
      </c>
      <c r="H39" s="121" t="s">
        <v>436</v>
      </c>
      <c r="I39" s="122">
        <v>11039</v>
      </c>
      <c r="J39" s="120">
        <v>5083</v>
      </c>
      <c r="K39" s="120" t="s">
        <v>437</v>
      </c>
      <c r="L39" s="120" t="str">
        <f>IF(0.59*116.78=0," ",TEXT(,ROUND((0.59*116.78*3.92),2)))</f>
        <v>270,09</v>
      </c>
      <c r="M39" s="120" t="s">
        <v>438</v>
      </c>
      <c r="N39" s="120" t="s">
        <v>439</v>
      </c>
    </row>
    <row r="40" spans="1:14" ht="84" x14ac:dyDescent="0.2">
      <c r="A40" s="118">
        <v>18</v>
      </c>
      <c r="B40" s="119" t="s">
        <v>440</v>
      </c>
      <c r="C40" s="119" t="s">
        <v>441</v>
      </c>
      <c r="D40" s="118">
        <v>0.14000000000000001</v>
      </c>
      <c r="E40" s="120" t="s">
        <v>442</v>
      </c>
      <c r="F40" s="120">
        <v>18.16</v>
      </c>
      <c r="G40" s="120">
        <v>2621.0300000000002</v>
      </c>
      <c r="H40" s="121" t="s">
        <v>443</v>
      </c>
      <c r="I40" s="122">
        <v>2630</v>
      </c>
      <c r="J40" s="120">
        <v>1503</v>
      </c>
      <c r="K40" s="120">
        <v>18</v>
      </c>
      <c r="L40" s="120" t="str">
        <f>IF(0.14*2621.03=0," ",TEXT(,ROUND((0.14*2621.03*3.02),2)))</f>
        <v>1108,17</v>
      </c>
      <c r="M40" s="120">
        <v>75.3</v>
      </c>
      <c r="N40" s="120">
        <v>10.54</v>
      </c>
    </row>
    <row r="41" spans="1:14" ht="48" x14ac:dyDescent="0.2">
      <c r="A41" s="118">
        <v>19</v>
      </c>
      <c r="B41" s="119" t="s">
        <v>444</v>
      </c>
      <c r="C41" s="119" t="s">
        <v>445</v>
      </c>
      <c r="D41" s="118">
        <v>1</v>
      </c>
      <c r="E41" s="120">
        <v>13389.84</v>
      </c>
      <c r="F41" s="120"/>
      <c r="G41" s="120">
        <v>13389.84</v>
      </c>
      <c r="H41" s="121"/>
      <c r="I41" s="122">
        <v>13390</v>
      </c>
      <c r="J41" s="120"/>
      <c r="K41" s="120"/>
      <c r="L41" s="120" t="str">
        <f>IF(1*13389.84=0," ",TEXT(,ROUND((1*13389.84*1),2)))</f>
        <v>13389,84</v>
      </c>
      <c r="M41" s="120"/>
      <c r="N41" s="120"/>
    </row>
    <row r="42" spans="1:14" ht="48" x14ac:dyDescent="0.2">
      <c r="A42" s="118">
        <v>20</v>
      </c>
      <c r="B42" s="119" t="s">
        <v>444</v>
      </c>
      <c r="C42" s="119" t="s">
        <v>446</v>
      </c>
      <c r="D42" s="118">
        <v>13</v>
      </c>
      <c r="E42" s="120">
        <v>10847.46</v>
      </c>
      <c r="F42" s="120"/>
      <c r="G42" s="120">
        <v>10847.46</v>
      </c>
      <c r="H42" s="121"/>
      <c r="I42" s="122">
        <v>141017</v>
      </c>
      <c r="J42" s="120"/>
      <c r="K42" s="120"/>
      <c r="L42" s="120" t="str">
        <f>IF(13*10847.46=0," ",TEXT(,ROUND((13*10847.46*1),2)))</f>
        <v>141016,98</v>
      </c>
      <c r="M42" s="120"/>
      <c r="N42" s="120"/>
    </row>
    <row r="43" spans="1:14" ht="67.5" x14ac:dyDescent="0.2">
      <c r="A43" s="118">
        <v>21</v>
      </c>
      <c r="B43" s="119" t="s">
        <v>447</v>
      </c>
      <c r="C43" s="119" t="s">
        <v>448</v>
      </c>
      <c r="D43" s="118">
        <v>0.1764</v>
      </c>
      <c r="E43" s="120" t="s">
        <v>449</v>
      </c>
      <c r="F43" s="120" t="s">
        <v>450</v>
      </c>
      <c r="G43" s="120">
        <v>7735.8</v>
      </c>
      <c r="H43" s="121" t="s">
        <v>451</v>
      </c>
      <c r="I43" s="122">
        <v>6942</v>
      </c>
      <c r="J43" s="120">
        <v>3714</v>
      </c>
      <c r="K43" s="120" t="s">
        <v>452</v>
      </c>
      <c r="L43" s="120" t="str">
        <f>IF(0.1764*7735.8=0," ",TEXT(,ROUND((0.1764*7735.8*1.85),2)))</f>
        <v>2524,5</v>
      </c>
      <c r="M43" s="120" t="s">
        <v>453</v>
      </c>
      <c r="N43" s="120" t="s">
        <v>454</v>
      </c>
    </row>
    <row r="44" spans="1:14" ht="17.850000000000001" customHeight="1" x14ac:dyDescent="0.2">
      <c r="A44" s="116" t="s">
        <v>455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</row>
    <row r="45" spans="1:14" ht="48" x14ac:dyDescent="0.2">
      <c r="A45" s="118">
        <v>22</v>
      </c>
      <c r="B45" s="119" t="s">
        <v>456</v>
      </c>
      <c r="C45" s="119" t="s">
        <v>457</v>
      </c>
      <c r="D45" s="118">
        <v>0.11</v>
      </c>
      <c r="E45" s="120" t="s">
        <v>458</v>
      </c>
      <c r="F45" s="120" t="s">
        <v>459</v>
      </c>
      <c r="G45" s="120"/>
      <c r="H45" s="121" t="s">
        <v>460</v>
      </c>
      <c r="I45" s="122">
        <v>83</v>
      </c>
      <c r="J45" s="120">
        <v>82</v>
      </c>
      <c r="K45" s="120" t="s">
        <v>461</v>
      </c>
      <c r="L45" s="120" t="str">
        <f>IF(0.11*0=0," ",TEXT(,ROUND((0.11*0*1),2)))</f>
        <v xml:space="preserve"> </v>
      </c>
      <c r="M45" s="120" t="s">
        <v>462</v>
      </c>
      <c r="N45" s="120">
        <v>0.7</v>
      </c>
    </row>
    <row r="46" spans="1:14" ht="36" x14ac:dyDescent="0.2">
      <c r="A46" s="118">
        <v>23</v>
      </c>
      <c r="B46" s="119" t="s">
        <v>463</v>
      </c>
      <c r="C46" s="119" t="s">
        <v>464</v>
      </c>
      <c r="D46" s="118">
        <v>0.84</v>
      </c>
      <c r="E46" s="120" t="s">
        <v>465</v>
      </c>
      <c r="F46" s="120" t="s">
        <v>466</v>
      </c>
      <c r="G46" s="120"/>
      <c r="H46" s="121" t="s">
        <v>467</v>
      </c>
      <c r="I46" s="122">
        <v>959</v>
      </c>
      <c r="J46" s="120">
        <v>957</v>
      </c>
      <c r="K46" s="120" t="s">
        <v>468</v>
      </c>
      <c r="L46" s="120" t="str">
        <f>IF(0.84*0=0," ",TEXT(,ROUND((0.84*0*1),2)))</f>
        <v xml:space="preserve"> </v>
      </c>
      <c r="M46" s="120" t="s">
        <v>469</v>
      </c>
      <c r="N46" s="120" t="s">
        <v>470</v>
      </c>
    </row>
    <row r="47" spans="1:14" ht="48" x14ac:dyDescent="0.2">
      <c r="A47" s="118">
        <v>24</v>
      </c>
      <c r="B47" s="119" t="s">
        <v>471</v>
      </c>
      <c r="C47" s="119" t="s">
        <v>472</v>
      </c>
      <c r="D47" s="118">
        <v>0.08</v>
      </c>
      <c r="E47" s="120" t="s">
        <v>473</v>
      </c>
      <c r="F47" s="120"/>
      <c r="G47" s="120"/>
      <c r="H47" s="121" t="s">
        <v>460</v>
      </c>
      <c r="I47" s="122">
        <v>55</v>
      </c>
      <c r="J47" s="120">
        <v>55</v>
      </c>
      <c r="K47" s="120"/>
      <c r="L47" s="120" t="str">
        <f>IF(0.08*0=0," ",TEXT(,ROUND((0.08*0*1),2)))</f>
        <v xml:space="preserve"> </v>
      </c>
      <c r="M47" s="120">
        <v>5.84</v>
      </c>
      <c r="N47" s="120">
        <v>0.47</v>
      </c>
    </row>
    <row r="48" spans="1:14" ht="72" x14ac:dyDescent="0.2">
      <c r="A48" s="118">
        <v>25</v>
      </c>
      <c r="B48" s="119" t="s">
        <v>474</v>
      </c>
      <c r="C48" s="119" t="s">
        <v>475</v>
      </c>
      <c r="D48" s="118">
        <v>0.27</v>
      </c>
      <c r="E48" s="120" t="s">
        <v>476</v>
      </c>
      <c r="F48" s="120" t="s">
        <v>477</v>
      </c>
      <c r="G48" s="120">
        <v>1305.4000000000001</v>
      </c>
      <c r="H48" s="121" t="s">
        <v>478</v>
      </c>
      <c r="I48" s="122">
        <v>3491</v>
      </c>
      <c r="J48" s="120">
        <v>1186</v>
      </c>
      <c r="K48" s="120" t="s">
        <v>479</v>
      </c>
      <c r="L48" s="120" t="str">
        <f>IF(0.27*1305.4=0," ",TEXT(,ROUND((0.27*1305.4*2.01),2)))</f>
        <v>708,44</v>
      </c>
      <c r="M48" s="120" t="s">
        <v>480</v>
      </c>
      <c r="N48" s="120" t="s">
        <v>481</v>
      </c>
    </row>
    <row r="49" spans="1:14" ht="60" x14ac:dyDescent="0.2">
      <c r="A49" s="118">
        <v>26</v>
      </c>
      <c r="B49" s="119" t="s">
        <v>482</v>
      </c>
      <c r="C49" s="119" t="s">
        <v>483</v>
      </c>
      <c r="D49" s="118">
        <v>0.27</v>
      </c>
      <c r="E49" s="120" t="s">
        <v>484</v>
      </c>
      <c r="F49" s="120" t="s">
        <v>485</v>
      </c>
      <c r="G49" s="120">
        <v>64.430000000000007</v>
      </c>
      <c r="H49" s="121" t="s">
        <v>486</v>
      </c>
      <c r="I49" s="122">
        <v>1050</v>
      </c>
      <c r="J49" s="120">
        <v>489</v>
      </c>
      <c r="K49" s="120" t="s">
        <v>487</v>
      </c>
      <c r="L49" s="120" t="str">
        <f>IF(0.27*64.43=0," ",TEXT(,ROUND((0.27*64.43*3.66),2)))</f>
        <v>63,67</v>
      </c>
      <c r="M49" s="120" t="s">
        <v>488</v>
      </c>
      <c r="N49" s="120" t="s">
        <v>489</v>
      </c>
    </row>
    <row r="50" spans="1:14" ht="48" x14ac:dyDescent="0.2">
      <c r="A50" s="118">
        <v>27</v>
      </c>
      <c r="B50" s="119" t="s">
        <v>490</v>
      </c>
      <c r="C50" s="119" t="s">
        <v>491</v>
      </c>
      <c r="D50" s="118">
        <v>0.56999999999999995</v>
      </c>
      <c r="E50" s="120" t="s">
        <v>492</v>
      </c>
      <c r="F50" s="120" t="s">
        <v>493</v>
      </c>
      <c r="G50" s="120">
        <v>2585.9</v>
      </c>
      <c r="H50" s="121" t="s">
        <v>494</v>
      </c>
      <c r="I50" s="122">
        <v>8544</v>
      </c>
      <c r="J50" s="120">
        <v>2308</v>
      </c>
      <c r="K50" s="120" t="s">
        <v>495</v>
      </c>
      <c r="L50" s="120" t="str">
        <f>IF(0.57*2585.9=0," ",TEXT(,ROUND((0.57*2585.9*2.56),2)))</f>
        <v>3773,35</v>
      </c>
      <c r="M50" s="120" t="s">
        <v>496</v>
      </c>
      <c r="N50" s="120" t="s">
        <v>497</v>
      </c>
    </row>
    <row r="51" spans="1:14" ht="112.5" x14ac:dyDescent="0.2">
      <c r="A51" s="118">
        <v>28</v>
      </c>
      <c r="B51" s="119" t="s">
        <v>498</v>
      </c>
      <c r="C51" s="119" t="s">
        <v>499</v>
      </c>
      <c r="D51" s="118">
        <v>8.4000000000000005E-2</v>
      </c>
      <c r="E51" s="120">
        <v>4861.25</v>
      </c>
      <c r="F51" s="120"/>
      <c r="G51" s="120">
        <v>4861.25</v>
      </c>
      <c r="H51" s="121" t="s">
        <v>500</v>
      </c>
      <c r="I51" s="122">
        <v>1497</v>
      </c>
      <c r="J51" s="120"/>
      <c r="K51" s="120"/>
      <c r="L51" s="120" t="str">
        <f>IF(0.084*4861.25=0," ",TEXT(,ROUND((0.084*4861.25*3.667),2)))</f>
        <v>1497,4</v>
      </c>
      <c r="M51" s="120"/>
      <c r="N51" s="120"/>
    </row>
    <row r="52" spans="1:14" ht="72" x14ac:dyDescent="0.2">
      <c r="A52" s="118">
        <v>29</v>
      </c>
      <c r="B52" s="119" t="s">
        <v>501</v>
      </c>
      <c r="C52" s="119" t="s">
        <v>502</v>
      </c>
      <c r="D52" s="118">
        <v>0.11</v>
      </c>
      <c r="E52" s="120" t="s">
        <v>503</v>
      </c>
      <c r="F52" s="120" t="s">
        <v>504</v>
      </c>
      <c r="G52" s="120">
        <v>5231.63</v>
      </c>
      <c r="H52" s="121" t="s">
        <v>505</v>
      </c>
      <c r="I52" s="122">
        <v>9267</v>
      </c>
      <c r="J52" s="120">
        <v>4413</v>
      </c>
      <c r="K52" s="120" t="s">
        <v>506</v>
      </c>
      <c r="L52" s="120" t="str">
        <f>IF(0.11*5231.63=0," ",TEXT(,ROUND((0.11*5231.63*4.08),2)))</f>
        <v>2347,96</v>
      </c>
      <c r="M52" s="120" t="s">
        <v>507</v>
      </c>
      <c r="N52" s="120" t="s">
        <v>508</v>
      </c>
    </row>
    <row r="53" spans="1:14" ht="96" x14ac:dyDescent="0.2">
      <c r="A53" s="118">
        <v>30</v>
      </c>
      <c r="B53" s="119" t="s">
        <v>509</v>
      </c>
      <c r="C53" s="119" t="s">
        <v>510</v>
      </c>
      <c r="D53" s="118">
        <v>11</v>
      </c>
      <c r="E53" s="120">
        <v>358.21</v>
      </c>
      <c r="F53" s="120"/>
      <c r="G53" s="120">
        <v>358.21</v>
      </c>
      <c r="H53" s="121" t="s">
        <v>511</v>
      </c>
      <c r="I53" s="122">
        <v>8637</v>
      </c>
      <c r="J53" s="120"/>
      <c r="K53" s="120"/>
      <c r="L53" s="120" t="str">
        <f>IF(11*358.21=0," ",TEXT(,ROUND((11*358.21*2.192),2)))</f>
        <v>8637,16</v>
      </c>
      <c r="M53" s="120"/>
      <c r="N53" s="120"/>
    </row>
    <row r="54" spans="1:14" ht="60" x14ac:dyDescent="0.2">
      <c r="A54" s="118">
        <v>31</v>
      </c>
      <c r="B54" s="119" t="s">
        <v>512</v>
      </c>
      <c r="C54" s="119" t="s">
        <v>513</v>
      </c>
      <c r="D54" s="118">
        <v>0.11</v>
      </c>
      <c r="E54" s="120" t="s">
        <v>514</v>
      </c>
      <c r="F54" s="120" t="s">
        <v>515</v>
      </c>
      <c r="G54" s="120">
        <v>45.06</v>
      </c>
      <c r="H54" s="121" t="s">
        <v>516</v>
      </c>
      <c r="I54" s="122">
        <v>568</v>
      </c>
      <c r="J54" s="120">
        <v>532</v>
      </c>
      <c r="K54" s="120" t="s">
        <v>517</v>
      </c>
      <c r="L54" s="120" t="str">
        <f>IF(0.11*45.06=0," ",TEXT(,ROUND((0.11*45.06*5.32),2)))</f>
        <v>26,37</v>
      </c>
      <c r="M54" s="120" t="s">
        <v>518</v>
      </c>
      <c r="N54" s="120">
        <v>3.54</v>
      </c>
    </row>
    <row r="55" spans="1:14" ht="60" x14ac:dyDescent="0.2">
      <c r="A55" s="118">
        <v>32</v>
      </c>
      <c r="B55" s="119" t="s">
        <v>519</v>
      </c>
      <c r="C55" s="119" t="s">
        <v>520</v>
      </c>
      <c r="D55" s="118">
        <v>11</v>
      </c>
      <c r="E55" s="120">
        <v>11.4</v>
      </c>
      <c r="F55" s="120"/>
      <c r="G55" s="120">
        <v>11.4</v>
      </c>
      <c r="H55" s="121" t="s">
        <v>521</v>
      </c>
      <c r="I55" s="122">
        <v>436</v>
      </c>
      <c r="J55" s="120"/>
      <c r="K55" s="120"/>
      <c r="L55" s="120" t="str">
        <f>IF(11*11.4=0," ",TEXT(,ROUND((11*11.4*3.477),2)))</f>
        <v>436,02</v>
      </c>
      <c r="M55" s="120"/>
      <c r="N55" s="120"/>
    </row>
    <row r="56" spans="1:14" ht="60" x14ac:dyDescent="0.2">
      <c r="A56" s="118">
        <v>33</v>
      </c>
      <c r="B56" s="119" t="s">
        <v>522</v>
      </c>
      <c r="C56" s="119" t="s">
        <v>523</v>
      </c>
      <c r="D56" s="118">
        <v>0.3</v>
      </c>
      <c r="E56" s="120" t="s">
        <v>524</v>
      </c>
      <c r="F56" s="120" t="s">
        <v>525</v>
      </c>
      <c r="G56" s="120"/>
      <c r="H56" s="121" t="s">
        <v>526</v>
      </c>
      <c r="I56" s="122">
        <v>1413</v>
      </c>
      <c r="J56" s="120">
        <v>654</v>
      </c>
      <c r="K56" s="120" t="s">
        <v>527</v>
      </c>
      <c r="L56" s="120" t="str">
        <f>IF(0.3*0=0," ",TEXT(,ROUND((0.3*0*1),2)))</f>
        <v xml:space="preserve"> </v>
      </c>
      <c r="M56" s="120" t="s">
        <v>528</v>
      </c>
      <c r="N56" s="120" t="s">
        <v>529</v>
      </c>
    </row>
    <row r="57" spans="1:14" ht="17.850000000000001" customHeight="1" x14ac:dyDescent="0.2">
      <c r="A57" s="116" t="s">
        <v>530</v>
      </c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</row>
    <row r="58" spans="1:14" ht="48" x14ac:dyDescent="0.2">
      <c r="A58" s="118">
        <v>34</v>
      </c>
      <c r="B58" s="119" t="s">
        <v>363</v>
      </c>
      <c r="C58" s="119" t="s">
        <v>364</v>
      </c>
      <c r="D58" s="118">
        <v>0.29599999999999999</v>
      </c>
      <c r="E58" s="120" t="s">
        <v>365</v>
      </c>
      <c r="F58" s="120"/>
      <c r="G58" s="120"/>
      <c r="H58" s="121" t="s">
        <v>366</v>
      </c>
      <c r="I58" s="122">
        <v>35</v>
      </c>
      <c r="J58" s="120">
        <v>35</v>
      </c>
      <c r="K58" s="120"/>
      <c r="L58" s="120" t="str">
        <f>IF(0.296*0=0," ",TEXT(,ROUND((0.296*0*1),2)))</f>
        <v xml:space="preserve"> </v>
      </c>
      <c r="M58" s="120">
        <v>0.9</v>
      </c>
      <c r="N58" s="120">
        <v>0.27</v>
      </c>
    </row>
    <row r="59" spans="1:14" ht="84" x14ac:dyDescent="0.2">
      <c r="A59" s="118">
        <v>35</v>
      </c>
      <c r="B59" s="119" t="s">
        <v>531</v>
      </c>
      <c r="C59" s="119" t="s">
        <v>532</v>
      </c>
      <c r="D59" s="118">
        <v>0.19500000000000001</v>
      </c>
      <c r="E59" s="120" t="s">
        <v>533</v>
      </c>
      <c r="F59" s="120" t="s">
        <v>534</v>
      </c>
      <c r="G59" s="120">
        <v>1182.02</v>
      </c>
      <c r="H59" s="121" t="s">
        <v>401</v>
      </c>
      <c r="I59" s="122">
        <v>3646</v>
      </c>
      <c r="J59" s="120">
        <v>2387</v>
      </c>
      <c r="K59" s="120" t="s">
        <v>535</v>
      </c>
      <c r="L59" s="120" t="str">
        <f>IF(0.195*1182.02=0," ",TEXT(,ROUND((0.195*1182.02*4.47),2)))</f>
        <v>1030,31</v>
      </c>
      <c r="M59" s="120" t="s">
        <v>536</v>
      </c>
      <c r="N59" s="120" t="s">
        <v>537</v>
      </c>
    </row>
    <row r="60" spans="1:14" ht="84" x14ac:dyDescent="0.2">
      <c r="A60" s="118">
        <v>36</v>
      </c>
      <c r="B60" s="119" t="s">
        <v>531</v>
      </c>
      <c r="C60" s="119" t="s">
        <v>532</v>
      </c>
      <c r="D60" s="118">
        <v>0.1008</v>
      </c>
      <c r="E60" s="120" t="s">
        <v>533</v>
      </c>
      <c r="F60" s="120" t="s">
        <v>534</v>
      </c>
      <c r="G60" s="120">
        <v>1182.02</v>
      </c>
      <c r="H60" s="121" t="s">
        <v>401</v>
      </c>
      <c r="I60" s="122">
        <v>1885</v>
      </c>
      <c r="J60" s="120">
        <v>1234</v>
      </c>
      <c r="K60" s="120" t="s">
        <v>538</v>
      </c>
      <c r="L60" s="120" t="str">
        <f>IF(0.1008*1182.02=0," ",TEXT(,ROUND((0.1008*1182.02*4.47),2)))</f>
        <v>532,59</v>
      </c>
      <c r="M60" s="120" t="s">
        <v>536</v>
      </c>
      <c r="N60" s="120" t="s">
        <v>539</v>
      </c>
    </row>
    <row r="61" spans="1:14" ht="56.25" x14ac:dyDescent="0.2">
      <c r="A61" s="118">
        <v>37</v>
      </c>
      <c r="B61" s="119" t="s">
        <v>540</v>
      </c>
      <c r="C61" s="119" t="s">
        <v>541</v>
      </c>
      <c r="D61" s="118">
        <v>0.29599999999999999</v>
      </c>
      <c r="E61" s="120" t="s">
        <v>542</v>
      </c>
      <c r="F61" s="120" t="s">
        <v>543</v>
      </c>
      <c r="G61" s="120">
        <v>13275.18</v>
      </c>
      <c r="H61" s="121" t="s">
        <v>544</v>
      </c>
      <c r="I61" s="122">
        <v>9293</v>
      </c>
      <c r="J61" s="120">
        <v>3235</v>
      </c>
      <c r="K61" s="120" t="s">
        <v>545</v>
      </c>
      <c r="L61" s="120" t="str">
        <f>IF(0.296*13275.18=0," ",TEXT(,ROUND((0.296*13275.18*1.51),2)))</f>
        <v>5933,47</v>
      </c>
      <c r="M61" s="120" t="s">
        <v>546</v>
      </c>
      <c r="N61" s="120" t="s">
        <v>547</v>
      </c>
    </row>
    <row r="62" spans="1:14" ht="56.25" x14ac:dyDescent="0.2">
      <c r="A62" s="118">
        <v>38</v>
      </c>
      <c r="B62" s="119" t="s">
        <v>548</v>
      </c>
      <c r="C62" s="119" t="s">
        <v>549</v>
      </c>
      <c r="D62" s="118">
        <v>0.29599999999999999</v>
      </c>
      <c r="E62" s="120" t="s">
        <v>550</v>
      </c>
      <c r="F62" s="120" t="s">
        <v>551</v>
      </c>
      <c r="G62" s="120">
        <v>1591.79</v>
      </c>
      <c r="H62" s="121" t="s">
        <v>552</v>
      </c>
      <c r="I62" s="122">
        <v>2926</v>
      </c>
      <c r="J62" s="120">
        <v>2080</v>
      </c>
      <c r="K62" s="120" t="s">
        <v>553</v>
      </c>
      <c r="L62" s="120" t="str">
        <f>IF(0.296*1591.79=0," ",TEXT(,ROUND((0.296*1591.79*1.74),2)))</f>
        <v>819,84</v>
      </c>
      <c r="M62" s="120" t="s">
        <v>554</v>
      </c>
      <c r="N62" s="120">
        <v>15.1</v>
      </c>
    </row>
    <row r="63" spans="1:14" ht="17.850000000000001" customHeight="1" x14ac:dyDescent="0.2">
      <c r="A63" s="116" t="s">
        <v>555</v>
      </c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</row>
    <row r="64" spans="1:14" ht="48" x14ac:dyDescent="0.2">
      <c r="A64" s="118">
        <v>39</v>
      </c>
      <c r="B64" s="119" t="s">
        <v>556</v>
      </c>
      <c r="C64" s="119" t="s">
        <v>557</v>
      </c>
      <c r="D64" s="118">
        <v>0.15</v>
      </c>
      <c r="E64" s="120" t="s">
        <v>558</v>
      </c>
      <c r="F64" s="120" t="s">
        <v>559</v>
      </c>
      <c r="G64" s="120"/>
      <c r="H64" s="121" t="s">
        <v>560</v>
      </c>
      <c r="I64" s="122">
        <v>1250</v>
      </c>
      <c r="J64" s="120">
        <v>1241</v>
      </c>
      <c r="K64" s="120" t="s">
        <v>561</v>
      </c>
      <c r="L64" s="120" t="str">
        <f>IF(0.15*0=0," ",TEXT(,ROUND((0.15*0*1),2)))</f>
        <v xml:space="preserve"> </v>
      </c>
      <c r="M64" s="120" t="s">
        <v>562</v>
      </c>
      <c r="N64" s="120" t="s">
        <v>563</v>
      </c>
    </row>
    <row r="65" spans="1:14" ht="48" x14ac:dyDescent="0.2">
      <c r="A65" s="118">
        <v>40</v>
      </c>
      <c r="B65" s="119" t="s">
        <v>564</v>
      </c>
      <c r="C65" s="119" t="s">
        <v>565</v>
      </c>
      <c r="D65" s="118">
        <v>0.15</v>
      </c>
      <c r="E65" s="120" t="s">
        <v>566</v>
      </c>
      <c r="F65" s="120" t="s">
        <v>567</v>
      </c>
      <c r="G65" s="120"/>
      <c r="H65" s="121" t="s">
        <v>560</v>
      </c>
      <c r="I65" s="122">
        <v>733</v>
      </c>
      <c r="J65" s="120">
        <v>725</v>
      </c>
      <c r="K65" s="120" t="s">
        <v>568</v>
      </c>
      <c r="L65" s="120" t="str">
        <f>IF(0.15*0=0," ",TEXT(,ROUND((0.15*0*1),2)))</f>
        <v xml:space="preserve"> </v>
      </c>
      <c r="M65" s="120" t="s">
        <v>569</v>
      </c>
      <c r="N65" s="120" t="s">
        <v>570</v>
      </c>
    </row>
    <row r="66" spans="1:14" ht="72" x14ac:dyDescent="0.2">
      <c r="A66" s="118">
        <v>41</v>
      </c>
      <c r="B66" s="119" t="s">
        <v>571</v>
      </c>
      <c r="C66" s="119" t="s">
        <v>572</v>
      </c>
      <c r="D66" s="118">
        <v>0.63</v>
      </c>
      <c r="E66" s="120" t="s">
        <v>573</v>
      </c>
      <c r="F66" s="120" t="s">
        <v>574</v>
      </c>
      <c r="G66" s="120"/>
      <c r="H66" s="121" t="s">
        <v>575</v>
      </c>
      <c r="I66" s="122">
        <v>6942</v>
      </c>
      <c r="J66" s="120">
        <v>6899</v>
      </c>
      <c r="K66" s="120" t="s">
        <v>576</v>
      </c>
      <c r="L66" s="120" t="str">
        <f>IF(0.63*0=0," ",TEXT(,ROUND((0.63*0*1),2)))</f>
        <v xml:space="preserve"> </v>
      </c>
      <c r="M66" s="120" t="s">
        <v>577</v>
      </c>
      <c r="N66" s="120" t="s">
        <v>578</v>
      </c>
    </row>
    <row r="67" spans="1:14" ht="60" x14ac:dyDescent="0.2">
      <c r="A67" s="118">
        <v>42</v>
      </c>
      <c r="B67" s="119" t="s">
        <v>579</v>
      </c>
      <c r="C67" s="119" t="s">
        <v>580</v>
      </c>
      <c r="D67" s="118">
        <v>0.57820000000000005</v>
      </c>
      <c r="E67" s="120" t="s">
        <v>581</v>
      </c>
      <c r="F67" s="120" t="s">
        <v>582</v>
      </c>
      <c r="G67" s="120">
        <v>61.86</v>
      </c>
      <c r="H67" s="121" t="s">
        <v>583</v>
      </c>
      <c r="I67" s="122">
        <v>2644</v>
      </c>
      <c r="J67" s="120">
        <v>2527</v>
      </c>
      <c r="K67" s="120" t="s">
        <v>584</v>
      </c>
      <c r="L67" s="120" t="str">
        <f>IF(0.5782*61.86=0," ",TEXT(,ROUND((0.5782*61.86*2.27),2)))</f>
        <v>81,19</v>
      </c>
      <c r="M67" s="120" t="s">
        <v>585</v>
      </c>
      <c r="N67" s="120" t="s">
        <v>586</v>
      </c>
    </row>
    <row r="68" spans="1:14" ht="48" x14ac:dyDescent="0.2">
      <c r="A68" s="118">
        <v>43</v>
      </c>
      <c r="B68" s="119" t="s">
        <v>587</v>
      </c>
      <c r="C68" s="119" t="s">
        <v>588</v>
      </c>
      <c r="D68" s="118">
        <v>0.11</v>
      </c>
      <c r="E68" s="120" t="s">
        <v>589</v>
      </c>
      <c r="F68" s="120" t="s">
        <v>567</v>
      </c>
      <c r="G68" s="120"/>
      <c r="H68" s="121" t="s">
        <v>560</v>
      </c>
      <c r="I68" s="122">
        <v>737</v>
      </c>
      <c r="J68" s="120">
        <v>731</v>
      </c>
      <c r="K68" s="120" t="s">
        <v>590</v>
      </c>
      <c r="L68" s="120" t="str">
        <f>IF(0.11*0=0," ",TEXT(,ROUND((0.11*0*1),2)))</f>
        <v xml:space="preserve"> </v>
      </c>
      <c r="M68" s="120" t="s">
        <v>591</v>
      </c>
      <c r="N68" s="120" t="s">
        <v>592</v>
      </c>
    </row>
    <row r="69" spans="1:14" ht="48" x14ac:dyDescent="0.2">
      <c r="A69" s="118">
        <v>44</v>
      </c>
      <c r="B69" s="119" t="s">
        <v>593</v>
      </c>
      <c r="C69" s="119" t="s">
        <v>594</v>
      </c>
      <c r="D69" s="118">
        <v>0.11</v>
      </c>
      <c r="E69" s="120" t="s">
        <v>595</v>
      </c>
      <c r="F69" s="120" t="s">
        <v>596</v>
      </c>
      <c r="G69" s="120"/>
      <c r="H69" s="121" t="s">
        <v>597</v>
      </c>
      <c r="I69" s="122">
        <v>525</v>
      </c>
      <c r="J69" s="120">
        <v>523</v>
      </c>
      <c r="K69" s="120" t="s">
        <v>468</v>
      </c>
      <c r="L69" s="120" t="str">
        <f>IF(0.11*0=0," ",TEXT(,ROUND((0.11*0*1),2)))</f>
        <v xml:space="preserve"> </v>
      </c>
      <c r="M69" s="120" t="s">
        <v>598</v>
      </c>
      <c r="N69" s="120" t="s">
        <v>599</v>
      </c>
    </row>
    <row r="70" spans="1:14" ht="72" x14ac:dyDescent="0.2">
      <c r="A70" s="118">
        <v>45</v>
      </c>
      <c r="B70" s="119" t="s">
        <v>600</v>
      </c>
      <c r="C70" s="119" t="s">
        <v>601</v>
      </c>
      <c r="D70" s="118">
        <v>0.09</v>
      </c>
      <c r="E70" s="120" t="s">
        <v>602</v>
      </c>
      <c r="F70" s="120" t="s">
        <v>603</v>
      </c>
      <c r="G70" s="120"/>
      <c r="H70" s="121" t="s">
        <v>575</v>
      </c>
      <c r="I70" s="122">
        <v>798</v>
      </c>
      <c r="J70" s="120">
        <v>795</v>
      </c>
      <c r="K70" s="120" t="s">
        <v>604</v>
      </c>
      <c r="L70" s="120" t="str">
        <f>IF(0.09*0=0," ",TEXT(,ROUND((0.09*0*1),2)))</f>
        <v xml:space="preserve"> </v>
      </c>
      <c r="M70" s="120" t="s">
        <v>605</v>
      </c>
      <c r="N70" s="120" t="s">
        <v>606</v>
      </c>
    </row>
    <row r="71" spans="1:14" ht="45" x14ac:dyDescent="0.2">
      <c r="A71" s="118">
        <v>46</v>
      </c>
      <c r="B71" s="119" t="s">
        <v>607</v>
      </c>
      <c r="C71" s="119" t="s">
        <v>608</v>
      </c>
      <c r="D71" s="118">
        <v>0.67</v>
      </c>
      <c r="E71" s="120" t="s">
        <v>609</v>
      </c>
      <c r="F71" s="120">
        <v>26.51</v>
      </c>
      <c r="G71" s="120">
        <v>1278.05</v>
      </c>
      <c r="H71" s="121" t="s">
        <v>610</v>
      </c>
      <c r="I71" s="122">
        <v>8502</v>
      </c>
      <c r="J71" s="120">
        <v>4534</v>
      </c>
      <c r="K71" s="120">
        <v>132</v>
      </c>
      <c r="L71" s="120" t="str">
        <f>IF(0.67*1278.05=0," ",TEXT(,ROUND((0.67*1278.05*4.48),2)))</f>
        <v>3836,19</v>
      </c>
      <c r="M71" s="120">
        <v>55.16</v>
      </c>
      <c r="N71" s="120">
        <v>36.96</v>
      </c>
    </row>
    <row r="72" spans="1:14" ht="96" x14ac:dyDescent="0.2">
      <c r="A72" s="118">
        <v>47</v>
      </c>
      <c r="B72" s="119" t="s">
        <v>611</v>
      </c>
      <c r="C72" s="119" t="s">
        <v>612</v>
      </c>
      <c r="D72" s="118">
        <v>0.63</v>
      </c>
      <c r="E72" s="120" t="s">
        <v>613</v>
      </c>
      <c r="F72" s="120" t="s">
        <v>614</v>
      </c>
      <c r="G72" s="120">
        <v>9353</v>
      </c>
      <c r="H72" s="121" t="s">
        <v>615</v>
      </c>
      <c r="I72" s="122">
        <v>35488</v>
      </c>
      <c r="J72" s="120">
        <v>11707</v>
      </c>
      <c r="K72" s="120" t="s">
        <v>616</v>
      </c>
      <c r="L72" s="120" t="str">
        <f>IF(0.63*9353=0," ",TEXT(,ROUND((0.63*9353*2.28),2)))</f>
        <v>13434,65</v>
      </c>
      <c r="M72" s="120" t="s">
        <v>617</v>
      </c>
      <c r="N72" s="120" t="s">
        <v>618</v>
      </c>
    </row>
    <row r="73" spans="1:14" ht="96" x14ac:dyDescent="0.2">
      <c r="A73" s="118">
        <v>48</v>
      </c>
      <c r="B73" s="119" t="s">
        <v>619</v>
      </c>
      <c r="C73" s="119" t="s">
        <v>620</v>
      </c>
      <c r="D73" s="118">
        <v>0.09</v>
      </c>
      <c r="E73" s="120" t="s">
        <v>621</v>
      </c>
      <c r="F73" s="120" t="s">
        <v>622</v>
      </c>
      <c r="G73" s="120">
        <v>2927.53</v>
      </c>
      <c r="H73" s="121" t="s">
        <v>615</v>
      </c>
      <c r="I73" s="122">
        <v>3807</v>
      </c>
      <c r="J73" s="120">
        <v>1838</v>
      </c>
      <c r="K73" s="120" t="s">
        <v>623</v>
      </c>
      <c r="L73" s="120" t="str">
        <f>IF(0.09*2927.53=0," ",TEXT(,ROUND((0.09*2927.53*2.28),2)))</f>
        <v>600,73</v>
      </c>
      <c r="M73" s="120" t="s">
        <v>624</v>
      </c>
      <c r="N73" s="120" t="s">
        <v>625</v>
      </c>
    </row>
    <row r="74" spans="1:14" ht="48" x14ac:dyDescent="0.2">
      <c r="A74" s="118">
        <v>49</v>
      </c>
      <c r="B74" s="119" t="s">
        <v>626</v>
      </c>
      <c r="C74" s="119" t="s">
        <v>627</v>
      </c>
      <c r="D74" s="118">
        <v>1.5</v>
      </c>
      <c r="E74" s="120" t="s">
        <v>628</v>
      </c>
      <c r="F74" s="120" t="s">
        <v>629</v>
      </c>
      <c r="G74" s="120">
        <v>889.88</v>
      </c>
      <c r="H74" s="121" t="s">
        <v>630</v>
      </c>
      <c r="I74" s="122">
        <v>10139</v>
      </c>
      <c r="J74" s="120">
        <v>6704</v>
      </c>
      <c r="K74" s="120" t="s">
        <v>631</v>
      </c>
      <c r="L74" s="120" t="str">
        <f>IF(1.5*889.88=0," ",TEXT(,ROUND((1.5*889.88*2.09),2)))</f>
        <v>2789,77</v>
      </c>
      <c r="M74" s="120" t="s">
        <v>632</v>
      </c>
      <c r="N74" s="120" t="s">
        <v>633</v>
      </c>
    </row>
    <row r="75" spans="1:14" ht="36" x14ac:dyDescent="0.2">
      <c r="A75" s="118">
        <v>50</v>
      </c>
      <c r="B75" s="119" t="s">
        <v>634</v>
      </c>
      <c r="C75" s="119" t="s">
        <v>635</v>
      </c>
      <c r="D75" s="118">
        <v>15</v>
      </c>
      <c r="E75" s="120">
        <v>391.12</v>
      </c>
      <c r="F75" s="120"/>
      <c r="G75" s="120">
        <v>391.12</v>
      </c>
      <c r="H75" s="121" t="s">
        <v>636</v>
      </c>
      <c r="I75" s="122">
        <v>33851</v>
      </c>
      <c r="J75" s="120"/>
      <c r="K75" s="120"/>
      <c r="L75" s="120" t="str">
        <f>IF(15*391.12=0," ",TEXT(,ROUND((15*391.12*5.77),2)))</f>
        <v>33851,44</v>
      </c>
      <c r="M75" s="120"/>
      <c r="N75" s="120"/>
    </row>
    <row r="76" spans="1:14" ht="96" x14ac:dyDescent="0.2">
      <c r="A76" s="118">
        <v>51</v>
      </c>
      <c r="B76" s="119" t="s">
        <v>637</v>
      </c>
      <c r="C76" s="119" t="s">
        <v>638</v>
      </c>
      <c r="D76" s="118">
        <v>0.4</v>
      </c>
      <c r="E76" s="120" t="s">
        <v>639</v>
      </c>
      <c r="F76" s="120" t="s">
        <v>640</v>
      </c>
      <c r="G76" s="120">
        <v>401.21</v>
      </c>
      <c r="H76" s="121" t="s">
        <v>615</v>
      </c>
      <c r="I76" s="122">
        <v>17829</v>
      </c>
      <c r="J76" s="120">
        <v>11433</v>
      </c>
      <c r="K76" s="120" t="s">
        <v>641</v>
      </c>
      <c r="L76" s="120" t="str">
        <f>IF(0.4*401.21=0," ",TEXT(,ROUND((0.4*401.21*2.28),2)))</f>
        <v>365,9</v>
      </c>
      <c r="M76" s="120" t="s">
        <v>642</v>
      </c>
      <c r="N76" s="120" t="s">
        <v>643</v>
      </c>
    </row>
    <row r="77" spans="1:14" ht="48" x14ac:dyDescent="0.2">
      <c r="A77" s="118">
        <v>52</v>
      </c>
      <c r="B77" s="119" t="s">
        <v>644</v>
      </c>
      <c r="C77" s="119" t="s">
        <v>645</v>
      </c>
      <c r="D77" s="118">
        <v>37</v>
      </c>
      <c r="E77" s="120">
        <v>79.06</v>
      </c>
      <c r="F77" s="120"/>
      <c r="G77" s="120">
        <v>79.06</v>
      </c>
      <c r="H77" s="121" t="s">
        <v>646</v>
      </c>
      <c r="I77" s="122">
        <v>5836</v>
      </c>
      <c r="J77" s="120"/>
      <c r="K77" s="120"/>
      <c r="L77" s="120" t="str">
        <f>IF(37*79.06=0," ",TEXT(,ROUND((37*79.06*1.995),2)))</f>
        <v>5835,81</v>
      </c>
      <c r="M77" s="120"/>
      <c r="N77" s="120"/>
    </row>
    <row r="78" spans="1:14" ht="60" x14ac:dyDescent="0.2">
      <c r="A78" s="118">
        <v>53</v>
      </c>
      <c r="B78" s="119" t="s">
        <v>647</v>
      </c>
      <c r="C78" s="119" t="s">
        <v>648</v>
      </c>
      <c r="D78" s="118">
        <v>1.1000000000000001</v>
      </c>
      <c r="E78" s="120" t="s">
        <v>649</v>
      </c>
      <c r="F78" s="120" t="s">
        <v>650</v>
      </c>
      <c r="G78" s="120">
        <v>94.05</v>
      </c>
      <c r="H78" s="121" t="s">
        <v>651</v>
      </c>
      <c r="I78" s="122">
        <v>3081</v>
      </c>
      <c r="J78" s="120">
        <v>2655</v>
      </c>
      <c r="K78" s="120" t="s">
        <v>652</v>
      </c>
      <c r="L78" s="120" t="str">
        <f>IF(1.1*94.05=0," ",TEXT(,ROUND((1.1*94.05*2.16),2)))</f>
        <v>223,46</v>
      </c>
      <c r="M78" s="120" t="s">
        <v>653</v>
      </c>
      <c r="N78" s="120" t="s">
        <v>654</v>
      </c>
    </row>
    <row r="79" spans="1:14" ht="123.75" x14ac:dyDescent="0.2">
      <c r="A79" s="118">
        <v>54</v>
      </c>
      <c r="B79" s="119" t="s">
        <v>655</v>
      </c>
      <c r="C79" s="119" t="s">
        <v>656</v>
      </c>
      <c r="D79" s="118">
        <v>11</v>
      </c>
      <c r="E79" s="120">
        <v>268.19</v>
      </c>
      <c r="F79" s="120"/>
      <c r="G79" s="120">
        <v>268.19</v>
      </c>
      <c r="H79" s="121" t="s">
        <v>657</v>
      </c>
      <c r="I79" s="122">
        <v>7983</v>
      </c>
      <c r="J79" s="120"/>
      <c r="K79" s="120"/>
      <c r="L79" s="120" t="str">
        <f>IF(11*268.19=0," ",TEXT(,ROUND((11*268.19*2.706),2)))</f>
        <v>7982,94</v>
      </c>
      <c r="M79" s="120"/>
      <c r="N79" s="120"/>
    </row>
    <row r="80" spans="1:14" ht="45" x14ac:dyDescent="0.2">
      <c r="A80" s="118">
        <v>55</v>
      </c>
      <c r="B80" s="119" t="s">
        <v>658</v>
      </c>
      <c r="C80" s="119" t="s">
        <v>659</v>
      </c>
      <c r="D80" s="118">
        <v>1.1000000000000001</v>
      </c>
      <c r="E80" s="120" t="s">
        <v>660</v>
      </c>
      <c r="F80" s="120">
        <v>0.15</v>
      </c>
      <c r="G80" s="120">
        <v>13.42</v>
      </c>
      <c r="H80" s="121" t="s">
        <v>661</v>
      </c>
      <c r="I80" s="122">
        <v>1151</v>
      </c>
      <c r="J80" s="120">
        <v>1124</v>
      </c>
      <c r="K80" s="120">
        <v>1</v>
      </c>
      <c r="L80" s="120" t="str">
        <f>IF(1.1*13.42=0," ",TEXT(,ROUND((1.1*13.42*1.8),2)))</f>
        <v>26,57</v>
      </c>
      <c r="M80" s="120">
        <v>7</v>
      </c>
      <c r="N80" s="120">
        <v>7.7</v>
      </c>
    </row>
    <row r="81" spans="1:14" ht="72" x14ac:dyDescent="0.2">
      <c r="A81" s="118">
        <v>56</v>
      </c>
      <c r="B81" s="119" t="s">
        <v>662</v>
      </c>
      <c r="C81" s="119" t="s">
        <v>663</v>
      </c>
      <c r="D81" s="118">
        <v>11</v>
      </c>
      <c r="E81" s="120">
        <v>158.16</v>
      </c>
      <c r="F81" s="120"/>
      <c r="G81" s="120">
        <v>158.16</v>
      </c>
      <c r="H81" s="121" t="s">
        <v>664</v>
      </c>
      <c r="I81" s="122">
        <v>4017</v>
      </c>
      <c r="J81" s="120"/>
      <c r="K81" s="120"/>
      <c r="L81" s="120" t="str">
        <f>IF(11*158.16=0," ",TEXT(,ROUND((11*158.16*2.309),2)))</f>
        <v>4017,11</v>
      </c>
      <c r="M81" s="120"/>
      <c r="N81" s="120"/>
    </row>
    <row r="82" spans="1:14" ht="112.5" x14ac:dyDescent="0.2">
      <c r="A82" s="118">
        <v>57</v>
      </c>
      <c r="B82" s="119" t="s">
        <v>665</v>
      </c>
      <c r="C82" s="119" t="s">
        <v>666</v>
      </c>
      <c r="D82" s="118">
        <v>0.6</v>
      </c>
      <c r="E82" s="120" t="s">
        <v>667</v>
      </c>
      <c r="F82" s="120">
        <v>27.3</v>
      </c>
      <c r="G82" s="120">
        <v>3656.69</v>
      </c>
      <c r="H82" s="121" t="s">
        <v>668</v>
      </c>
      <c r="I82" s="122">
        <v>3294</v>
      </c>
      <c r="J82" s="120">
        <v>317</v>
      </c>
      <c r="K82" s="120">
        <v>124</v>
      </c>
      <c r="L82" s="120" t="str">
        <f>IF(0.6*3656.69=0," ",TEXT(,ROUND((0.6*3656.69*1.3),2)))</f>
        <v>2852,22</v>
      </c>
      <c r="M82" s="120">
        <v>3.52</v>
      </c>
      <c r="N82" s="120">
        <v>2.11</v>
      </c>
    </row>
    <row r="83" spans="1:14" ht="48" x14ac:dyDescent="0.2">
      <c r="A83" s="123">
        <v>58</v>
      </c>
      <c r="B83" s="124" t="s">
        <v>669</v>
      </c>
      <c r="C83" s="124" t="s">
        <v>670</v>
      </c>
      <c r="D83" s="123">
        <v>0.02</v>
      </c>
      <c r="E83" s="125" t="s">
        <v>671</v>
      </c>
      <c r="F83" s="125">
        <v>1.06</v>
      </c>
      <c r="G83" s="125">
        <v>1256.3900000000001</v>
      </c>
      <c r="H83" s="126" t="s">
        <v>672</v>
      </c>
      <c r="I83" s="127">
        <v>319</v>
      </c>
      <c r="J83" s="125">
        <v>171</v>
      </c>
      <c r="K83" s="125"/>
      <c r="L83" s="125" t="str">
        <f>IF(0.02*1256.39=0," ",TEXT(,ROUND((0.02*1256.39*5.88),2)))</f>
        <v>147,75</v>
      </c>
      <c r="M83" s="125">
        <v>64.45</v>
      </c>
      <c r="N83" s="125">
        <v>1.29</v>
      </c>
    </row>
    <row r="84" spans="1:14" x14ac:dyDescent="0.2">
      <c r="A84" s="128" t="s">
        <v>673</v>
      </c>
      <c r="B84" s="114"/>
      <c r="C84" s="114"/>
      <c r="D84" s="114"/>
      <c r="E84" s="114"/>
      <c r="F84" s="114"/>
      <c r="G84" s="114"/>
      <c r="H84" s="114"/>
      <c r="I84" s="122"/>
      <c r="J84" s="120"/>
      <c r="K84" s="120"/>
      <c r="L84" s="120"/>
      <c r="M84" s="120"/>
      <c r="N84" s="120"/>
    </row>
    <row r="85" spans="1:14" ht="60" x14ac:dyDescent="0.2">
      <c r="A85" s="129" t="s">
        <v>674</v>
      </c>
      <c r="B85" s="130"/>
      <c r="C85" s="130"/>
      <c r="D85" s="130"/>
      <c r="E85" s="130"/>
      <c r="F85" s="130"/>
      <c r="G85" s="130"/>
      <c r="H85" s="130"/>
      <c r="I85" s="122" t="s">
        <v>675</v>
      </c>
      <c r="J85" s="120" t="s">
        <v>675</v>
      </c>
      <c r="K85" s="120"/>
      <c r="L85" s="120"/>
      <c r="M85" s="120"/>
      <c r="N85" s="120"/>
    </row>
    <row r="86" spans="1:14" ht="60" x14ac:dyDescent="0.2">
      <c r="A86" s="129" t="s">
        <v>676</v>
      </c>
      <c r="B86" s="130"/>
      <c r="C86" s="130"/>
      <c r="D86" s="130"/>
      <c r="E86" s="130"/>
      <c r="F86" s="130"/>
      <c r="G86" s="130"/>
      <c r="H86" s="130"/>
      <c r="I86" s="122" t="s">
        <v>675</v>
      </c>
      <c r="J86" s="120" t="s">
        <v>675</v>
      </c>
      <c r="K86" s="120"/>
      <c r="L86" s="120"/>
      <c r="M86" s="120"/>
      <c r="N86" s="120"/>
    </row>
    <row r="87" spans="1:14" ht="24" x14ac:dyDescent="0.2">
      <c r="A87" s="129" t="s">
        <v>677</v>
      </c>
      <c r="B87" s="130"/>
      <c r="C87" s="130"/>
      <c r="D87" s="130"/>
      <c r="E87" s="130"/>
      <c r="F87" s="130"/>
      <c r="G87" s="130"/>
      <c r="H87" s="130"/>
      <c r="I87" s="122">
        <v>585502</v>
      </c>
      <c r="J87" s="120">
        <v>259342</v>
      </c>
      <c r="K87" s="120" t="s">
        <v>678</v>
      </c>
      <c r="L87" s="120">
        <v>280970</v>
      </c>
      <c r="M87" s="120"/>
      <c r="N87" s="120" t="s">
        <v>679</v>
      </c>
    </row>
    <row r="88" spans="1:14" x14ac:dyDescent="0.2">
      <c r="A88" s="129" t="s">
        <v>680</v>
      </c>
      <c r="B88" s="130"/>
      <c r="C88" s="130"/>
      <c r="D88" s="130"/>
      <c r="E88" s="130"/>
      <c r="F88" s="130"/>
      <c r="G88" s="130"/>
      <c r="H88" s="130"/>
      <c r="I88" s="122">
        <v>243587</v>
      </c>
      <c r="J88" s="120"/>
      <c r="K88" s="120"/>
      <c r="L88" s="120"/>
      <c r="M88" s="120"/>
      <c r="N88" s="120"/>
    </row>
    <row r="89" spans="1:14" x14ac:dyDescent="0.2">
      <c r="A89" s="129" t="s">
        <v>681</v>
      </c>
      <c r="B89" s="130"/>
      <c r="C89" s="130"/>
      <c r="D89" s="130"/>
      <c r="E89" s="130"/>
      <c r="F89" s="130"/>
      <c r="G89" s="130"/>
      <c r="H89" s="130"/>
      <c r="I89" s="122">
        <v>120816</v>
      </c>
      <c r="J89" s="120"/>
      <c r="K89" s="120"/>
      <c r="L89" s="120"/>
      <c r="M89" s="120"/>
      <c r="N89" s="120"/>
    </row>
    <row r="90" spans="1:14" x14ac:dyDescent="0.2">
      <c r="A90" s="128" t="s">
        <v>682</v>
      </c>
      <c r="B90" s="114"/>
      <c r="C90" s="114"/>
      <c r="D90" s="114"/>
      <c r="E90" s="114"/>
      <c r="F90" s="114"/>
      <c r="G90" s="114"/>
      <c r="H90" s="114"/>
      <c r="I90" s="122"/>
      <c r="J90" s="120"/>
      <c r="K90" s="120"/>
      <c r="L90" s="120"/>
      <c r="M90" s="120"/>
      <c r="N90" s="120"/>
    </row>
    <row r="91" spans="1:14" ht="36" x14ac:dyDescent="0.2">
      <c r="A91" s="129" t="s">
        <v>683</v>
      </c>
      <c r="B91" s="130"/>
      <c r="C91" s="130"/>
      <c r="D91" s="130"/>
      <c r="E91" s="130"/>
      <c r="F91" s="130"/>
      <c r="G91" s="130"/>
      <c r="H91" s="130"/>
      <c r="I91" s="122">
        <v>896257</v>
      </c>
      <c r="J91" s="120"/>
      <c r="K91" s="120"/>
      <c r="L91" s="120"/>
      <c r="M91" s="120"/>
      <c r="N91" s="120" t="s">
        <v>684</v>
      </c>
    </row>
    <row r="92" spans="1:14" ht="24" x14ac:dyDescent="0.2">
      <c r="A92" s="129" t="s">
        <v>685</v>
      </c>
      <c r="B92" s="130"/>
      <c r="C92" s="130"/>
      <c r="D92" s="130"/>
      <c r="E92" s="130"/>
      <c r="F92" s="130"/>
      <c r="G92" s="130"/>
      <c r="H92" s="130"/>
      <c r="I92" s="122">
        <v>53648</v>
      </c>
      <c r="J92" s="120"/>
      <c r="K92" s="120"/>
      <c r="L92" s="120"/>
      <c r="M92" s="120"/>
      <c r="N92" s="120" t="s">
        <v>686</v>
      </c>
    </row>
    <row r="93" spans="1:14" ht="24" x14ac:dyDescent="0.2">
      <c r="A93" s="129" t="s">
        <v>687</v>
      </c>
      <c r="B93" s="130"/>
      <c r="C93" s="130"/>
      <c r="D93" s="130"/>
      <c r="E93" s="130"/>
      <c r="F93" s="130"/>
      <c r="G93" s="130"/>
      <c r="H93" s="130"/>
      <c r="I93" s="122">
        <v>949905</v>
      </c>
      <c r="J93" s="120"/>
      <c r="K93" s="120"/>
      <c r="L93" s="120"/>
      <c r="M93" s="120"/>
      <c r="N93" s="120" t="s">
        <v>679</v>
      </c>
    </row>
    <row r="94" spans="1:14" x14ac:dyDescent="0.2">
      <c r="A94" s="129" t="s">
        <v>688</v>
      </c>
      <c r="B94" s="130"/>
      <c r="C94" s="130"/>
      <c r="D94" s="130"/>
      <c r="E94" s="130"/>
      <c r="F94" s="130"/>
      <c r="G94" s="130"/>
      <c r="H94" s="130"/>
      <c r="I94" s="122"/>
      <c r="J94" s="120"/>
      <c r="K94" s="120"/>
      <c r="L94" s="120"/>
      <c r="M94" s="120"/>
      <c r="N94" s="120"/>
    </row>
    <row r="95" spans="1:14" x14ac:dyDescent="0.2">
      <c r="A95" s="129" t="s">
        <v>689</v>
      </c>
      <c r="B95" s="130"/>
      <c r="C95" s="130"/>
      <c r="D95" s="130"/>
      <c r="E95" s="130"/>
      <c r="F95" s="130"/>
      <c r="G95" s="130"/>
      <c r="H95" s="130"/>
      <c r="I95" s="122">
        <v>280970</v>
      </c>
      <c r="J95" s="120"/>
      <c r="K95" s="120"/>
      <c r="L95" s="120"/>
      <c r="M95" s="120"/>
      <c r="N95" s="120"/>
    </row>
    <row r="96" spans="1:14" x14ac:dyDescent="0.2">
      <c r="A96" s="129" t="s">
        <v>690</v>
      </c>
      <c r="B96" s="130"/>
      <c r="C96" s="130"/>
      <c r="D96" s="130"/>
      <c r="E96" s="130"/>
      <c r="F96" s="130"/>
      <c r="G96" s="130"/>
      <c r="H96" s="130"/>
      <c r="I96" s="122">
        <v>45190</v>
      </c>
      <c r="J96" s="120"/>
      <c r="K96" s="120"/>
      <c r="L96" s="120"/>
      <c r="M96" s="120"/>
      <c r="N96" s="120"/>
    </row>
    <row r="97" spans="1:14" x14ac:dyDescent="0.2">
      <c r="A97" s="129" t="s">
        <v>691</v>
      </c>
      <c r="B97" s="130"/>
      <c r="C97" s="130"/>
      <c r="D97" s="130"/>
      <c r="E97" s="130"/>
      <c r="F97" s="130"/>
      <c r="G97" s="130"/>
      <c r="H97" s="130"/>
      <c r="I97" s="122">
        <v>274476</v>
      </c>
      <c r="J97" s="120"/>
      <c r="K97" s="120"/>
      <c r="L97" s="120"/>
      <c r="M97" s="120"/>
      <c r="N97" s="120"/>
    </row>
    <row r="98" spans="1:14" x14ac:dyDescent="0.2">
      <c r="A98" s="129" t="s">
        <v>692</v>
      </c>
      <c r="B98" s="130"/>
      <c r="C98" s="130"/>
      <c r="D98" s="130"/>
      <c r="E98" s="130"/>
      <c r="F98" s="130"/>
      <c r="G98" s="130"/>
      <c r="H98" s="130"/>
      <c r="I98" s="122">
        <v>243587</v>
      </c>
      <c r="J98" s="120"/>
      <c r="K98" s="120"/>
      <c r="L98" s="120"/>
      <c r="M98" s="120"/>
      <c r="N98" s="120"/>
    </row>
    <row r="99" spans="1:14" x14ac:dyDescent="0.2">
      <c r="A99" s="129" t="s">
        <v>693</v>
      </c>
      <c r="B99" s="130"/>
      <c r="C99" s="130"/>
      <c r="D99" s="130"/>
      <c r="E99" s="130"/>
      <c r="F99" s="130"/>
      <c r="G99" s="130"/>
      <c r="H99" s="130"/>
      <c r="I99" s="122">
        <v>120816</v>
      </c>
      <c r="J99" s="120"/>
      <c r="K99" s="120"/>
      <c r="L99" s="120"/>
      <c r="M99" s="120"/>
      <c r="N99" s="120"/>
    </row>
    <row r="100" spans="1:14" ht="24" x14ac:dyDescent="0.2">
      <c r="A100" s="131" t="s">
        <v>694</v>
      </c>
      <c r="B100" s="115"/>
      <c r="C100" s="115"/>
      <c r="D100" s="115"/>
      <c r="E100" s="115"/>
      <c r="F100" s="115"/>
      <c r="G100" s="115"/>
      <c r="H100" s="115"/>
      <c r="I100" s="127">
        <v>949905</v>
      </c>
      <c r="J100" s="125"/>
      <c r="K100" s="125"/>
      <c r="L100" s="125"/>
      <c r="M100" s="125"/>
      <c r="N100" s="125" t="s">
        <v>679</v>
      </c>
    </row>
    <row r="101" spans="1:14" ht="60" x14ac:dyDescent="0.2">
      <c r="A101" s="134" t="s">
        <v>674</v>
      </c>
      <c r="B101" s="130"/>
      <c r="C101" s="130"/>
      <c r="D101" s="130"/>
      <c r="E101" s="130"/>
      <c r="F101" s="130"/>
      <c r="G101" s="130"/>
      <c r="H101" s="130"/>
      <c r="I101" s="133" t="s">
        <v>675</v>
      </c>
      <c r="J101" s="133" t="s">
        <v>675</v>
      </c>
      <c r="K101" s="133"/>
      <c r="L101" s="133"/>
      <c r="M101" s="133"/>
      <c r="N101" s="133"/>
    </row>
    <row r="102" spans="1:14" ht="60" x14ac:dyDescent="0.2">
      <c r="A102" s="134" t="s">
        <v>676</v>
      </c>
      <c r="B102" s="130"/>
      <c r="C102" s="130"/>
      <c r="D102" s="130"/>
      <c r="E102" s="130"/>
      <c r="F102" s="130"/>
      <c r="G102" s="130"/>
      <c r="H102" s="130"/>
      <c r="I102" s="133" t="s">
        <v>675</v>
      </c>
      <c r="J102" s="133" t="s">
        <v>675</v>
      </c>
      <c r="K102" s="133"/>
      <c r="L102" s="133"/>
      <c r="M102" s="133"/>
      <c r="N102" s="133"/>
    </row>
    <row r="103" spans="1:14" ht="24" x14ac:dyDescent="0.2">
      <c r="A103" s="134" t="s">
        <v>695</v>
      </c>
      <c r="B103" s="130"/>
      <c r="C103" s="130"/>
      <c r="D103" s="130"/>
      <c r="E103" s="130"/>
      <c r="F103" s="130"/>
      <c r="G103" s="130"/>
      <c r="H103" s="130"/>
      <c r="I103" s="133">
        <v>585502</v>
      </c>
      <c r="J103" s="133">
        <v>259342</v>
      </c>
      <c r="K103" s="133" t="s">
        <v>678</v>
      </c>
      <c r="L103" s="133">
        <v>280970</v>
      </c>
      <c r="M103" s="133"/>
      <c r="N103" s="133" t="s">
        <v>679</v>
      </c>
    </row>
    <row r="104" spans="1:14" x14ac:dyDescent="0.2">
      <c r="A104" s="134" t="s">
        <v>680</v>
      </c>
      <c r="B104" s="130"/>
      <c r="C104" s="130"/>
      <c r="D104" s="130"/>
      <c r="E104" s="130"/>
      <c r="F104" s="130"/>
      <c r="G104" s="130"/>
      <c r="H104" s="130"/>
      <c r="I104" s="133">
        <v>243587</v>
      </c>
      <c r="J104" s="133"/>
      <c r="K104" s="133"/>
      <c r="L104" s="133"/>
      <c r="M104" s="133"/>
      <c r="N104" s="133"/>
    </row>
    <row r="105" spans="1:14" x14ac:dyDescent="0.2">
      <c r="A105" s="134" t="s">
        <v>681</v>
      </c>
      <c r="B105" s="130"/>
      <c r="C105" s="130"/>
      <c r="D105" s="130"/>
      <c r="E105" s="130"/>
      <c r="F105" s="130"/>
      <c r="G105" s="130"/>
      <c r="H105" s="130"/>
      <c r="I105" s="133">
        <v>120816</v>
      </c>
      <c r="J105" s="133"/>
      <c r="K105" s="133"/>
      <c r="L105" s="133"/>
      <c r="M105" s="133"/>
      <c r="N105" s="133"/>
    </row>
    <row r="106" spans="1:14" x14ac:dyDescent="0.2">
      <c r="A106" s="132" t="s">
        <v>696</v>
      </c>
      <c r="B106" s="114"/>
      <c r="C106" s="114"/>
      <c r="D106" s="114"/>
      <c r="E106" s="114"/>
      <c r="F106" s="114"/>
      <c r="G106" s="114"/>
      <c r="H106" s="114"/>
      <c r="I106" s="133"/>
      <c r="J106" s="133"/>
      <c r="K106" s="133"/>
      <c r="L106" s="133"/>
      <c r="M106" s="133"/>
      <c r="N106" s="133"/>
    </row>
    <row r="107" spans="1:14" ht="36" x14ac:dyDescent="0.2">
      <c r="A107" s="134" t="s">
        <v>683</v>
      </c>
      <c r="B107" s="130"/>
      <c r="C107" s="130"/>
      <c r="D107" s="130"/>
      <c r="E107" s="130"/>
      <c r="F107" s="130"/>
      <c r="G107" s="130"/>
      <c r="H107" s="130"/>
      <c r="I107" s="133">
        <v>896257</v>
      </c>
      <c r="J107" s="133"/>
      <c r="K107" s="133"/>
      <c r="L107" s="133"/>
      <c r="M107" s="133"/>
      <c r="N107" s="133" t="s">
        <v>684</v>
      </c>
    </row>
    <row r="108" spans="1:14" ht="24" x14ac:dyDescent="0.2">
      <c r="A108" s="134" t="s">
        <v>685</v>
      </c>
      <c r="B108" s="130"/>
      <c r="C108" s="130"/>
      <c r="D108" s="130"/>
      <c r="E108" s="130"/>
      <c r="F108" s="130"/>
      <c r="G108" s="130"/>
      <c r="H108" s="130"/>
      <c r="I108" s="133">
        <v>53648</v>
      </c>
      <c r="J108" s="133"/>
      <c r="K108" s="133"/>
      <c r="L108" s="133"/>
      <c r="M108" s="133"/>
      <c r="N108" s="133" t="s">
        <v>686</v>
      </c>
    </row>
    <row r="109" spans="1:14" ht="24" x14ac:dyDescent="0.2">
      <c r="A109" s="134" t="s">
        <v>687</v>
      </c>
      <c r="B109" s="130"/>
      <c r="C109" s="130"/>
      <c r="D109" s="130"/>
      <c r="E109" s="130"/>
      <c r="F109" s="130"/>
      <c r="G109" s="130"/>
      <c r="H109" s="130"/>
      <c r="I109" s="133">
        <v>949905</v>
      </c>
      <c r="J109" s="133"/>
      <c r="K109" s="133"/>
      <c r="L109" s="133"/>
      <c r="M109" s="133"/>
      <c r="N109" s="133" t="s">
        <v>679</v>
      </c>
    </row>
    <row r="110" spans="1:14" x14ac:dyDescent="0.2">
      <c r="A110" s="134" t="s">
        <v>688</v>
      </c>
      <c r="B110" s="130"/>
      <c r="C110" s="130"/>
      <c r="D110" s="130"/>
      <c r="E110" s="130"/>
      <c r="F110" s="130"/>
      <c r="G110" s="130"/>
      <c r="H110" s="130"/>
      <c r="I110" s="133"/>
      <c r="J110" s="133"/>
      <c r="K110" s="133"/>
      <c r="L110" s="133"/>
      <c r="M110" s="133"/>
      <c r="N110" s="133"/>
    </row>
    <row r="111" spans="1:14" x14ac:dyDescent="0.2">
      <c r="A111" s="134" t="s">
        <v>689</v>
      </c>
      <c r="B111" s="130"/>
      <c r="C111" s="130"/>
      <c r="D111" s="130"/>
      <c r="E111" s="130"/>
      <c r="F111" s="130"/>
      <c r="G111" s="130"/>
      <c r="H111" s="130"/>
      <c r="I111" s="133">
        <v>280970</v>
      </c>
      <c r="J111" s="133"/>
      <c r="K111" s="133"/>
      <c r="L111" s="133"/>
      <c r="M111" s="133"/>
      <c r="N111" s="133"/>
    </row>
    <row r="112" spans="1:14" x14ac:dyDescent="0.2">
      <c r="A112" s="134" t="s">
        <v>690</v>
      </c>
      <c r="B112" s="130"/>
      <c r="C112" s="130"/>
      <c r="D112" s="130"/>
      <c r="E112" s="130"/>
      <c r="F112" s="130"/>
      <c r="G112" s="130"/>
      <c r="H112" s="130"/>
      <c r="I112" s="133">
        <v>45190</v>
      </c>
      <c r="J112" s="133"/>
      <c r="K112" s="133"/>
      <c r="L112" s="133"/>
      <c r="M112" s="133"/>
      <c r="N112" s="133"/>
    </row>
    <row r="113" spans="1:14" x14ac:dyDescent="0.2">
      <c r="A113" s="134" t="s">
        <v>691</v>
      </c>
      <c r="B113" s="130"/>
      <c r="C113" s="130"/>
      <c r="D113" s="130"/>
      <c r="E113" s="130"/>
      <c r="F113" s="130"/>
      <c r="G113" s="130"/>
      <c r="H113" s="130"/>
      <c r="I113" s="133">
        <v>274476</v>
      </c>
      <c r="J113" s="133"/>
      <c r="K113" s="133"/>
      <c r="L113" s="133"/>
      <c r="M113" s="133"/>
      <c r="N113" s="133"/>
    </row>
    <row r="114" spans="1:14" x14ac:dyDescent="0.2">
      <c r="A114" s="134" t="s">
        <v>692</v>
      </c>
      <c r="B114" s="130"/>
      <c r="C114" s="130"/>
      <c r="D114" s="130"/>
      <c r="E114" s="130"/>
      <c r="F114" s="130"/>
      <c r="G114" s="130"/>
      <c r="H114" s="130"/>
      <c r="I114" s="133">
        <v>243587</v>
      </c>
      <c r="J114" s="133"/>
      <c r="K114" s="133"/>
      <c r="L114" s="133"/>
      <c r="M114" s="133"/>
      <c r="N114" s="133"/>
    </row>
    <row r="115" spans="1:14" x14ac:dyDescent="0.2">
      <c r="A115" s="134" t="s">
        <v>693</v>
      </c>
      <c r="B115" s="130"/>
      <c r="C115" s="130"/>
      <c r="D115" s="130"/>
      <c r="E115" s="130"/>
      <c r="F115" s="130"/>
      <c r="G115" s="130"/>
      <c r="H115" s="130"/>
      <c r="I115" s="133">
        <v>120816</v>
      </c>
      <c r="J115" s="133"/>
      <c r="K115" s="133"/>
      <c r="L115" s="133"/>
      <c r="M115" s="133"/>
      <c r="N115" s="133"/>
    </row>
    <row r="116" spans="1:14" x14ac:dyDescent="0.2">
      <c r="A116" s="134" t="s">
        <v>697</v>
      </c>
      <c r="B116" s="130"/>
      <c r="C116" s="130"/>
      <c r="D116" s="130"/>
      <c r="E116" s="130"/>
      <c r="F116" s="130"/>
      <c r="G116" s="130"/>
      <c r="H116" s="130"/>
      <c r="I116" s="133">
        <v>170982.9</v>
      </c>
      <c r="J116" s="133"/>
      <c r="K116" s="133"/>
      <c r="L116" s="133"/>
      <c r="M116" s="133"/>
      <c r="N116" s="133"/>
    </row>
    <row r="117" spans="1:14" ht="24" x14ac:dyDescent="0.2">
      <c r="A117" s="132" t="s">
        <v>698</v>
      </c>
      <c r="B117" s="114"/>
      <c r="C117" s="114"/>
      <c r="D117" s="114"/>
      <c r="E117" s="114"/>
      <c r="F117" s="114"/>
      <c r="G117" s="114"/>
      <c r="H117" s="114"/>
      <c r="I117" s="133">
        <v>1120887.8999999999</v>
      </c>
      <c r="J117" s="133"/>
      <c r="K117" s="133"/>
      <c r="L117" s="133"/>
      <c r="M117" s="133"/>
      <c r="N117" s="133" t="s">
        <v>679</v>
      </c>
    </row>
    <row r="118" spans="1:14" x14ac:dyDescent="0.2">
      <c r="A118" s="67"/>
      <c r="B118" s="70"/>
      <c r="C118" s="70"/>
      <c r="D118" s="67"/>
      <c r="E118" s="68"/>
      <c r="F118" s="68"/>
      <c r="G118" s="68"/>
      <c r="H118" s="68"/>
      <c r="I118" s="69"/>
      <c r="J118" s="68"/>
      <c r="K118" s="68"/>
      <c r="L118" s="68"/>
      <c r="M118" s="68"/>
      <c r="N118" s="66"/>
    </row>
    <row r="119" spans="1:14" x14ac:dyDescent="0.2">
      <c r="A119" s="67"/>
      <c r="B119" s="70"/>
      <c r="C119" s="70"/>
      <c r="D119" s="67"/>
      <c r="E119" s="68"/>
      <c r="F119" s="68"/>
      <c r="G119" s="68"/>
      <c r="H119" s="68"/>
      <c r="I119" s="69"/>
      <c r="J119" s="68"/>
      <c r="K119" s="68"/>
      <c r="L119" s="68"/>
      <c r="M119" s="68"/>
      <c r="N119" s="66"/>
    </row>
    <row r="120" spans="1:14" x14ac:dyDescent="0.2">
      <c r="A120" s="67"/>
      <c r="B120" s="70"/>
      <c r="C120" s="71" t="s">
        <v>320</v>
      </c>
      <c r="D120" s="67"/>
      <c r="E120" s="68"/>
      <c r="F120" s="71" t="s">
        <v>321</v>
      </c>
      <c r="G120" s="71"/>
      <c r="H120" s="71"/>
      <c r="I120" s="68"/>
      <c r="J120" s="68"/>
      <c r="K120" s="68"/>
      <c r="L120" s="68"/>
      <c r="M120" s="68"/>
      <c r="N120" s="66"/>
    </row>
    <row r="121" spans="1:14" x14ac:dyDescent="0.2">
      <c r="A121" s="72"/>
      <c r="B121" s="72"/>
      <c r="C121" s="72"/>
      <c r="D121" s="72"/>
      <c r="E121" s="73"/>
      <c r="F121" s="73"/>
      <c r="G121" s="73"/>
      <c r="H121" s="73"/>
      <c r="I121" s="73"/>
      <c r="J121" s="73"/>
      <c r="K121" s="73"/>
      <c r="L121" s="73"/>
      <c r="M121" s="73"/>
      <c r="N121" s="66"/>
    </row>
    <row r="122" spans="1:14" x14ac:dyDescent="0.2">
      <c r="A122" s="72"/>
      <c r="B122" s="72"/>
      <c r="C122" s="72"/>
      <c r="D122" s="72"/>
      <c r="E122" s="73"/>
      <c r="F122" s="73"/>
      <c r="G122" s="73"/>
      <c r="H122" s="73"/>
      <c r="I122" s="73"/>
      <c r="J122" s="73"/>
      <c r="K122" s="73"/>
      <c r="L122" s="73"/>
      <c r="M122" s="73"/>
      <c r="N122" s="66"/>
    </row>
    <row r="124" spans="1:14" x14ac:dyDescent="0.2">
      <c r="B124" s="72"/>
    </row>
  </sheetData>
  <mergeCells count="57">
    <mergeCell ref="A113:H113"/>
    <mergeCell ref="A114:H114"/>
    <mergeCell ref="A115:H115"/>
    <mergeCell ref="A116:H116"/>
    <mergeCell ref="A117:H117"/>
    <mergeCell ref="A107:H107"/>
    <mergeCell ref="A108:H108"/>
    <mergeCell ref="A109:H109"/>
    <mergeCell ref="A110:H110"/>
    <mergeCell ref="A111:H111"/>
    <mergeCell ref="A112:H112"/>
    <mergeCell ref="A101:H101"/>
    <mergeCell ref="A102:H102"/>
    <mergeCell ref="A103:H103"/>
    <mergeCell ref="A104:H104"/>
    <mergeCell ref="A105:H105"/>
    <mergeCell ref="A106:H106"/>
    <mergeCell ref="A96:H96"/>
    <mergeCell ref="A97:H97"/>
    <mergeCell ref="A98:H98"/>
    <mergeCell ref="A99:H99"/>
    <mergeCell ref="A100:H100"/>
    <mergeCell ref="A90:H90"/>
    <mergeCell ref="A91:H91"/>
    <mergeCell ref="A92:H92"/>
    <mergeCell ref="A93:H93"/>
    <mergeCell ref="A94:H94"/>
    <mergeCell ref="A95:H95"/>
    <mergeCell ref="A84:H84"/>
    <mergeCell ref="A85:H85"/>
    <mergeCell ref="A86:H86"/>
    <mergeCell ref="A87:H87"/>
    <mergeCell ref="A88:H88"/>
    <mergeCell ref="A89:H89"/>
    <mergeCell ref="A20:N20"/>
    <mergeCell ref="A21:N21"/>
    <mergeCell ref="A28:N28"/>
    <mergeCell ref="A44:N44"/>
    <mergeCell ref="A57:N57"/>
    <mergeCell ref="A63:N63"/>
    <mergeCell ref="J17:J18"/>
    <mergeCell ref="L17:L18"/>
    <mergeCell ref="N17:N18"/>
    <mergeCell ref="A15:A18"/>
    <mergeCell ref="D15:D18"/>
    <mergeCell ref="C15:C18"/>
    <mergeCell ref="B15:B18"/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10" t="s">
        <v>232</v>
      </c>
      <c r="B1" s="111"/>
      <c r="C1" s="111"/>
      <c r="D1" s="111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2006-11-02T02:52:06Z</cp:lastPrinted>
  <dcterms:created xsi:type="dcterms:W3CDTF">2003-01-28T12:33:10Z</dcterms:created>
  <dcterms:modified xsi:type="dcterms:W3CDTF">2012-09-04T03:36:54Z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