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95" windowWidth="18195" windowHeight="102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Лист1!$21:$21</definedName>
    <definedName name="_xlnm.Print_Area" localSheetId="0">Лист1!$A$1:$L$87</definedName>
  </definedNames>
  <calcPr calcId="125725"/>
</workbook>
</file>

<file path=xl/calcChain.xml><?xml version="1.0" encoding="utf-8"?>
<calcChain xmlns="http://schemas.openxmlformats.org/spreadsheetml/2006/main">
  <c r="P25" i="1"/>
  <c r="P27"/>
  <c r="P29"/>
  <c r="P31"/>
  <c r="P33"/>
  <c r="P35"/>
  <c r="P23"/>
  <c r="N25"/>
  <c r="N27"/>
  <c r="N29"/>
  <c r="N31"/>
  <c r="N33"/>
  <c r="N35"/>
  <c r="N23"/>
  <c r="P39" l="1"/>
  <c r="N39"/>
  <c r="C11" i="3"/>
  <c r="C9"/>
  <c r="C8"/>
  <c r="C7"/>
  <c r="C6"/>
  <c r="C4" s="1"/>
  <c r="Q19" i="2"/>
  <c r="O8"/>
  <c r="C9"/>
  <c r="C8"/>
  <c r="I6"/>
  <c r="I7"/>
  <c r="I8"/>
  <c r="I9"/>
  <c r="I10"/>
  <c r="I11"/>
  <c r="I12"/>
  <c r="I13"/>
  <c r="I5"/>
  <c r="H13"/>
  <c r="G15"/>
  <c r="G14"/>
  <c r="G13"/>
  <c r="G12"/>
  <c r="D12"/>
  <c r="E12"/>
  <c r="C12"/>
  <c r="D11"/>
  <c r="E11"/>
  <c r="G11"/>
  <c r="C11"/>
  <c r="H10"/>
  <c r="G10"/>
  <c r="D10"/>
  <c r="C10"/>
  <c r="M9"/>
  <c r="G9"/>
  <c r="E9"/>
  <c r="D9"/>
  <c r="H8"/>
  <c r="G8"/>
  <c r="D8"/>
  <c r="K14"/>
  <c r="K12"/>
  <c r="K10"/>
  <c r="K8"/>
  <c r="G6"/>
  <c r="D6"/>
  <c r="Q22"/>
  <c r="Q25"/>
  <c r="D23"/>
  <c r="T82" i="1"/>
  <c r="O30" i="2"/>
  <c r="G5"/>
  <c r="R81" i="1"/>
  <c r="C10" i="3" l="1"/>
  <c r="D8"/>
  <c r="D6"/>
  <c r="D7"/>
  <c r="D10" l="1"/>
  <c r="C12"/>
  <c r="E7"/>
  <c r="F8" l="1"/>
  <c r="D11"/>
  <c r="D9"/>
  <c r="F6"/>
  <c r="D4"/>
  <c r="F7"/>
  <c r="G12" l="1"/>
</calcChain>
</file>

<file path=xl/sharedStrings.xml><?xml version="1.0" encoding="utf-8"?>
<sst xmlns="http://schemas.openxmlformats.org/spreadsheetml/2006/main" count="257" uniqueCount="150">
  <si>
    <t>Система выпуска сметной документации A0 v. 2.1.2.4 Copyright InfoStroy Ltd.</t>
  </si>
  <si>
    <t>Образец  №4</t>
  </si>
  <si>
    <t xml:space="preserve">СОГЛАСОВАНО: </t>
  </si>
  <si>
    <t xml:space="preserve">  </t>
  </si>
  <si>
    <t/>
  </si>
  <si>
    <t xml:space="preserve">УТВЕРЖДАЮ: </t>
  </si>
  <si>
    <t>"_____" ______________ 20__ г.</t>
  </si>
  <si>
    <t>(наименование стройки)</t>
  </si>
  <si>
    <t>(наименование объекта)</t>
  </si>
  <si>
    <t xml:space="preserve">ЛОКАЛЬНАЯ СМЕТА №03-02-02  </t>
  </si>
  <si>
    <t>Автоматика</t>
  </si>
  <si>
    <t>Основание:</t>
  </si>
  <si>
    <t>П0593-0302-09СЭП-100-АНВК.С01-0</t>
  </si>
  <si>
    <t>Сметная стоимость</t>
  </si>
  <si>
    <t xml:space="preserve"> тыс. руб.</t>
  </si>
  <si>
    <t>Средства на оплату труда</t>
  </si>
  <si>
    <t>Нормативная трудоемкость</t>
  </si>
  <si>
    <t xml:space="preserve"> чел. час.</t>
  </si>
  <si>
    <t>Смета составлена в ценах 2000 года</t>
  </si>
  <si>
    <t>№
п/п</t>
  </si>
  <si>
    <t>Шифр и номер позиции норматива</t>
  </si>
  <si>
    <t>Наименование работ и затрат</t>
  </si>
  <si>
    <t>Количество и единица
измерения</t>
  </si>
  <si>
    <t>Стоимость единицы, руб.</t>
  </si>
  <si>
    <t>Общая стоимость, руб.</t>
  </si>
  <si>
    <t xml:space="preserve">Затраты труда рабочих, не занятых обслуживанием машин, чел-ч </t>
  </si>
  <si>
    <t>всего</t>
  </si>
  <si>
    <t>эксплуата-
ции машин</t>
  </si>
  <si>
    <t>оплаты труда</t>
  </si>
  <si>
    <t>в т. ч. оплаты труда</t>
  </si>
  <si>
    <t>на единицу</t>
  </si>
  <si>
    <t>Монтаж оборудования</t>
  </si>
  <si>
    <t>1</t>
  </si>
  <si>
    <t>ТЕРм-10-03-001-01
 МДС 81-35 Т-3  П-5 К=1,2 МДС 81-35 Т-3  П-4 К=1,15</t>
  </si>
  <si>
    <t>СТОЙКА, ПОЛУСТОЙКА, КАРКАС СТОЙКИ ИЛИ ШКАФ, МАССА:ДО 100 КГ. МОНТАЖ ШКАФА УПРАВЛЕНИЯ ЩМП-4(ВБЛИЗИ ОБЪЕКТОВ, НАХОДЯЩИХСЯ ПОД ВЫСОКИМ НАПРЯЖЕНИЕМ, В ТОМ ЧИСЛЕ В ОХРАННОЙ ЗОНЕ ДЕЙСТВУЮЩЕЙ ВОЗДУШНОЙ ЛИНИИ ЭЛЕКТРОПЕРЕДАЧИ) (НА ОТКРЫТЫХ И ПОЛУОТКРЫТЫХ ПЛОЩАДКАХ В СТЕСНЕННЫХ УСЛОВИЯХ)
НР = 80 %  (НР = 115.55 руб.)
СП = 60 % (СП = 86.66 руб.)</t>
  </si>
  <si>
    <t>ШТ</t>
  </si>
  <si>
    <t>2</t>
  </si>
  <si>
    <t>ТЕРм-11-03-011-01
 МДС 81-35 Т-3  П-5 К=1,2 МДС 81-35 Т-3  П-4 К=1,15</t>
  </si>
  <si>
    <t>ПРИБОР, КАТЕГОРИЯ СЛОЖНОСТИ:I (ВБЛИЗИ ОБЪЕКТОВ, НАХОДЯЩИХСЯ ПОД ВЫСОКИМ НАПРЯЖЕНИЕМ, В ТОМ ЧИСЛЕ В ОХРАННОЙ ЗОНЕ ДЕЙСТВУЮЩЕЙ ВОЗДУШНОЙ ЛИНИИ ЭЛЕКТРОПЕРЕДАЧИ) (НА ОТКРЫТЫХ И ПОЛУОТКРЫТЫХ ПЛОЩАДКАХ В СТЕСНЕННЫХ УСЛОВИЯХ)
НР = 80 %  (НР = 68.03 руб.)
СП = 60 % (СП = 51.02 руб.)</t>
  </si>
  <si>
    <t>КОМПЛЕКТ</t>
  </si>
  <si>
    <t>3</t>
  </si>
  <si>
    <t>ТЕРм-08-02-147-01
 МДС 81-35 Т-2  П-4 К=1,15 МДС 81-35 Т-2  П-5 К=1,2</t>
  </si>
  <si>
    <t>КАБЕЛЬ ДО 35 КВ ПО УСТАНОВЛЕННЫМ КОНСТРУКЦИЯМ И ЛОТКАМ С КРЕПЛЕНИЕМ НА ПОВОРОТАХ И В КОНЦЕ ТРАССЫ МАССОЙ 1 М КАБЕЛЯ, КГ, ДО: 1 (НА ОТКРЫТЫХ И ПОЛУОТКРЫТЫХ ПЛОЩАДКАХ В СТЕСНЕННЫХ УСЛОВИЯХ) (ВБЛИЗИ ОБЪЕКТОВ, НАХОДЯЩИХСЯ ПОД ВЫСОКИМ НАПРЯЖЕНИЕМ, В ТОМ ЧИСЛЕ В ОХРАННОЙ ЗОНЕ ДЕЙСТВУЮЩЕЙ ВОЗДУШНОЙ ЛИНИИ ЭЛЕКТРОПЕРЕДАЧИ)
НР = 95 %  (НР = 2790.08 руб.)
СП = 65 % (СП = 1909 руб.)</t>
  </si>
  <si>
    <t>100М</t>
  </si>
  <si>
    <t>4</t>
  </si>
  <si>
    <t>ТЕРм-08-02-148-01
 МДС 81-35 Т-2  П-4 К=1,15 МДС 81-35 Т-2  П-5 К=1,2</t>
  </si>
  <si>
    <t>КАБЕЛЬ ДО 35 КВ В ПРОЛОЖЕННЫХ ТРУБАХ, БЛОКАХ И КОРОБАХ МАССОЙ 1 М, КГ, ДО: 1 (НА ОТКРЫТЫХ И ПОЛУОТКРЫТЫХ ПЛОЩАДКАХ В СТЕСНЕННЫХ УСЛОВИЯХ) (ВБЛИЗИ ОБЪЕКТОВ, НАХОДЯЩИХСЯ ПОД ВЫСОКИМ НАПРЯЖЕНИЕМ, В ТОМ ЧИСЛЕ В ОХРАННОЙ ЗОНЕ ДЕЙСТВУЮЩЕЙ ВОЗДУШНОЙ ЛИНИИ ЭЛЕКТРОПЕРЕДАЧИ)
НР = 95 %  (НР = 754.59 руб.)
СП = 65 % (СП = 516.3 руб.)</t>
  </si>
  <si>
    <t>100М КАБЕЛЯ</t>
  </si>
  <si>
    <t>5</t>
  </si>
  <si>
    <t>ТЕРм-08-03-574-01
 МДС 81-35 Т-2  П-4 К=1,15 МДС 81-35 Т-2  П-5 К=1,2</t>
  </si>
  <si>
    <t>РАЗВОДКА ПО УСТРОЙСТВАМ И ПОДКЛЮЧЕНИЕ ЖИЛ КАБЕЛЕЙ ИЛИ ПРОВОДОВ ВНЕШНЕЙ СЕТИ К БЛОКАМ ЗАЖИМОВ И К ЗАЖИМАМ АППАРАТОВ И ПРИБОРОВ, УСТАНОВЛЕННЫХ НА УСТРОЙСТВАХ, КАБЕЛИ ИЛИ ПРОВОДА СЕЧЕНИЕМ, ММ2, ДО: 10 (НА ОТКРЫТЫХ И ПОЛУОТКРЫТЫХ ПЛОЩАДКАХ В СТЕСНЕННЫХ УСЛОВИЯХ) (ВБЛИЗИ ОБЪЕКТОВ, НАХОДЯЩИХСЯ ПОД ВЫСОКИМ НАПРЯЖЕНИЕМ, В ТОМ ЧИСЛЕ В ОХРАННОЙ ЗОНЕ ДЕЙСТВУЮЩЕЙ ВОЗДУШНОЙ ЛИНИИ ЭЛЕКТРОПЕРЕДАЧИ)
НР = 95 %  (НР = 227.43 руб.)
СП = 65 % (СП = 155.61 руб.)</t>
  </si>
  <si>
    <t>100ЖИЛ</t>
  </si>
  <si>
    <t>6</t>
  </si>
  <si>
    <t>ТЕРм-08-02-472-10
 МДС 81-35 Т-2  П-4 К=1,15 МДС 81-35 Т-2  П-5 К=1,2</t>
  </si>
  <si>
    <t>ПРОВОДНИК ЗАЗЕМЛЯЮЩИЙ ИЗ МЕДНОГО ИЗОЛИРОВАННОГО ПРОВОДА СЕЧЕНИЕМ 25 ММ2 ОТКРЫТО ПО СТРОИТЕЛЬНЫМ ОСНОВАНИЯМ (НА ОТКРЫТЫХ И ПОЛУОТКРЫТЫХ ПЛОЩАДКАХ В СТЕСНЕННЫХ УСЛОВИЯХ) (ВБЛИЗИ ОБЪЕКТОВ, НАХОДЯЩИХСЯ ПОД ВЫСОКИМ НАПРЯЖЕНИЕМ, В ТОМ ЧИСЛЕ В ОХРАННОЙ ЗОНЕ ДЕЙСТВУЮЩЕЙ ВОЗДУШНОЙ ЛИНИИ ЭЛЕКТРОПЕРЕДАЧИ)
НР = 80 %  (НР = 629.69 руб.)
СП = 60 % (СП = 472.27 руб.)</t>
  </si>
  <si>
    <t>7</t>
  </si>
  <si>
    <t>ТЕРм-08-03-525-01
 МДС 81-35 Т-3  П-5 К=1,2 МДС 81-35 Т-3  П-4 К=1,15</t>
  </si>
  <si>
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ТОК, А, ДО: 25 (ВБЛИЗИ ОБЪЕКТОВ, НАХОДЯЩИХСЯ ПОД ВЫСОКИМ НАПРЯЖЕНИЕМ, В ТОМ ЧИСЛЕ В ОХРАННОЙ ЗОНЕ ДЕЙСТВУЮЩЕЙ ВОЗДУШНОЙ ЛИНИИ ЭЛЕКТРОПЕРЕДАЧИ) (НА ОТКРЫТЫХ И ПОЛУОТКРЫТЫХ ПЛОЩАДКАХ В СТЕСНЕННЫХ УСЛОВИЯХ)
НР = 95 %  (НР = 68.89 руб.)
СП = 65 % (СП = 47.14 руб.)</t>
  </si>
  <si>
    <t>Итого: Монтаж оборудования</t>
  </si>
  <si>
    <t>Прямые затраты</t>
  </si>
  <si>
    <t>Материальные затраты, в т.ч.</t>
  </si>
  <si>
    <t xml:space="preserve">   Материалы, учтенные расценками</t>
  </si>
  <si>
    <t>Основная зарплата</t>
  </si>
  <si>
    <t>Эксплуатация машин</t>
  </si>
  <si>
    <t>в тч ЗП машинистов</t>
  </si>
  <si>
    <t>Накладные расходы</t>
  </si>
  <si>
    <t>Сметная прибыль</t>
  </si>
  <si>
    <t>ИТОГО В БАЗОВЫХ  ЦЕНАХ  2000 ГОДА</t>
  </si>
  <si>
    <t>Материалы</t>
  </si>
  <si>
    <t>8</t>
  </si>
  <si>
    <t>ССЦ01-545-5221</t>
  </si>
  <si>
    <t>ВЫКЛЮЧАТЕЛЬ ПАКЕТНЫЙ ЗАЩИЩЕННЫЙ ПВ3-25 М3Б</t>
  </si>
  <si>
    <t>9</t>
  </si>
  <si>
    <t>ССЦ01-501-9001-321</t>
  </si>
  <si>
    <t>КАБЕЛИ СИЛОВЫЕ С МЕДНЫМИ ЖИЛАМИ С ПОЛИВИНИЛХЛОРИДНОЙ ИЗОЛЯЦИЕЙ И ОБОЛОЧКОЙ  МАРКИ ВВГНГ, НА НАПРЯЖЕНИЕ 660 В, ММ2:4Х2, 5 (прим. КВВГнг- LS 4х2,5)</t>
  </si>
  <si>
    <t>1000М</t>
  </si>
  <si>
    <t>10</t>
  </si>
  <si>
    <t>ССЦ01-501-9001-284</t>
  </si>
  <si>
    <t>КАБЕЛИ КОНТРОЛЬНЫЕ С ПОЛИВИНИЛХЛОРИДНОЙ ИЗОЛЯЦИЕЙ И ОБОЛОЧКОЙ, МАРКИ КВВГНГ, С МЕДНЫМИ ЖИЛАМИ, С ЧИСЛОМ ЖИЛ И СЕЧЕНИЕМ, НА НАПРЯЖЕНИЕ 1000 В ММ2:4Х1, 5 (прим. КВВГнг- LS 4х1,5)</t>
  </si>
  <si>
    <t>11</t>
  </si>
  <si>
    <t>ССЦ01-501-9001-287</t>
  </si>
  <si>
    <t>КАБЕЛИ КОНТРОЛЬНЫЕ С ПОЛИВИНИЛХЛОРИДНОЙ ИЗОЛЯЦИЕЙ И ОБОЛОЧКОЙ, МАРКИ КВВГНГ, С МЕДНЫМИ ЖИЛАМИ, С ЧИСЛОМ ЖИЛ И СЕЧЕНИЕМ, НА НАПРЯЖЕНИЕ 1000 В ММ2:10Х1, 5 (прим. КВВГнг- LS 10х1,5)</t>
  </si>
  <si>
    <t>12</t>
  </si>
  <si>
    <t>ССЦ01-507-0264</t>
  </si>
  <si>
    <t>ПРОВОДА СИЛОВЫЕ ДЛЯ ЭЛЕКТРИЧЕСКИХ УСТАНОВОК С ПОЛИВИНИЛХЛОРИДНОЙ ИЗОЛЯЦИЕЙ НА НАПРЯЖЕНИЕ ДО 450 В С МЕДНОЙ ЖИЛОЙ МАРКИ ПВ3, СЕЧЕНИЕМ, ММ2:1.5</t>
  </si>
  <si>
    <t>Итого: Материалы</t>
  </si>
  <si>
    <t>Оборудование</t>
  </si>
  <si>
    <t>13</t>
  </si>
  <si>
    <t>Цена поставщика</t>
  </si>
  <si>
    <t>ШКАФ УПРАВЛЕНИЯ ШМП-4
ПЗ=101843.23 : 1.18 : 3.27</t>
  </si>
  <si>
    <t>14</t>
  </si>
  <si>
    <t>СИГНАЛИЗАТОР УРОВНЯ ПОПЛАВКОВЫЙ МНОГОТОЧЕЧНЫЙ СУГ-М
ПЗ=18396.96 : 1.18 : 3.27</t>
  </si>
  <si>
    <t>Итого: Оборудование</t>
  </si>
  <si>
    <t>Сметная стоимость оборудования</t>
  </si>
  <si>
    <t>Итого по смете:</t>
  </si>
  <si>
    <t>в т.ч. зарплата машинистов</t>
  </si>
  <si>
    <t>Материальные затраты</t>
  </si>
  <si>
    <t xml:space="preserve">СМР </t>
  </si>
  <si>
    <t>ИТОГО В БАЗОВЫХ ЦЕНАХ</t>
  </si>
  <si>
    <t xml:space="preserve">Составил: </t>
  </si>
  <si>
    <t>Инженер по проектно-сметной работе</t>
  </si>
  <si>
    <t>Проверил:</t>
  </si>
  <si>
    <t>Главный специалист по проектно-сметной работе</t>
  </si>
  <si>
    <t>Номер смет и расчёт.</t>
  </si>
  <si>
    <t xml:space="preserve">        </t>
  </si>
  <si>
    <t xml:space="preserve">                                          Сметная стоимость .тыс.руб.</t>
  </si>
  <si>
    <t>Средства на оплату труда, тыс. руб.</t>
  </si>
  <si>
    <t>Показатель единичной стоимости, тыс.руб/м3</t>
  </si>
  <si>
    <t>Строительные работы</t>
  </si>
  <si>
    <t>Монтажные работы</t>
  </si>
  <si>
    <t>оборудование</t>
  </si>
  <si>
    <t>Прочие затраты</t>
  </si>
  <si>
    <t>Общестроительные работы</t>
  </si>
  <si>
    <t>Итого</t>
  </si>
  <si>
    <t>Лимитированные затраты</t>
  </si>
  <si>
    <t>ГСН 81-05-01-2001</t>
  </si>
  <si>
    <t>Временные здания и сооружения (3,9*0,8=3,12 % от СМР)</t>
  </si>
  <si>
    <t>Итого с временными зданиями и сооружениями</t>
  </si>
  <si>
    <t>ГСН 81-05-02-2001</t>
  </si>
  <si>
    <t>Прочие работы и затраты: средства на удорожание работ в зимнее время (1,89% от СМР)</t>
  </si>
  <si>
    <t>Итого с прочими работами и затратами</t>
  </si>
  <si>
    <t>МДС п.4.96</t>
  </si>
  <si>
    <t>Резерв средств на непредвиденные работы и затраты (2 % от стоимости СМР и оборудования)</t>
  </si>
  <si>
    <t>Всего по смете</t>
  </si>
  <si>
    <t>Закон РФ</t>
  </si>
  <si>
    <t>НДС 18%</t>
  </si>
  <si>
    <t>Итого с НДС</t>
  </si>
  <si>
    <t>З/плата основных рабочих</t>
  </si>
  <si>
    <t>З/плата  машинистов</t>
  </si>
  <si>
    <t>Материалы, учтенные расценками в тек. ценах</t>
  </si>
  <si>
    <t xml:space="preserve">Материалы, не учтенные расценками </t>
  </si>
  <si>
    <t>Итого в текущих ценах</t>
  </si>
  <si>
    <t>Накладные расходы от ФОТ</t>
  </si>
  <si>
    <t>Сметная прибыль от ФОТ</t>
  </si>
  <si>
    <t>3 992 380,01</t>
  </si>
  <si>
    <t>№ п/п</t>
  </si>
  <si>
    <t>Состав сметной стоимости</t>
  </si>
  <si>
    <t>сметная стоимость</t>
  </si>
  <si>
    <t>Удельный вес, %</t>
  </si>
  <si>
    <t>тыс.руб.</t>
  </si>
  <si>
    <t>Прямые затраты - всего</t>
  </si>
  <si>
    <t>в т.ч.:</t>
  </si>
  <si>
    <t xml:space="preserve"> - оплата труда рабочих</t>
  </si>
  <si>
    <t xml:space="preserve"> - материалы</t>
  </si>
  <si>
    <t xml:space="preserve"> - эксплуатация машин и механизмов</t>
  </si>
  <si>
    <t>Итого: Себетоимость</t>
  </si>
  <si>
    <t>Всего</t>
  </si>
  <si>
    <t>Маслосборник емкостью V=250мз</t>
  </si>
  <si>
    <t>НР</t>
  </si>
  <si>
    <t>СП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</si>
</sst>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b/>
      <i/>
      <sz val="7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1" fillId="0" borderId="0">
      <alignment horizontal="left" vertical="top"/>
    </xf>
    <xf numFmtId="0" fontId="2" fillId="0" borderId="0">
      <alignment horizontal="right" vertical="top"/>
    </xf>
    <xf numFmtId="0" fontId="7" fillId="0" borderId="0">
      <alignment horizontal="center" vertical="top"/>
    </xf>
    <xf numFmtId="0" fontId="8" fillId="0" borderId="0">
      <alignment horizontal="center"/>
    </xf>
    <xf numFmtId="0" fontId="5" fillId="0" borderId="0">
      <alignment horizontal="center"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5" fillId="0" borderId="0">
      <alignment horizontal="left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4" fillId="0" borderId="0">
      <alignment horizontal="left" vertical="center"/>
    </xf>
    <xf numFmtId="0" fontId="1" fillId="0" borderId="0">
      <alignment horizontal="center" vertical="center"/>
    </xf>
    <xf numFmtId="0" fontId="1" fillId="0" borderId="0">
      <alignment horizontal="center" vertical="center"/>
    </xf>
    <xf numFmtId="0" fontId="3" fillId="0" borderId="0">
      <alignment horizontal="center" vertical="center"/>
    </xf>
    <xf numFmtId="0" fontId="1" fillId="0" borderId="0">
      <alignment horizontal="center" vertical="top"/>
    </xf>
    <xf numFmtId="0" fontId="1" fillId="0" borderId="0">
      <alignment horizontal="left" vertical="top"/>
    </xf>
    <xf numFmtId="0" fontId="1" fillId="0" borderId="0">
      <alignment horizontal="right" vertical="top"/>
    </xf>
    <xf numFmtId="0" fontId="1" fillId="0" borderId="0">
      <alignment horizontal="right" vertical="top"/>
    </xf>
    <xf numFmtId="0" fontId="1" fillId="0" borderId="0">
      <alignment horizontal="right" vertical="top"/>
    </xf>
    <xf numFmtId="0" fontId="3" fillId="0" borderId="0">
      <alignment horizontal="left" vertical="top"/>
    </xf>
    <xf numFmtId="0" fontId="9" fillId="0" borderId="0">
      <alignment horizontal="right" vertical="top"/>
    </xf>
    <xf numFmtId="0" fontId="4" fillId="0" borderId="0">
      <alignment horizontal="left" vertical="center"/>
    </xf>
    <xf numFmtId="0" fontId="3" fillId="0" borderId="0">
      <alignment horizontal="right" vertical="top"/>
    </xf>
    <xf numFmtId="0" fontId="9" fillId="0" borderId="0">
      <alignment horizontal="right" vertical="top"/>
    </xf>
    <xf numFmtId="0" fontId="3" fillId="0" borderId="0">
      <alignment horizontal="right" vertical="top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3" fillId="0" borderId="0">
      <alignment horizontal="right" vertical="top"/>
    </xf>
    <xf numFmtId="0" fontId="4" fillId="0" borderId="0">
      <alignment horizontal="right" vertical="center"/>
    </xf>
    <xf numFmtId="0" fontId="4" fillId="0" borderId="0">
      <alignment horizontal="left" vertical="center"/>
    </xf>
    <xf numFmtId="0" fontId="4" fillId="0" borderId="0">
      <alignment horizontal="left" vertical="top"/>
    </xf>
    <xf numFmtId="0" fontId="4" fillId="0" borderId="0">
      <alignment horizontal="left" vertical="center"/>
    </xf>
    <xf numFmtId="0" fontId="5" fillId="0" borderId="0">
      <alignment horizontal="left" vertical="top"/>
    </xf>
    <xf numFmtId="0" fontId="4" fillId="0" borderId="0">
      <alignment horizontal="left" vertical="center"/>
    </xf>
    <xf numFmtId="0" fontId="6" fillId="0" borderId="0">
      <alignment horizontal="left" vertical="center"/>
    </xf>
    <xf numFmtId="0" fontId="6" fillId="0" borderId="0">
      <alignment horizontal="left" vertical="top"/>
    </xf>
    <xf numFmtId="0" fontId="5" fillId="0" borderId="0">
      <alignment horizontal="center"/>
    </xf>
  </cellStyleXfs>
  <cellXfs count="171">
    <xf numFmtId="0" fontId="0" fillId="0" borderId="0" xfId="0"/>
    <xf numFmtId="0" fontId="1" fillId="0" borderId="3" xfId="20" quotePrefix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35" quotePrefix="1" applyAlignment="1">
      <alignment horizontal="left" vertical="center" wrapText="1"/>
    </xf>
    <xf numFmtId="0" fontId="4" fillId="0" borderId="0" xfId="24" quotePrefix="1" applyAlignment="1">
      <alignment horizontal="left" vertical="center" wrapText="1"/>
    </xf>
    <xf numFmtId="0" fontId="1" fillId="0" borderId="3" xfId="18" quotePrefix="1" applyBorder="1" applyAlignment="1">
      <alignment horizontal="center" vertical="center" wrapText="1"/>
    </xf>
    <xf numFmtId="0" fontId="1" fillId="0" borderId="0" xfId="18" quotePrefix="1" applyBorder="1" applyAlignment="1">
      <alignment horizontal="center" vertical="center" wrapText="1"/>
    </xf>
    <xf numFmtId="0" fontId="1" fillId="0" borderId="3" xfId="19" quotePrefix="1" applyBorder="1" applyAlignment="1">
      <alignment horizontal="center" vertical="center" wrapText="1"/>
    </xf>
    <xf numFmtId="0" fontId="1" fillId="0" borderId="19" xfId="22" quotePrefix="1" applyBorder="1" applyAlignment="1">
      <alignment horizontal="center" vertical="center" wrapText="1"/>
    </xf>
    <xf numFmtId="0" fontId="1" fillId="0" borderId="19" xfId="23" quotePrefix="1" applyBorder="1" applyAlignment="1">
      <alignment horizontal="center" vertical="center" wrapText="1"/>
    </xf>
    <xf numFmtId="0" fontId="1" fillId="0" borderId="17" xfId="25" applyNumberFormat="1" applyBorder="1" applyAlignment="1">
      <alignment horizontal="center" vertical="center" wrapText="1"/>
    </xf>
    <xf numFmtId="0" fontId="1" fillId="0" borderId="20" xfId="25" applyNumberFormat="1" applyBorder="1" applyAlignment="1">
      <alignment horizontal="center" vertical="center" wrapText="1"/>
    </xf>
    <xf numFmtId="0" fontId="1" fillId="0" borderId="3" xfId="25" applyNumberFormat="1" applyBorder="1" applyAlignment="1">
      <alignment horizontal="center" vertical="center" wrapText="1"/>
    </xf>
    <xf numFmtId="0" fontId="1" fillId="0" borderId="10" xfId="25" applyNumberFormat="1" applyBorder="1" applyAlignment="1">
      <alignment horizontal="center" vertical="center" wrapText="1"/>
    </xf>
    <xf numFmtId="0" fontId="1" fillId="0" borderId="19" xfId="26" applyNumberFormat="1" applyBorder="1" applyAlignment="1">
      <alignment horizontal="center" vertical="center" wrapText="1"/>
    </xf>
    <xf numFmtId="0" fontId="1" fillId="0" borderId="10" xfId="30" applyNumberFormat="1" applyBorder="1" applyAlignment="1">
      <alignment horizontal="right" vertical="top" wrapText="1"/>
    </xf>
    <xf numFmtId="0" fontId="1" fillId="0" borderId="3" xfId="31" applyNumberFormat="1" applyBorder="1" applyAlignment="1">
      <alignment horizontal="right" vertical="top" wrapText="1"/>
    </xf>
    <xf numFmtId="0" fontId="1" fillId="0" borderId="10" xfId="31" applyNumberFormat="1" applyBorder="1" applyAlignment="1">
      <alignment horizontal="right" vertical="top" wrapText="1"/>
    </xf>
    <xf numFmtId="0" fontId="1" fillId="0" borderId="21" xfId="32" quotePrefix="1" applyBorder="1" applyAlignment="1">
      <alignment horizontal="right" vertical="top" wrapText="1"/>
    </xf>
    <xf numFmtId="0" fontId="1" fillId="0" borderId="21" xfId="31" applyNumberFormat="1" applyBorder="1" applyAlignment="1">
      <alignment horizontal="right" vertical="top" wrapText="1"/>
    </xf>
    <xf numFmtId="0" fontId="1" fillId="0" borderId="3" xfId="30" applyNumberFormat="1" applyBorder="1" applyAlignment="1">
      <alignment horizontal="right" vertical="top" wrapText="1"/>
    </xf>
    <xf numFmtId="0" fontId="1" fillId="0" borderId="20" xfId="31" applyNumberFormat="1" applyBorder="1" applyAlignment="1">
      <alignment horizontal="right" vertical="top" wrapText="1"/>
    </xf>
    <xf numFmtId="0" fontId="1" fillId="0" borderId="3" xfId="32" quotePrefix="1" applyBorder="1" applyAlignment="1">
      <alignment horizontal="right" vertical="top" wrapText="1"/>
    </xf>
    <xf numFmtId="0" fontId="1" fillId="0" borderId="20" xfId="30" applyNumberFormat="1" applyBorder="1" applyAlignment="1">
      <alignment horizontal="right" vertical="top" wrapText="1"/>
    </xf>
    <xf numFmtId="0" fontId="1" fillId="0" borderId="0" xfId="30" applyNumberFormat="1" applyBorder="1" applyAlignment="1">
      <alignment horizontal="right" vertical="top" wrapText="1"/>
    </xf>
    <xf numFmtId="0" fontId="1" fillId="0" borderId="0" xfId="31" applyNumberFormat="1" applyBorder="1" applyAlignment="1">
      <alignment horizontal="right" vertical="top" wrapText="1"/>
    </xf>
    <xf numFmtId="0" fontId="1" fillId="0" borderId="10" xfId="32" quotePrefix="1" applyBorder="1" applyAlignment="1">
      <alignment horizontal="right" vertical="top" wrapText="1"/>
    </xf>
    <xf numFmtId="0" fontId="9" fillId="0" borderId="0" xfId="34" applyNumberFormat="1" applyBorder="1" applyAlignment="1">
      <alignment horizontal="right" vertical="top" wrapText="1"/>
    </xf>
    <xf numFmtId="0" fontId="3" fillId="0" borderId="0" xfId="36" applyBorder="1" applyAlignment="1">
      <alignment horizontal="right" vertical="top" wrapText="1"/>
    </xf>
    <xf numFmtId="0" fontId="9" fillId="0" borderId="0" xfId="37" applyNumberFormat="1" applyAlignment="1">
      <alignment horizontal="right" vertical="top" wrapText="1"/>
    </xf>
    <xf numFmtId="0" fontId="3" fillId="0" borderId="0" xfId="39" quotePrefix="1" applyAlignment="1">
      <alignment horizontal="right" vertical="top" wrapText="1"/>
    </xf>
    <xf numFmtId="0" fontId="3" fillId="0" borderId="0" xfId="38" quotePrefix="1" applyAlignment="1">
      <alignment horizontal="right" vertical="top" wrapText="1"/>
    </xf>
    <xf numFmtId="0" fontId="1" fillId="0" borderId="21" xfId="31" applyBorder="1" applyAlignment="1">
      <alignment horizontal="right" vertical="top" wrapText="1"/>
    </xf>
    <xf numFmtId="0" fontId="1" fillId="0" borderId="3" xfId="31" applyBorder="1" applyAlignment="1">
      <alignment horizontal="right" vertical="top" wrapText="1"/>
    </xf>
    <xf numFmtId="0" fontId="1" fillId="0" borderId="0" xfId="31" applyBorder="1" applyAlignment="1">
      <alignment horizontal="right" vertical="top" wrapText="1"/>
    </xf>
    <xf numFmtId="0" fontId="1" fillId="0" borderId="20" xfId="31" applyBorder="1" applyAlignment="1">
      <alignment horizontal="right" vertical="top" wrapText="1"/>
    </xf>
    <xf numFmtId="0" fontId="1" fillId="0" borderId="16" xfId="31" applyBorder="1" applyAlignment="1">
      <alignment horizontal="right" vertical="top" wrapText="1"/>
    </xf>
    <xf numFmtId="0" fontId="9" fillId="0" borderId="0" xfId="34" applyBorder="1" applyAlignment="1">
      <alignment horizontal="right" vertical="top" wrapText="1"/>
    </xf>
    <xf numFmtId="0" fontId="9" fillId="0" borderId="0" xfId="37" applyAlignment="1">
      <alignment horizontal="right" vertical="top" wrapText="1"/>
    </xf>
    <xf numFmtId="0" fontId="1" fillId="0" borderId="21" xfId="30" applyNumberFormat="1" applyBorder="1" applyAlignment="1">
      <alignment horizontal="right" vertical="top" wrapText="1"/>
    </xf>
    <xf numFmtId="0" fontId="1" fillId="0" borderId="18" xfId="31" applyBorder="1" applyAlignment="1">
      <alignment horizontal="right" vertical="top" wrapText="1"/>
    </xf>
    <xf numFmtId="0" fontId="1" fillId="0" borderId="28" xfId="3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wrapText="1"/>
    </xf>
    <xf numFmtId="0" fontId="1" fillId="0" borderId="0" xfId="1" quotePrefix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2" fillId="0" borderId="0" xfId="2" quotePrefix="1" applyAlignment="1">
      <alignment horizontal="right" vertical="top" wrapText="1"/>
    </xf>
    <xf numFmtId="0" fontId="2" fillId="0" borderId="0" xfId="2" applyAlignment="1">
      <alignment horizontal="right" vertical="top" wrapText="1"/>
    </xf>
    <xf numFmtId="0" fontId="3" fillId="0" borderId="0" xfId="13" quotePrefix="1" applyAlignment="1">
      <alignment horizontal="left" vertical="center" wrapText="1"/>
    </xf>
    <xf numFmtId="0" fontId="3" fillId="0" borderId="0" xfId="13" applyAlignment="1">
      <alignment horizontal="left" vertical="center" wrapText="1"/>
    </xf>
    <xf numFmtId="0" fontId="4" fillId="0" borderId="0" xfId="24" quotePrefix="1" applyAlignment="1">
      <alignment horizontal="left" vertical="center" wrapText="1"/>
    </xf>
    <xf numFmtId="0" fontId="4" fillId="0" borderId="0" xfId="24" applyAlignment="1">
      <alignment horizontal="left" vertical="center" wrapText="1"/>
    </xf>
    <xf numFmtId="0" fontId="4" fillId="0" borderId="0" xfId="35" quotePrefix="1" applyAlignment="1">
      <alignment horizontal="left" vertical="center" wrapText="1"/>
    </xf>
    <xf numFmtId="0" fontId="4" fillId="0" borderId="0" xfId="35" applyAlignment="1">
      <alignment horizontal="left" vertical="center" wrapText="1"/>
    </xf>
    <xf numFmtId="0" fontId="5" fillId="0" borderId="0" xfId="46" quotePrefix="1" applyAlignment="1">
      <alignment horizontal="left" vertical="top" wrapText="1"/>
    </xf>
    <xf numFmtId="0" fontId="5" fillId="0" borderId="0" xfId="46" applyAlignment="1">
      <alignment horizontal="left" vertical="top" wrapText="1"/>
    </xf>
    <xf numFmtId="0" fontId="4" fillId="0" borderId="5" xfId="47" quotePrefix="1" applyBorder="1" applyAlignment="1">
      <alignment horizontal="left" vertical="center" wrapText="1"/>
    </xf>
    <xf numFmtId="0" fontId="4" fillId="0" borderId="5" xfId="47" applyBorder="1" applyAlignment="1">
      <alignment horizontal="left" vertical="center" wrapText="1"/>
    </xf>
    <xf numFmtId="0" fontId="6" fillId="0" borderId="0" xfId="48" quotePrefix="1" applyAlignment="1">
      <alignment horizontal="left" vertical="center" wrapText="1"/>
    </xf>
    <xf numFmtId="0" fontId="6" fillId="0" borderId="0" xfId="48" applyAlignment="1">
      <alignment horizontal="left" vertical="center" wrapText="1"/>
    </xf>
    <xf numFmtId="0" fontId="6" fillId="0" borderId="0" xfId="49" quotePrefix="1" applyAlignment="1">
      <alignment horizontal="left" vertical="top" wrapText="1"/>
    </xf>
    <xf numFmtId="0" fontId="6" fillId="0" borderId="0" xfId="49" applyAlignment="1">
      <alignment horizontal="left" vertical="top" wrapText="1"/>
    </xf>
    <xf numFmtId="0" fontId="5" fillId="0" borderId="5" xfId="50" quotePrefix="1" applyBorder="1" applyAlignment="1">
      <alignment horizontal="center" wrapText="1"/>
    </xf>
    <xf numFmtId="0" fontId="5" fillId="0" borderId="5" xfId="50" applyBorder="1" applyAlignment="1">
      <alignment horizontal="center" wrapText="1"/>
    </xf>
    <xf numFmtId="0" fontId="5" fillId="0" borderId="0" xfId="12" quotePrefix="1" applyAlignment="1">
      <alignment horizontal="left" vertical="top" wrapText="1"/>
    </xf>
    <xf numFmtId="0" fontId="5" fillId="0" borderId="0" xfId="12" applyAlignment="1">
      <alignment horizontal="left" vertical="top" wrapText="1"/>
    </xf>
    <xf numFmtId="0" fontId="5" fillId="0" borderId="0" xfId="14" applyNumberFormat="1" applyAlignment="1">
      <alignment horizontal="right" vertical="top" wrapText="1"/>
    </xf>
    <xf numFmtId="0" fontId="0" fillId="0" borderId="0" xfId="0" applyAlignment="1">
      <alignment wrapText="1"/>
    </xf>
    <xf numFmtId="0" fontId="5" fillId="0" borderId="0" xfId="16" quotePrefix="1" applyAlignment="1">
      <alignment horizontal="left" vertical="top" wrapText="1"/>
    </xf>
    <xf numFmtId="0" fontId="5" fillId="0" borderId="0" xfId="16" applyAlignment="1">
      <alignment horizontal="left" vertical="top" wrapText="1"/>
    </xf>
    <xf numFmtId="0" fontId="5" fillId="0" borderId="0" xfId="11" quotePrefix="1" applyAlignment="1">
      <alignment horizontal="left" vertical="top" wrapText="1"/>
    </xf>
    <xf numFmtId="0" fontId="5" fillId="0" borderId="0" xfId="11" applyAlignment="1">
      <alignment horizontal="left" vertical="top" wrapText="1"/>
    </xf>
    <xf numFmtId="0" fontId="5" fillId="0" borderId="0" xfId="15" quotePrefix="1" applyAlignment="1">
      <alignment horizontal="left" vertical="top" wrapText="1"/>
    </xf>
    <xf numFmtId="0" fontId="5" fillId="0" borderId="0" xfId="15" applyAlignment="1">
      <alignment horizontal="left" vertical="top" wrapText="1"/>
    </xf>
    <xf numFmtId="0" fontId="7" fillId="0" borderId="6" xfId="3" quotePrefix="1" applyBorder="1" applyAlignment="1">
      <alignment horizontal="center" vertical="top" wrapText="1"/>
    </xf>
    <xf numFmtId="0" fontId="7" fillId="0" borderId="6" xfId="3" applyBorder="1" applyAlignment="1">
      <alignment horizontal="center" vertical="top" wrapText="1"/>
    </xf>
    <xf numFmtId="0" fontId="8" fillId="0" borderId="0" xfId="4" quotePrefix="1" applyAlignment="1">
      <alignment horizontal="center" wrapText="1"/>
    </xf>
    <xf numFmtId="0" fontId="8" fillId="0" borderId="0" xfId="4" applyAlignment="1">
      <alignment horizontal="center" wrapText="1"/>
    </xf>
    <xf numFmtId="0" fontId="5" fillId="0" borderId="0" xfId="5" quotePrefix="1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0" fontId="5" fillId="0" borderId="0" xfId="6" quotePrefix="1" applyAlignment="1">
      <alignment horizontal="left" vertical="center" wrapText="1"/>
    </xf>
    <xf numFmtId="0" fontId="5" fillId="0" borderId="0" xfId="6" applyAlignment="1">
      <alignment horizontal="left" vertical="center" wrapText="1"/>
    </xf>
    <xf numFmtId="0" fontId="5" fillId="0" borderId="0" xfId="7" quotePrefix="1" applyAlignment="1">
      <alignment horizontal="left" vertical="center" wrapText="1"/>
    </xf>
    <xf numFmtId="0" fontId="5" fillId="0" borderId="0" xfId="7" applyAlignment="1">
      <alignment horizontal="left" vertical="center" wrapText="1"/>
    </xf>
    <xf numFmtId="0" fontId="5" fillId="0" borderId="0" xfId="8" quotePrefix="1" applyAlignment="1">
      <alignment horizontal="left" wrapText="1"/>
    </xf>
    <xf numFmtId="0" fontId="5" fillId="0" borderId="0" xfId="8" applyAlignment="1">
      <alignment horizontal="left" wrapText="1"/>
    </xf>
    <xf numFmtId="0" fontId="5" fillId="0" borderId="0" xfId="9" applyNumberFormat="1" applyAlignment="1">
      <alignment horizontal="right" wrapText="1"/>
    </xf>
    <xf numFmtId="0" fontId="5" fillId="0" borderId="0" xfId="10" quotePrefix="1" applyAlignment="1">
      <alignment horizontal="left" wrapText="1"/>
    </xf>
    <xf numFmtId="0" fontId="5" fillId="0" borderId="0" xfId="10" applyAlignment="1">
      <alignment horizontal="left" wrapText="1"/>
    </xf>
    <xf numFmtId="0" fontId="1" fillId="0" borderId="1" xfId="17" quotePrefix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2" xfId="18" quotePrefix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4" xfId="19" quotePrefix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" fillId="0" borderId="8" xfId="20" quotePrefix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" fillId="0" borderId="8" xfId="19" quotePrefix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" fillId="0" borderId="11" xfId="21" quotePrefix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0" borderId="8" xfId="25" applyNumberFormat="1" applyBorder="1" applyAlignment="1">
      <alignment horizontal="center" vertical="center" wrapText="1"/>
    </xf>
    <xf numFmtId="0" fontId="3" fillId="0" borderId="10" xfId="27" quotePrefix="1" applyBorder="1" applyAlignment="1">
      <alignment horizontal="center" vertical="center" wrapText="1"/>
    </xf>
    <xf numFmtId="0" fontId="3" fillId="0" borderId="10" xfId="27" applyBorder="1" applyAlignment="1">
      <alignment horizontal="center" vertical="center" wrapText="1"/>
    </xf>
    <xf numFmtId="0" fontId="1" fillId="0" borderId="2" xfId="28" quotePrefix="1" applyBorder="1" applyAlignment="1">
      <alignment horizontal="center" vertical="top" wrapText="1"/>
    </xf>
    <xf numFmtId="0" fontId="1" fillId="0" borderId="2" xfId="29" quotePrefix="1" applyBorder="1" applyAlignment="1">
      <alignment horizontal="left" vertical="top" wrapText="1"/>
    </xf>
    <xf numFmtId="0" fontId="1" fillId="0" borderId="4" xfId="29" quotePrefix="1" applyBorder="1" applyAlignment="1">
      <alignment horizontal="left" vertical="top" wrapText="1"/>
    </xf>
    <xf numFmtId="0" fontId="1" fillId="0" borderId="2" xfId="31" applyNumberFormat="1" applyBorder="1" applyAlignment="1">
      <alignment horizontal="right" vertical="top" wrapText="1"/>
    </xf>
    <xf numFmtId="0" fontId="1" fillId="0" borderId="22" xfId="31" applyNumberFormat="1" applyBorder="1" applyAlignment="1">
      <alignment horizontal="right" vertical="top" wrapText="1"/>
    </xf>
    <xf numFmtId="0" fontId="0" fillId="0" borderId="23" xfId="0" applyBorder="1" applyAlignment="1">
      <alignment wrapText="1"/>
    </xf>
    <xf numFmtId="0" fontId="1" fillId="0" borderId="16" xfId="29" applyBorder="1" applyAlignment="1">
      <alignment horizontal="left" vertical="top" wrapText="1"/>
    </xf>
    <xf numFmtId="0" fontId="1" fillId="0" borderId="16" xfId="28" applyBorder="1" applyAlignment="1">
      <alignment horizontal="center" vertical="top" wrapText="1"/>
    </xf>
    <xf numFmtId="0" fontId="1" fillId="0" borderId="7" xfId="29" applyBorder="1" applyAlignment="1">
      <alignment horizontal="left" vertical="top" wrapText="1"/>
    </xf>
    <xf numFmtId="0" fontId="1" fillId="0" borderId="17" xfId="29" applyBorder="1" applyAlignment="1">
      <alignment horizontal="left" vertical="top" wrapText="1"/>
    </xf>
    <xf numFmtId="0" fontId="1" fillId="0" borderId="18" xfId="29" applyBorder="1" applyAlignment="1">
      <alignment horizontal="left" vertical="top" wrapText="1"/>
    </xf>
    <xf numFmtId="0" fontId="0" fillId="0" borderId="1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3" fillId="0" borderId="21" xfId="33" quotePrefix="1" applyBorder="1" applyAlignment="1">
      <alignment horizontal="left" vertical="top" wrapText="1"/>
    </xf>
    <xf numFmtId="0" fontId="3" fillId="0" borderId="21" xfId="33" applyBorder="1" applyAlignment="1">
      <alignment horizontal="left" vertical="top" wrapText="1"/>
    </xf>
    <xf numFmtId="0" fontId="9" fillId="0" borderId="21" xfId="34" applyNumberFormat="1" applyBorder="1" applyAlignment="1">
      <alignment horizontal="right" vertical="top" wrapText="1"/>
    </xf>
    <xf numFmtId="0" fontId="0" fillId="0" borderId="21" xfId="0" applyBorder="1" applyAlignment="1">
      <alignment vertical="top" wrapText="1"/>
    </xf>
    <xf numFmtId="0" fontId="3" fillId="0" borderId="20" xfId="39" quotePrefix="1" applyBorder="1" applyAlignment="1">
      <alignment horizontal="right" vertical="top" wrapText="1"/>
    </xf>
    <xf numFmtId="0" fontId="3" fillId="0" borderId="20" xfId="39" applyBorder="1" applyAlignment="1">
      <alignment horizontal="right" vertical="top" wrapText="1"/>
    </xf>
    <xf numFmtId="0" fontId="3" fillId="0" borderId="24" xfId="41" quotePrefix="1" applyBorder="1" applyAlignment="1">
      <alignment horizontal="right" vertical="top" wrapText="1"/>
    </xf>
    <xf numFmtId="0" fontId="0" fillId="0" borderId="9" xfId="0" applyBorder="1" applyAlignment="1">
      <alignment vertical="top" wrapText="1"/>
    </xf>
    <xf numFmtId="0" fontId="4" fillId="0" borderId="8" xfId="40" quotePrefix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1" fillId="0" borderId="8" xfId="31" applyNumberFormat="1" applyBorder="1" applyAlignment="1">
      <alignment horizontal="right" vertical="top" wrapText="1"/>
    </xf>
    <xf numFmtId="0" fontId="3" fillId="0" borderId="8" xfId="41" quotePrefix="1" applyBorder="1" applyAlignment="1">
      <alignment horizontal="right" vertical="top" wrapText="1"/>
    </xf>
    <xf numFmtId="0" fontId="0" fillId="0" borderId="25" xfId="0" applyBorder="1" applyAlignment="1">
      <alignment vertical="top" wrapText="1"/>
    </xf>
    <xf numFmtId="0" fontId="4" fillId="0" borderId="10" xfId="40" applyBorder="1" applyAlignment="1">
      <alignment horizontal="left" vertical="top" wrapText="1"/>
    </xf>
    <xf numFmtId="0" fontId="4" fillId="0" borderId="9" xfId="40" applyBorder="1" applyAlignment="1">
      <alignment horizontal="left" vertical="top" wrapText="1"/>
    </xf>
    <xf numFmtId="0" fontId="1" fillId="0" borderId="26" xfId="28" quotePrefix="1" applyBorder="1" applyAlignment="1">
      <alignment horizontal="center" vertical="top" wrapText="1"/>
    </xf>
    <xf numFmtId="0" fontId="0" fillId="0" borderId="27" xfId="0" applyBorder="1" applyAlignment="1">
      <alignment wrapText="1"/>
    </xf>
    <xf numFmtId="0" fontId="1" fillId="0" borderId="2" xfId="31" applyBorder="1" applyAlignment="1">
      <alignment horizontal="right" vertical="top" wrapText="1"/>
    </xf>
    <xf numFmtId="0" fontId="1" fillId="0" borderId="22" xfId="31" applyBorder="1" applyAlignment="1">
      <alignment horizontal="right" vertical="top" wrapText="1"/>
    </xf>
    <xf numFmtId="0" fontId="1" fillId="0" borderId="23" xfId="31" applyBorder="1" applyAlignment="1">
      <alignment horizontal="right" vertical="top" wrapText="1"/>
    </xf>
    <xf numFmtId="0" fontId="1" fillId="0" borderId="16" xfId="31" applyBorder="1" applyAlignment="1">
      <alignment horizontal="right" vertical="top" wrapText="1"/>
    </xf>
    <xf numFmtId="0" fontId="1" fillId="0" borderId="27" xfId="28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5" xfId="0" applyBorder="1" applyAlignment="1">
      <alignment wrapText="1"/>
    </xf>
    <xf numFmtId="0" fontId="4" fillId="0" borderId="0" xfId="44" quotePrefix="1" applyAlignment="1">
      <alignment horizontal="left" vertical="top" wrapText="1"/>
    </xf>
    <xf numFmtId="0" fontId="4" fillId="0" borderId="0" xfId="44" applyAlignment="1">
      <alignment horizontal="left" vertical="top" wrapText="1"/>
    </xf>
    <xf numFmtId="0" fontId="4" fillId="0" borderId="0" xfId="42" quotePrefix="1" applyAlignment="1">
      <alignment horizontal="right" vertical="center" wrapText="1"/>
    </xf>
    <xf numFmtId="0" fontId="4" fillId="0" borderId="0" xfId="42" applyAlignment="1">
      <alignment horizontal="right" vertical="center" wrapText="1"/>
    </xf>
    <xf numFmtId="0" fontId="4" fillId="0" borderId="0" xfId="43" quotePrefix="1" applyAlignment="1">
      <alignment horizontal="left" vertical="center" wrapText="1"/>
    </xf>
    <xf numFmtId="0" fontId="4" fillId="0" borderId="0" xfId="43" applyAlignment="1">
      <alignment horizontal="left" vertical="center" wrapText="1"/>
    </xf>
    <xf numFmtId="0" fontId="4" fillId="0" borderId="5" xfId="45" quotePrefix="1" applyBorder="1" applyAlignment="1">
      <alignment horizontal="left" vertical="center" wrapText="1"/>
    </xf>
    <xf numFmtId="0" fontId="4" fillId="0" borderId="5" xfId="45" applyBorder="1" applyAlignment="1">
      <alignment horizontal="left" vertical="center" wrapText="1"/>
    </xf>
    <xf numFmtId="0" fontId="4" fillId="0" borderId="24" xfId="40" quotePrefix="1" applyBorder="1" applyAlignment="1">
      <alignment horizontal="left" vertical="top" wrapText="1"/>
    </xf>
    <xf numFmtId="0" fontId="4" fillId="0" borderId="21" xfId="44" quotePrefix="1" applyBorder="1" applyAlignment="1">
      <alignment horizontal="left" vertical="top" wrapText="1"/>
    </xf>
    <xf numFmtId="0" fontId="4" fillId="0" borderId="21" xfId="44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</cellXfs>
  <cellStyles count="51">
    <cellStyle name="S0" xfId="1"/>
    <cellStyle name="S1" xfId="2"/>
    <cellStyle name="S10" xfId="3"/>
    <cellStyle name="S11" xfId="4"/>
    <cellStyle name="S12" xfId="5"/>
    <cellStyle name="S13" xfId="6"/>
    <cellStyle name="S14" xfId="7"/>
    <cellStyle name="S15" xfId="8"/>
    <cellStyle name="S16" xfId="9"/>
    <cellStyle name="S17" xfId="10"/>
    <cellStyle name="S18" xfId="11"/>
    <cellStyle name="S19" xfId="12"/>
    <cellStyle name="S2" xfId="13"/>
    <cellStyle name="S20" xfId="14"/>
    <cellStyle name="S21" xfId="15"/>
    <cellStyle name="S22" xfId="16"/>
    <cellStyle name="S23" xfId="17"/>
    <cellStyle name="S24" xfId="18"/>
    <cellStyle name="S25" xfId="19"/>
    <cellStyle name="S26" xfId="20"/>
    <cellStyle name="S27" xfId="21"/>
    <cellStyle name="S28" xfId="22"/>
    <cellStyle name="S29" xfId="23"/>
    <cellStyle name="S3" xfId="24"/>
    <cellStyle name="S30" xfId="25"/>
    <cellStyle name="S31" xfId="26"/>
    <cellStyle name="S32" xfId="27"/>
    <cellStyle name="S33" xfId="28"/>
    <cellStyle name="S34" xfId="29"/>
    <cellStyle name="S35" xfId="30"/>
    <cellStyle name="S36" xfId="31"/>
    <cellStyle name="S37" xfId="32"/>
    <cellStyle name="S38" xfId="33"/>
    <cellStyle name="S39" xfId="34"/>
    <cellStyle name="S4" xfId="35"/>
    <cellStyle name="S40" xfId="36"/>
    <cellStyle name="S41" xfId="37"/>
    <cellStyle name="S42" xfId="38"/>
    <cellStyle name="S43" xfId="39"/>
    <cellStyle name="S44" xfId="40"/>
    <cellStyle name="S45" xfId="41"/>
    <cellStyle name="S46" xfId="42"/>
    <cellStyle name="S47" xfId="43"/>
    <cellStyle name="S48" xfId="44"/>
    <cellStyle name="S49" xfId="45"/>
    <cellStyle name="S5" xfId="46"/>
    <cellStyle name="S6" xfId="47"/>
    <cellStyle name="S7" xfId="48"/>
    <cellStyle name="S8" xfId="49"/>
    <cellStyle name="S9" xfId="50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8"/>
  <sheetViews>
    <sheetView tabSelected="1" view="pageBreakPreview" topLeftCell="C12" zoomScale="130" zoomScaleNormal="100" zoomScaleSheetLayoutView="130" workbookViewId="0">
      <selection activeCell="N76" sqref="N76:Q89"/>
    </sheetView>
  </sheetViews>
  <sheetFormatPr defaultRowHeight="15"/>
  <cols>
    <col min="1" max="1" width="4" style="2" customWidth="1"/>
    <col min="2" max="2" width="11.5703125" style="2" customWidth="1"/>
    <col min="3" max="3" width="30.42578125" style="2" customWidth="1"/>
    <col min="4" max="4" width="28.5703125" style="2" customWidth="1"/>
    <col min="5" max="12" width="7.85546875" style="2" customWidth="1"/>
    <col min="13" max="13" width="9.140625" style="2"/>
    <col min="14" max="14" width="10.42578125" style="2" bestFit="1" customWidth="1"/>
    <col min="15" max="15" width="9.28515625" style="2" bestFit="1" customWidth="1"/>
    <col min="16" max="16" width="12.7109375" style="2" bestFit="1" customWidth="1"/>
    <col min="17" max="17" width="12.5703125" style="2" bestFit="1" customWidth="1"/>
    <col min="18" max="18" width="11.5703125" style="2" bestFit="1" customWidth="1"/>
    <col min="19" max="19" width="9.140625" style="2"/>
    <col min="20" max="20" width="11.5703125" style="2" bestFit="1" customWidth="1"/>
    <col min="21" max="16384" width="9.140625" style="2"/>
  </cols>
  <sheetData>
    <row r="1" spans="1:12" ht="17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 t="s">
        <v>1</v>
      </c>
      <c r="L1" s="54"/>
    </row>
    <row r="2" spans="1:12" ht="14.25" customHeight="1">
      <c r="A2" s="55" t="s">
        <v>2</v>
      </c>
      <c r="B2" s="56"/>
      <c r="C2" s="3" t="s">
        <v>3</v>
      </c>
      <c r="D2" s="57" t="s">
        <v>4</v>
      </c>
      <c r="E2" s="58"/>
      <c r="F2" s="58"/>
      <c r="G2" s="55" t="s">
        <v>5</v>
      </c>
      <c r="H2" s="56"/>
      <c r="I2" s="59" t="s">
        <v>3</v>
      </c>
      <c r="J2" s="60"/>
      <c r="K2" s="60"/>
      <c r="L2" s="60"/>
    </row>
    <row r="3" spans="1:12" ht="14.25" customHeight="1">
      <c r="A3" s="59" t="s">
        <v>4</v>
      </c>
      <c r="B3" s="60"/>
      <c r="C3" s="4" t="s">
        <v>3</v>
      </c>
      <c r="D3" s="57" t="s">
        <v>4</v>
      </c>
      <c r="E3" s="58"/>
      <c r="F3" s="58"/>
      <c r="G3" s="59" t="s">
        <v>4</v>
      </c>
      <c r="H3" s="60"/>
      <c r="I3" s="57" t="s">
        <v>3</v>
      </c>
      <c r="J3" s="58"/>
      <c r="K3" s="58"/>
      <c r="L3" s="58"/>
    </row>
    <row r="4" spans="1:12" ht="5.85" customHeight="1">
      <c r="A4" s="61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14.25" customHeight="1">
      <c r="A5" s="63" t="s">
        <v>4</v>
      </c>
      <c r="B5" s="64"/>
      <c r="C5" s="4" t="s">
        <v>3</v>
      </c>
      <c r="D5" s="57" t="s">
        <v>4</v>
      </c>
      <c r="E5" s="58"/>
      <c r="F5" s="58"/>
      <c r="G5" s="63" t="s">
        <v>4</v>
      </c>
      <c r="H5" s="64"/>
      <c r="I5" s="57" t="s">
        <v>3</v>
      </c>
      <c r="J5" s="58"/>
      <c r="K5" s="58"/>
      <c r="L5" s="58"/>
    </row>
    <row r="6" spans="1:12" ht="14.45" customHeight="1">
      <c r="A6" s="65" t="s">
        <v>6</v>
      </c>
      <c r="B6" s="66"/>
      <c r="C6" s="66"/>
      <c r="D6" s="67" t="s">
        <v>4</v>
      </c>
      <c r="E6" s="68"/>
      <c r="F6" s="68"/>
      <c r="G6" s="65" t="s">
        <v>6</v>
      </c>
      <c r="H6" s="66"/>
      <c r="I6" s="66"/>
      <c r="J6" s="66"/>
      <c r="K6" s="66"/>
      <c r="L6" s="66"/>
    </row>
    <row r="7" spans="1:12" ht="14.25" customHeight="1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1.45" customHeight="1">
      <c r="A8" s="81" t="s">
        <v>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ht="14.25" customHeight="1">
      <c r="A9" s="69" t="s">
        <v>147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ht="11.45" customHeight="1">
      <c r="A10" s="81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ht="23.1" customHeight="1">
      <c r="A11" s="83" t="s">
        <v>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14.25" customHeight="1">
      <c r="A12" s="85" t="s">
        <v>10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2" ht="14.25" customHeight="1">
      <c r="A13" s="87" t="s">
        <v>11</v>
      </c>
      <c r="B13" s="88"/>
      <c r="C13" s="89" t="s">
        <v>12</v>
      </c>
      <c r="D13" s="90"/>
      <c r="E13" s="90"/>
      <c r="F13" s="90"/>
      <c r="G13" s="90"/>
      <c r="H13" s="90"/>
      <c r="I13" s="90"/>
      <c r="J13" s="90"/>
      <c r="K13" s="90"/>
      <c r="L13" s="90"/>
    </row>
    <row r="14" spans="1:12" ht="14.25" customHeight="1">
      <c r="A14" s="91" t="s">
        <v>13</v>
      </c>
      <c r="B14" s="92"/>
      <c r="C14" s="92"/>
      <c r="D14" s="92"/>
      <c r="E14" s="93">
        <v>80.37</v>
      </c>
      <c r="F14" s="74"/>
      <c r="G14" s="94" t="s">
        <v>14</v>
      </c>
      <c r="H14" s="95"/>
      <c r="I14" s="95"/>
      <c r="J14" s="95"/>
      <c r="K14" s="95"/>
      <c r="L14" s="95"/>
    </row>
    <row r="15" spans="1:12" ht="14.25" customHeight="1">
      <c r="A15" s="71" t="s">
        <v>15</v>
      </c>
      <c r="B15" s="72"/>
      <c r="C15" s="72"/>
      <c r="D15" s="72"/>
      <c r="E15" s="73">
        <v>5.3</v>
      </c>
      <c r="F15" s="74"/>
      <c r="G15" s="75" t="s">
        <v>14</v>
      </c>
      <c r="H15" s="76"/>
      <c r="I15" s="76"/>
      <c r="J15" s="76"/>
      <c r="K15" s="76"/>
      <c r="L15" s="76"/>
    </row>
    <row r="16" spans="1:12" ht="14.25" customHeight="1">
      <c r="A16" s="77" t="s">
        <v>16</v>
      </c>
      <c r="B16" s="78"/>
      <c r="C16" s="78"/>
      <c r="D16" s="78"/>
      <c r="E16" s="73">
        <v>476</v>
      </c>
      <c r="F16" s="74"/>
      <c r="G16" s="79" t="s">
        <v>17</v>
      </c>
      <c r="H16" s="80"/>
      <c r="I16" s="80"/>
      <c r="J16" s="80"/>
      <c r="K16" s="80"/>
      <c r="L16" s="80"/>
    </row>
    <row r="17" spans="1:16" ht="14.25" customHeight="1">
      <c r="A17" s="87" t="s">
        <v>18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6" ht="20.100000000000001" customHeight="1">
      <c r="A18" s="96" t="s">
        <v>19</v>
      </c>
      <c r="B18" s="99" t="s">
        <v>20</v>
      </c>
      <c r="C18" s="102" t="s">
        <v>21</v>
      </c>
      <c r="D18" s="103"/>
      <c r="E18" s="99" t="s">
        <v>22</v>
      </c>
      <c r="F18" s="107" t="s">
        <v>23</v>
      </c>
      <c r="G18" s="108"/>
      <c r="H18" s="109" t="s">
        <v>24</v>
      </c>
      <c r="I18" s="110"/>
      <c r="J18" s="108"/>
      <c r="K18" s="111" t="s">
        <v>25</v>
      </c>
      <c r="L18" s="112"/>
    </row>
    <row r="19" spans="1:16" ht="31.5" customHeight="1">
      <c r="A19" s="97"/>
      <c r="B19" s="100"/>
      <c r="C19" s="104"/>
      <c r="D19" s="97"/>
      <c r="E19" s="100"/>
      <c r="F19" s="5" t="s">
        <v>26</v>
      </c>
      <c r="G19" s="1" t="s">
        <v>27</v>
      </c>
      <c r="H19" s="99" t="s">
        <v>26</v>
      </c>
      <c r="I19" s="99" t="s">
        <v>28</v>
      </c>
      <c r="J19" s="1" t="s">
        <v>27</v>
      </c>
      <c r="K19" s="104"/>
      <c r="L19" s="74"/>
    </row>
    <row r="20" spans="1:16" ht="34.5" customHeight="1">
      <c r="A20" s="98"/>
      <c r="B20" s="101"/>
      <c r="C20" s="105"/>
      <c r="D20" s="106"/>
      <c r="E20" s="101"/>
      <c r="F20" s="6" t="s">
        <v>28</v>
      </c>
      <c r="G20" s="7" t="s">
        <v>29</v>
      </c>
      <c r="H20" s="101"/>
      <c r="I20" s="101"/>
      <c r="J20" s="7" t="s">
        <v>29</v>
      </c>
      <c r="K20" s="5" t="s">
        <v>30</v>
      </c>
      <c r="L20" s="8" t="s">
        <v>26</v>
      </c>
    </row>
    <row r="21" spans="1:16" ht="14.25" customHeight="1">
      <c r="A21" s="9">
        <v>1</v>
      </c>
      <c r="B21" s="10">
        <v>2</v>
      </c>
      <c r="C21" s="113">
        <v>3</v>
      </c>
      <c r="D21" s="108"/>
      <c r="E21" s="11">
        <v>4</v>
      </c>
      <c r="F21" s="12">
        <v>5</v>
      </c>
      <c r="G21" s="11">
        <v>6</v>
      </c>
      <c r="H21" s="12">
        <v>7</v>
      </c>
      <c r="I21" s="13">
        <v>8</v>
      </c>
      <c r="J21" s="12">
        <v>9</v>
      </c>
      <c r="K21" s="12">
        <v>10</v>
      </c>
      <c r="L21" s="14">
        <v>11</v>
      </c>
      <c r="M21" s="167" t="s">
        <v>148</v>
      </c>
      <c r="N21" s="167"/>
      <c r="O21" s="167" t="s">
        <v>149</v>
      </c>
      <c r="P21" s="167"/>
    </row>
    <row r="22" spans="1:16" ht="14.25" customHeight="1">
      <c r="A22" s="114" t="s">
        <v>31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</row>
    <row r="23" spans="1:16" ht="14.25" customHeight="1">
      <c r="A23" s="116" t="s">
        <v>32</v>
      </c>
      <c r="B23" s="117" t="s">
        <v>33</v>
      </c>
      <c r="C23" s="118" t="s">
        <v>34</v>
      </c>
      <c r="D23" s="103"/>
      <c r="E23" s="15">
        <v>1</v>
      </c>
      <c r="F23" s="16">
        <v>236.01</v>
      </c>
      <c r="G23" s="17">
        <v>50.44</v>
      </c>
      <c r="H23" s="119">
        <v>236.01</v>
      </c>
      <c r="I23" s="119">
        <v>136.81</v>
      </c>
      <c r="J23" s="16">
        <v>50.44</v>
      </c>
      <c r="K23" s="119">
        <v>12.83</v>
      </c>
      <c r="L23" s="119">
        <v>12.83</v>
      </c>
      <c r="M23" s="168">
        <v>80</v>
      </c>
      <c r="N23" s="170">
        <f>E23*(F24+G24)*M23/100*0.85</f>
        <v>98.219200000000001</v>
      </c>
      <c r="O23" s="168">
        <v>60</v>
      </c>
      <c r="P23" s="170">
        <f>E23*(F24+G24)*O23/100*0.8</f>
        <v>69.33120000000001</v>
      </c>
    </row>
    <row r="24" spans="1:16" ht="54.75" customHeight="1">
      <c r="A24" s="101"/>
      <c r="B24" s="101"/>
      <c r="C24" s="105"/>
      <c r="D24" s="106"/>
      <c r="E24" s="18" t="s">
        <v>35</v>
      </c>
      <c r="F24" s="16">
        <v>136.81</v>
      </c>
      <c r="G24" s="19">
        <v>7.63</v>
      </c>
      <c r="H24" s="101"/>
      <c r="I24" s="101"/>
      <c r="J24" s="16">
        <v>7.63</v>
      </c>
      <c r="K24" s="101"/>
      <c r="L24" s="101"/>
      <c r="M24" s="168"/>
      <c r="N24" s="170"/>
      <c r="O24" s="168"/>
      <c r="P24" s="170"/>
    </row>
    <row r="25" spans="1:16" ht="14.25" customHeight="1">
      <c r="A25" s="116" t="s">
        <v>36</v>
      </c>
      <c r="B25" s="117" t="s">
        <v>37</v>
      </c>
      <c r="C25" s="118" t="s">
        <v>38</v>
      </c>
      <c r="D25" s="124"/>
      <c r="E25" s="20">
        <v>1</v>
      </c>
      <c r="F25" s="21">
        <v>132.31</v>
      </c>
      <c r="G25" s="16">
        <v>43.83</v>
      </c>
      <c r="H25" s="119">
        <v>132.31</v>
      </c>
      <c r="I25" s="119">
        <v>78.69</v>
      </c>
      <c r="J25" s="21">
        <v>43.83</v>
      </c>
      <c r="K25" s="119">
        <v>6.61</v>
      </c>
      <c r="L25" s="120">
        <v>6.61</v>
      </c>
      <c r="M25" s="169">
        <v>80</v>
      </c>
      <c r="N25" s="170">
        <f t="shared" ref="N25" si="0">E25*(F26+G26)*M25/100*0.85</f>
        <v>57.827199999999984</v>
      </c>
      <c r="O25" s="169">
        <v>60</v>
      </c>
      <c r="P25" s="170">
        <f t="shared" ref="P25" si="1">E25*(F26+G26)*O25/100*0.8</f>
        <v>40.819199999999995</v>
      </c>
    </row>
    <row r="26" spans="1:16" ht="42.75" customHeight="1">
      <c r="A26" s="123"/>
      <c r="B26" s="101"/>
      <c r="C26" s="125"/>
      <c r="D26" s="126"/>
      <c r="E26" s="22" t="s">
        <v>39</v>
      </c>
      <c r="F26" s="19">
        <v>78.69</v>
      </c>
      <c r="G26" s="16">
        <v>6.35</v>
      </c>
      <c r="H26" s="101"/>
      <c r="I26" s="101"/>
      <c r="J26" s="19">
        <v>6.35</v>
      </c>
      <c r="K26" s="101"/>
      <c r="L26" s="121"/>
      <c r="M26" s="169"/>
      <c r="N26" s="170"/>
      <c r="O26" s="169"/>
      <c r="P26" s="170"/>
    </row>
    <row r="27" spans="1:16" ht="14.25" customHeight="1">
      <c r="A27" s="116" t="s">
        <v>40</v>
      </c>
      <c r="B27" s="117" t="s">
        <v>41</v>
      </c>
      <c r="C27" s="118" t="s">
        <v>42</v>
      </c>
      <c r="D27" s="103"/>
      <c r="E27" s="23">
        <v>10.98</v>
      </c>
      <c r="F27" s="16">
        <v>815.53</v>
      </c>
      <c r="G27" s="21">
        <v>494.65</v>
      </c>
      <c r="H27" s="119">
        <v>8954.52</v>
      </c>
      <c r="I27" s="119">
        <v>2198.96</v>
      </c>
      <c r="J27" s="16">
        <v>5431.26</v>
      </c>
      <c r="K27" s="119">
        <v>20.34</v>
      </c>
      <c r="L27" s="119">
        <v>223.35</v>
      </c>
      <c r="M27" s="169">
        <v>95</v>
      </c>
      <c r="N27" s="170">
        <f t="shared" ref="N27" si="2">E27*(F28+G28)*M27/100*0.85</f>
        <v>2371.5712979999998</v>
      </c>
      <c r="O27" s="169">
        <v>65</v>
      </c>
      <c r="P27" s="170">
        <f t="shared" ref="P27" si="3">E27*(F28+G28)*O27/100*0.8</f>
        <v>1527.2038080000002</v>
      </c>
    </row>
    <row r="28" spans="1:16" ht="57" customHeight="1">
      <c r="A28" s="101"/>
      <c r="B28" s="122"/>
      <c r="C28" s="105"/>
      <c r="D28" s="106"/>
      <c r="E28" s="18" t="s">
        <v>43</v>
      </c>
      <c r="F28" s="16">
        <v>200.27</v>
      </c>
      <c r="G28" s="19">
        <v>67.209999999999994</v>
      </c>
      <c r="H28" s="101"/>
      <c r="I28" s="101"/>
      <c r="J28" s="16">
        <v>737.97</v>
      </c>
      <c r="K28" s="101"/>
      <c r="L28" s="101"/>
      <c r="M28" s="169"/>
      <c r="N28" s="170"/>
      <c r="O28" s="169"/>
      <c r="P28" s="170"/>
    </row>
    <row r="29" spans="1:16" ht="14.25" customHeight="1">
      <c r="A29" s="116" t="s">
        <v>44</v>
      </c>
      <c r="B29" s="117" t="s">
        <v>45</v>
      </c>
      <c r="C29" s="118" t="s">
        <v>46</v>
      </c>
      <c r="D29" s="124"/>
      <c r="E29" s="20">
        <v>2.7</v>
      </c>
      <c r="F29" s="21">
        <v>947.13</v>
      </c>
      <c r="G29" s="16">
        <v>588.92999999999995</v>
      </c>
      <c r="H29" s="119">
        <v>2557.25</v>
      </c>
      <c r="I29" s="119">
        <v>577.99</v>
      </c>
      <c r="J29" s="21">
        <v>1590.11</v>
      </c>
      <c r="K29" s="119">
        <v>22.33</v>
      </c>
      <c r="L29" s="120">
        <v>60.29</v>
      </c>
      <c r="M29" s="169">
        <v>95</v>
      </c>
      <c r="N29" s="170">
        <f t="shared" ref="N29" si="4">E29*(F30+G30)*M29/100*0.85</f>
        <v>641.40774750000014</v>
      </c>
      <c r="O29" s="169">
        <v>65</v>
      </c>
      <c r="P29" s="170">
        <f t="shared" ref="P29" si="5">E29*(F30+G30)*O29/100*0.8</f>
        <v>413.0427600000001</v>
      </c>
    </row>
    <row r="30" spans="1:16" ht="47.25" customHeight="1">
      <c r="A30" s="123"/>
      <c r="B30" s="127"/>
      <c r="C30" s="125"/>
      <c r="D30" s="126"/>
      <c r="E30" s="22" t="s">
        <v>47</v>
      </c>
      <c r="F30" s="19">
        <v>214.07</v>
      </c>
      <c r="G30" s="16">
        <v>80.12</v>
      </c>
      <c r="H30" s="127"/>
      <c r="I30" s="127"/>
      <c r="J30" s="19">
        <v>216.32</v>
      </c>
      <c r="K30" s="127"/>
      <c r="L30" s="128"/>
      <c r="M30" s="169"/>
      <c r="N30" s="170"/>
      <c r="O30" s="169"/>
      <c r="P30" s="170"/>
    </row>
    <row r="31" spans="1:16" ht="14.25" customHeight="1">
      <c r="A31" s="116" t="s">
        <v>48</v>
      </c>
      <c r="B31" s="117" t="s">
        <v>49</v>
      </c>
      <c r="C31" s="118" t="s">
        <v>50</v>
      </c>
      <c r="D31" s="129"/>
      <c r="E31" s="23">
        <v>0.8</v>
      </c>
      <c r="F31" s="16">
        <v>389.86</v>
      </c>
      <c r="G31" s="21">
        <v>3.06</v>
      </c>
      <c r="H31" s="119">
        <v>311.89</v>
      </c>
      <c r="I31" s="119">
        <v>239.07</v>
      </c>
      <c r="J31" s="16">
        <v>2.4500000000000002</v>
      </c>
      <c r="K31" s="119">
        <v>23.21</v>
      </c>
      <c r="L31" s="119">
        <v>18.57</v>
      </c>
      <c r="M31" s="169">
        <v>95</v>
      </c>
      <c r="N31" s="170">
        <f t="shared" ref="N31" si="6">E31*(F32+G32)*M31/100*0.85</f>
        <v>193.31550000000001</v>
      </c>
      <c r="O31" s="169">
        <v>65</v>
      </c>
      <c r="P31" s="170">
        <f t="shared" ref="P31" si="7">E31*(F32+G32)*O31/100*0.8</f>
        <v>124.48800000000001</v>
      </c>
    </row>
    <row r="32" spans="1:16" ht="66.95" customHeight="1">
      <c r="A32" s="127"/>
      <c r="B32" s="122"/>
      <c r="C32" s="130"/>
      <c r="D32" s="131"/>
      <c r="E32" s="18" t="s">
        <v>51</v>
      </c>
      <c r="F32" s="16">
        <v>298.83999999999997</v>
      </c>
      <c r="G32" s="19">
        <v>0.41</v>
      </c>
      <c r="H32" s="127"/>
      <c r="I32" s="127"/>
      <c r="J32" s="16">
        <v>0.33</v>
      </c>
      <c r="K32" s="127"/>
      <c r="L32" s="127"/>
      <c r="M32" s="169"/>
      <c r="N32" s="170"/>
      <c r="O32" s="169"/>
      <c r="P32" s="170"/>
    </row>
    <row r="33" spans="1:16" ht="14.25" customHeight="1">
      <c r="A33" s="116" t="s">
        <v>52</v>
      </c>
      <c r="B33" s="117" t="s">
        <v>53</v>
      </c>
      <c r="C33" s="118" t="s">
        <v>54</v>
      </c>
      <c r="D33" s="124"/>
      <c r="E33" s="20">
        <v>1</v>
      </c>
      <c r="F33" s="21">
        <v>1374</v>
      </c>
      <c r="G33" s="16">
        <v>61.31</v>
      </c>
      <c r="H33" s="119">
        <v>1374</v>
      </c>
      <c r="I33" s="119">
        <v>785.84</v>
      </c>
      <c r="J33" s="21">
        <v>61.31</v>
      </c>
      <c r="K33" s="119">
        <v>64.39</v>
      </c>
      <c r="L33" s="120">
        <v>64.39</v>
      </c>
      <c r="M33" s="169">
        <v>80</v>
      </c>
      <c r="N33" s="170">
        <f t="shared" ref="N33" si="8">E33*(F34+G34)*M33/100*0.85</f>
        <v>535.23479999999995</v>
      </c>
      <c r="O33" s="169">
        <v>60</v>
      </c>
      <c r="P33" s="170">
        <f t="shared" ref="P33" si="9">E33*(F34+G34)*O33/100*0.8</f>
        <v>377.81279999999998</v>
      </c>
    </row>
    <row r="34" spans="1:16" ht="56.25" customHeight="1">
      <c r="A34" s="123"/>
      <c r="B34" s="127"/>
      <c r="C34" s="125"/>
      <c r="D34" s="126"/>
      <c r="E34" s="22" t="s">
        <v>43</v>
      </c>
      <c r="F34" s="19">
        <v>785.84</v>
      </c>
      <c r="G34" s="16">
        <v>1.27</v>
      </c>
      <c r="H34" s="127"/>
      <c r="I34" s="127"/>
      <c r="J34" s="19">
        <v>1.27</v>
      </c>
      <c r="K34" s="127"/>
      <c r="L34" s="128"/>
      <c r="M34" s="169"/>
      <c r="N34" s="170"/>
      <c r="O34" s="169"/>
      <c r="P34" s="170"/>
    </row>
    <row r="35" spans="1:16" ht="14.25" customHeight="1">
      <c r="A35" s="116" t="s">
        <v>55</v>
      </c>
      <c r="B35" s="117" t="s">
        <v>56</v>
      </c>
      <c r="C35" s="118" t="s">
        <v>57</v>
      </c>
      <c r="D35" s="129"/>
      <c r="E35" s="24">
        <v>2</v>
      </c>
      <c r="F35" s="16">
        <v>82.57</v>
      </c>
      <c r="G35" s="25">
        <v>1.92</v>
      </c>
      <c r="H35" s="119">
        <v>165.14</v>
      </c>
      <c r="I35" s="119">
        <v>72.180000000000007</v>
      </c>
      <c r="J35" s="16">
        <v>3.84</v>
      </c>
      <c r="K35" s="119">
        <v>2.9</v>
      </c>
      <c r="L35" s="119">
        <v>5.79</v>
      </c>
      <c r="M35" s="169">
        <v>95</v>
      </c>
      <c r="N35" s="170">
        <f t="shared" ref="N35" si="10">E35*(F36+G36)*M35/100*0.85</f>
        <v>58.559900000000006</v>
      </c>
      <c r="O35" s="169">
        <v>65</v>
      </c>
      <c r="P35" s="170">
        <f t="shared" ref="P35" si="11">E35*(F36+G36)*O35/100*0.8</f>
        <v>37.710400000000014</v>
      </c>
    </row>
    <row r="36" spans="1:16" ht="63.75" customHeight="1">
      <c r="A36" s="127"/>
      <c r="B36" s="127"/>
      <c r="C36" s="130"/>
      <c r="D36" s="131"/>
      <c r="E36" s="26" t="s">
        <v>35</v>
      </c>
      <c r="F36" s="16">
        <v>36.090000000000003</v>
      </c>
      <c r="G36" s="17">
        <v>0.17</v>
      </c>
      <c r="H36" s="127"/>
      <c r="I36" s="127"/>
      <c r="J36" s="16">
        <v>0.34</v>
      </c>
      <c r="K36" s="127"/>
      <c r="L36" s="127"/>
      <c r="M36" s="169"/>
      <c r="N36" s="170"/>
      <c r="O36" s="169"/>
      <c r="P36" s="170"/>
    </row>
    <row r="37" spans="1:16" ht="12.2" customHeight="1">
      <c r="A37" s="132" t="s">
        <v>58</v>
      </c>
      <c r="B37" s="133"/>
      <c r="C37" s="133"/>
      <c r="D37" s="133"/>
      <c r="E37" s="133"/>
      <c r="F37" s="133"/>
      <c r="G37" s="134">
        <v>13731.12</v>
      </c>
      <c r="H37" s="135"/>
      <c r="I37" s="27">
        <v>4089.54</v>
      </c>
      <c r="J37" s="27">
        <v>7183.24</v>
      </c>
      <c r="K37" s="28"/>
      <c r="L37" s="27">
        <v>391.83</v>
      </c>
      <c r="O37" s="43"/>
      <c r="P37" s="43"/>
    </row>
    <row r="38" spans="1:16" ht="11.45" customHeight="1">
      <c r="A38" s="136" t="s">
        <v>4</v>
      </c>
      <c r="B38" s="137"/>
      <c r="C38" s="137"/>
      <c r="D38" s="137"/>
      <c r="E38" s="137"/>
      <c r="F38" s="137"/>
      <c r="G38" s="137"/>
      <c r="H38" s="137"/>
      <c r="I38" s="137"/>
      <c r="J38" s="29">
        <v>970.21</v>
      </c>
      <c r="K38" s="30" t="s">
        <v>4</v>
      </c>
      <c r="L38" s="31" t="s">
        <v>4</v>
      </c>
      <c r="O38" s="43"/>
      <c r="P38" s="43"/>
    </row>
    <row r="39" spans="1:16" ht="12.95" customHeight="1">
      <c r="A39" s="138" t="s">
        <v>4</v>
      </c>
      <c r="B39" s="139"/>
      <c r="C39" s="140" t="s">
        <v>59</v>
      </c>
      <c r="D39" s="141"/>
      <c r="E39" s="139"/>
      <c r="F39" s="32"/>
      <c r="G39" s="142">
        <v>13731.12</v>
      </c>
      <c r="H39" s="139"/>
      <c r="I39" s="143" t="s">
        <v>4</v>
      </c>
      <c r="J39" s="141"/>
      <c r="K39" s="141"/>
      <c r="L39" s="144"/>
      <c r="N39" s="44">
        <f>SUM(N23:N36)</f>
        <v>3956.1356455000005</v>
      </c>
      <c r="O39" s="43"/>
      <c r="P39" s="44">
        <f>SUM(P23:P36)</f>
        <v>2590.4081680000004</v>
      </c>
    </row>
    <row r="40" spans="1:16" ht="12.95" customHeight="1">
      <c r="A40" s="143" t="s">
        <v>4</v>
      </c>
      <c r="B40" s="139"/>
      <c r="C40" s="140" t="s">
        <v>60</v>
      </c>
      <c r="D40" s="145"/>
      <c r="E40" s="146"/>
      <c r="F40" s="33"/>
      <c r="G40" s="142">
        <v>2458.34</v>
      </c>
      <c r="H40" s="139"/>
      <c r="I40" s="143" t="s">
        <v>4</v>
      </c>
      <c r="J40" s="141"/>
      <c r="K40" s="141"/>
      <c r="L40" s="139"/>
    </row>
    <row r="41" spans="1:16" ht="12.95" customHeight="1">
      <c r="A41" s="138" t="s">
        <v>4</v>
      </c>
      <c r="B41" s="139"/>
      <c r="C41" s="140" t="s">
        <v>61</v>
      </c>
      <c r="D41" s="141"/>
      <c r="E41" s="139"/>
      <c r="F41" s="34"/>
      <c r="G41" s="142">
        <v>2458</v>
      </c>
      <c r="H41" s="139"/>
      <c r="I41" s="143" t="s">
        <v>4</v>
      </c>
      <c r="J41" s="141"/>
      <c r="K41" s="141"/>
      <c r="L41" s="144"/>
    </row>
    <row r="42" spans="1:16" ht="12.95" customHeight="1">
      <c r="A42" s="143" t="s">
        <v>4</v>
      </c>
      <c r="B42" s="139"/>
      <c r="C42" s="140" t="s">
        <v>62</v>
      </c>
      <c r="D42" s="145"/>
      <c r="E42" s="146"/>
      <c r="F42" s="33"/>
      <c r="G42" s="142">
        <v>4089.54</v>
      </c>
      <c r="H42" s="139"/>
      <c r="I42" s="143" t="s">
        <v>4</v>
      </c>
      <c r="J42" s="141"/>
      <c r="K42" s="141"/>
      <c r="L42" s="139"/>
    </row>
    <row r="43" spans="1:16" ht="12.95" customHeight="1">
      <c r="A43" s="138" t="s">
        <v>4</v>
      </c>
      <c r="B43" s="139"/>
      <c r="C43" s="140" t="s">
        <v>63</v>
      </c>
      <c r="D43" s="141"/>
      <c r="E43" s="139"/>
      <c r="F43" s="34"/>
      <c r="G43" s="142">
        <v>7183.24</v>
      </c>
      <c r="H43" s="139"/>
      <c r="I43" s="143" t="s">
        <v>4</v>
      </c>
      <c r="J43" s="141"/>
      <c r="K43" s="141"/>
      <c r="L43" s="144"/>
    </row>
    <row r="44" spans="1:16" ht="12.95" customHeight="1">
      <c r="A44" s="143" t="s">
        <v>4</v>
      </c>
      <c r="B44" s="139"/>
      <c r="C44" s="140" t="s">
        <v>64</v>
      </c>
      <c r="D44" s="145"/>
      <c r="E44" s="146"/>
      <c r="F44" s="33"/>
      <c r="G44" s="142">
        <v>970.21</v>
      </c>
      <c r="H44" s="139"/>
      <c r="I44" s="143" t="s">
        <v>4</v>
      </c>
      <c r="J44" s="141"/>
      <c r="K44" s="141"/>
      <c r="L44" s="139"/>
    </row>
    <row r="45" spans="1:16" ht="12.95" customHeight="1">
      <c r="A45" s="138" t="s">
        <v>4</v>
      </c>
      <c r="B45" s="139"/>
      <c r="C45" s="140" t="s">
        <v>65</v>
      </c>
      <c r="D45" s="141"/>
      <c r="E45" s="139"/>
      <c r="F45" s="34"/>
      <c r="G45" s="142">
        <v>4654.26</v>
      </c>
      <c r="H45" s="139"/>
      <c r="I45" s="143" t="s">
        <v>4</v>
      </c>
      <c r="J45" s="141"/>
      <c r="K45" s="141"/>
      <c r="L45" s="144"/>
    </row>
    <row r="46" spans="1:16" ht="12.95" customHeight="1">
      <c r="A46" s="143" t="s">
        <v>4</v>
      </c>
      <c r="B46" s="139"/>
      <c r="C46" s="140" t="s">
        <v>66</v>
      </c>
      <c r="D46" s="145"/>
      <c r="E46" s="146"/>
      <c r="F46" s="33"/>
      <c r="G46" s="142">
        <v>3238</v>
      </c>
      <c r="H46" s="139"/>
      <c r="I46" s="143" t="s">
        <v>4</v>
      </c>
      <c r="J46" s="141"/>
      <c r="K46" s="141"/>
      <c r="L46" s="139"/>
    </row>
    <row r="47" spans="1:16" ht="12.95" customHeight="1">
      <c r="A47" s="138" t="s">
        <v>4</v>
      </c>
      <c r="B47" s="139"/>
      <c r="C47" s="140" t="s">
        <v>67</v>
      </c>
      <c r="D47" s="141"/>
      <c r="E47" s="139"/>
      <c r="F47" s="35"/>
      <c r="G47" s="142">
        <v>21623</v>
      </c>
      <c r="H47" s="108"/>
      <c r="I47" s="143" t="s">
        <v>4</v>
      </c>
      <c r="J47" s="110"/>
      <c r="K47" s="110"/>
      <c r="L47" s="108"/>
    </row>
    <row r="48" spans="1:16" ht="14.25" customHeight="1">
      <c r="A48" s="114" t="s">
        <v>68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</row>
    <row r="49" spans="1:12" ht="14.25" customHeight="1">
      <c r="A49" s="147" t="s">
        <v>69</v>
      </c>
      <c r="B49" s="117" t="s">
        <v>70</v>
      </c>
      <c r="C49" s="118" t="s">
        <v>71</v>
      </c>
      <c r="D49" s="103"/>
      <c r="E49" s="20">
        <v>2</v>
      </c>
      <c r="F49" s="19">
        <v>170.95</v>
      </c>
      <c r="G49" s="33"/>
      <c r="H49" s="119">
        <v>341.9</v>
      </c>
      <c r="I49" s="149"/>
      <c r="J49" s="32"/>
      <c r="K49" s="149"/>
      <c r="L49" s="150"/>
    </row>
    <row r="50" spans="1:12" ht="14.25" customHeight="1">
      <c r="A50" s="148"/>
      <c r="B50" s="101"/>
      <c r="C50" s="105"/>
      <c r="D50" s="106"/>
      <c r="E50" s="22" t="s">
        <v>35</v>
      </c>
      <c r="F50" s="32"/>
      <c r="G50" s="33"/>
      <c r="H50" s="101"/>
      <c r="I50" s="101"/>
      <c r="J50" s="32"/>
      <c r="K50" s="101"/>
      <c r="L50" s="121"/>
    </row>
    <row r="51" spans="1:12" ht="14.25" customHeight="1">
      <c r="A51" s="116" t="s">
        <v>72</v>
      </c>
      <c r="B51" s="117" t="s">
        <v>73</v>
      </c>
      <c r="C51" s="118" t="s">
        <v>74</v>
      </c>
      <c r="D51" s="103"/>
      <c r="E51" s="23">
        <v>0.44879999999999998</v>
      </c>
      <c r="F51" s="16">
        <v>21234.73</v>
      </c>
      <c r="G51" s="35"/>
      <c r="H51" s="119">
        <v>9530.15</v>
      </c>
      <c r="I51" s="149"/>
      <c r="J51" s="33"/>
      <c r="K51" s="149"/>
      <c r="L51" s="149"/>
    </row>
    <row r="52" spans="1:12" ht="14.25" customHeight="1">
      <c r="A52" s="101"/>
      <c r="B52" s="122"/>
      <c r="C52" s="105"/>
      <c r="D52" s="106"/>
      <c r="E52" s="18" t="s">
        <v>75</v>
      </c>
      <c r="F52" s="36"/>
      <c r="G52" s="32"/>
      <c r="H52" s="101"/>
      <c r="I52" s="152"/>
      <c r="J52" s="36"/>
      <c r="K52" s="152"/>
      <c r="L52" s="101"/>
    </row>
    <row r="53" spans="1:12" ht="14.25" customHeight="1">
      <c r="A53" s="147" t="s">
        <v>76</v>
      </c>
      <c r="B53" s="117" t="s">
        <v>77</v>
      </c>
      <c r="C53" s="118" t="s">
        <v>78</v>
      </c>
      <c r="D53" s="124"/>
      <c r="E53" s="20">
        <v>0.6885</v>
      </c>
      <c r="F53" s="21">
        <v>13595.12</v>
      </c>
      <c r="G53" s="33"/>
      <c r="H53" s="119">
        <v>9360.24</v>
      </c>
      <c r="I53" s="149"/>
      <c r="J53" s="35"/>
      <c r="K53" s="149"/>
      <c r="L53" s="150"/>
    </row>
    <row r="54" spans="1:12" ht="17.45" customHeight="1">
      <c r="A54" s="153"/>
      <c r="B54" s="101"/>
      <c r="C54" s="125"/>
      <c r="D54" s="126"/>
      <c r="E54" s="22" t="s">
        <v>75</v>
      </c>
      <c r="F54" s="32"/>
      <c r="G54" s="33"/>
      <c r="H54" s="101"/>
      <c r="I54" s="101"/>
      <c r="J54" s="32"/>
      <c r="K54" s="101"/>
      <c r="L54" s="151"/>
    </row>
    <row r="55" spans="1:12" ht="14.25" customHeight="1">
      <c r="A55" s="116" t="s">
        <v>79</v>
      </c>
      <c r="B55" s="117" t="s">
        <v>80</v>
      </c>
      <c r="C55" s="118" t="s">
        <v>81</v>
      </c>
      <c r="D55" s="103"/>
      <c r="E55" s="23">
        <v>0.25800000000000001</v>
      </c>
      <c r="F55" s="16">
        <v>31804.61</v>
      </c>
      <c r="G55" s="35"/>
      <c r="H55" s="119">
        <v>8205.59</v>
      </c>
      <c r="I55" s="149"/>
      <c r="J55" s="33"/>
      <c r="K55" s="149"/>
      <c r="L55" s="149"/>
    </row>
    <row r="56" spans="1:12" ht="17.45" customHeight="1">
      <c r="A56" s="101"/>
      <c r="B56" s="122"/>
      <c r="C56" s="105"/>
      <c r="D56" s="106"/>
      <c r="E56" s="18" t="s">
        <v>75</v>
      </c>
      <c r="F56" s="33"/>
      <c r="G56" s="32"/>
      <c r="H56" s="101"/>
      <c r="I56" s="152"/>
      <c r="J56" s="33"/>
      <c r="K56" s="152"/>
      <c r="L56" s="101"/>
    </row>
    <row r="57" spans="1:12" ht="14.25" customHeight="1">
      <c r="A57" s="147" t="s">
        <v>82</v>
      </c>
      <c r="B57" s="117" t="s">
        <v>83</v>
      </c>
      <c r="C57" s="118" t="s">
        <v>84</v>
      </c>
      <c r="D57" s="103"/>
      <c r="E57" s="20">
        <v>0.10199999999999999</v>
      </c>
      <c r="F57" s="25">
        <v>1405.5</v>
      </c>
      <c r="G57" s="33"/>
      <c r="H57" s="119">
        <v>143.36000000000001</v>
      </c>
      <c r="I57" s="149"/>
      <c r="J57" s="34"/>
      <c r="K57" s="149"/>
      <c r="L57" s="149"/>
    </row>
    <row r="58" spans="1:12" ht="14.25" customHeight="1">
      <c r="A58" s="148"/>
      <c r="B58" s="101"/>
      <c r="C58" s="105"/>
      <c r="D58" s="106"/>
      <c r="E58" s="22" t="s">
        <v>75</v>
      </c>
      <c r="F58" s="33"/>
      <c r="G58" s="33"/>
      <c r="H58" s="101"/>
      <c r="I58" s="101"/>
      <c r="J58" s="33"/>
      <c r="K58" s="101"/>
      <c r="L58" s="101"/>
    </row>
    <row r="59" spans="1:12" ht="12.2" customHeight="1">
      <c r="A59" s="132" t="s">
        <v>85</v>
      </c>
      <c r="B59" s="133"/>
      <c r="C59" s="133"/>
      <c r="D59" s="133"/>
      <c r="E59" s="133"/>
      <c r="F59" s="133"/>
      <c r="G59" s="134">
        <v>27581.24</v>
      </c>
      <c r="H59" s="154"/>
      <c r="I59" s="37"/>
      <c r="J59" s="37"/>
      <c r="K59" s="28"/>
      <c r="L59" s="37"/>
    </row>
    <row r="60" spans="1:12" ht="11.45" customHeight="1">
      <c r="A60" s="136" t="s">
        <v>4</v>
      </c>
      <c r="B60" s="137"/>
      <c r="C60" s="137"/>
      <c r="D60" s="137"/>
      <c r="E60" s="137"/>
      <c r="F60" s="137"/>
      <c r="G60" s="137"/>
      <c r="H60" s="137"/>
      <c r="I60" s="137"/>
      <c r="J60" s="38"/>
      <c r="K60" s="30" t="s">
        <v>4</v>
      </c>
      <c r="L60" s="31" t="s">
        <v>4</v>
      </c>
    </row>
    <row r="61" spans="1:12" ht="12.95" customHeight="1">
      <c r="A61" s="143" t="s">
        <v>4</v>
      </c>
      <c r="B61" s="108"/>
      <c r="C61" s="140" t="s">
        <v>59</v>
      </c>
      <c r="D61" s="145"/>
      <c r="E61" s="146"/>
      <c r="F61" s="33"/>
      <c r="G61" s="142">
        <v>27581.24</v>
      </c>
      <c r="H61" s="108"/>
      <c r="I61" s="143" t="s">
        <v>4</v>
      </c>
      <c r="J61" s="110"/>
      <c r="K61" s="110"/>
      <c r="L61" s="108"/>
    </row>
    <row r="62" spans="1:12" ht="12.95" customHeight="1">
      <c r="A62" s="138" t="s">
        <v>4</v>
      </c>
      <c r="B62" s="108"/>
      <c r="C62" s="140" t="s">
        <v>60</v>
      </c>
      <c r="D62" s="110"/>
      <c r="E62" s="108"/>
      <c r="F62" s="34"/>
      <c r="G62" s="142">
        <v>27581.24</v>
      </c>
      <c r="H62" s="108"/>
      <c r="I62" s="143" t="s">
        <v>4</v>
      </c>
      <c r="J62" s="110"/>
      <c r="K62" s="110"/>
      <c r="L62" s="155"/>
    </row>
    <row r="63" spans="1:12" ht="12.95" customHeight="1">
      <c r="A63" s="143" t="s">
        <v>4</v>
      </c>
      <c r="B63" s="108"/>
      <c r="C63" s="140" t="s">
        <v>67</v>
      </c>
      <c r="D63" s="145"/>
      <c r="E63" s="146"/>
      <c r="F63" s="33"/>
      <c r="G63" s="142">
        <v>27581.24</v>
      </c>
      <c r="H63" s="108"/>
      <c r="I63" s="143" t="s">
        <v>4</v>
      </c>
      <c r="J63" s="110"/>
      <c r="K63" s="110"/>
      <c r="L63" s="108"/>
    </row>
    <row r="64" spans="1:12" ht="14.25" customHeight="1">
      <c r="A64" s="114" t="s">
        <v>86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</row>
    <row r="65" spans="1:16" ht="14.25" customHeight="1">
      <c r="A65" s="116" t="s">
        <v>87</v>
      </c>
      <c r="B65" s="117" t="s">
        <v>88</v>
      </c>
      <c r="C65" s="118" t="s">
        <v>89</v>
      </c>
      <c r="D65" s="103"/>
      <c r="E65" s="39">
        <v>1</v>
      </c>
      <c r="F65" s="16">
        <v>26393.83</v>
      </c>
      <c r="G65" s="32"/>
      <c r="H65" s="119">
        <v>26393.83</v>
      </c>
      <c r="I65" s="149"/>
      <c r="J65" s="33"/>
      <c r="K65" s="149"/>
      <c r="L65" s="149"/>
    </row>
    <row r="66" spans="1:16" ht="14.25" customHeight="1">
      <c r="A66" s="101"/>
      <c r="B66" s="101"/>
      <c r="C66" s="105"/>
      <c r="D66" s="106"/>
      <c r="E66" s="18" t="s">
        <v>35</v>
      </c>
      <c r="F66" s="36"/>
      <c r="G66" s="32"/>
      <c r="H66" s="101"/>
      <c r="I66" s="101"/>
      <c r="J66" s="36"/>
      <c r="K66" s="101"/>
      <c r="L66" s="101"/>
    </row>
    <row r="67" spans="1:16" ht="14.25" customHeight="1">
      <c r="A67" s="147" t="s">
        <v>90</v>
      </c>
      <c r="B67" s="117" t="s">
        <v>88</v>
      </c>
      <c r="C67" s="118" t="s">
        <v>91</v>
      </c>
      <c r="D67" s="103"/>
      <c r="E67" s="20">
        <v>1</v>
      </c>
      <c r="F67" s="25">
        <v>4767.78</v>
      </c>
      <c r="G67" s="33"/>
      <c r="H67" s="119">
        <v>4767.78</v>
      </c>
      <c r="I67" s="149"/>
      <c r="J67" s="33"/>
      <c r="K67" s="149"/>
      <c r="L67" s="149"/>
    </row>
    <row r="68" spans="1:16" ht="14.25" customHeight="1">
      <c r="A68" s="148"/>
      <c r="B68" s="101"/>
      <c r="C68" s="105"/>
      <c r="D68" s="106"/>
      <c r="E68" s="22" t="s">
        <v>35</v>
      </c>
      <c r="F68" s="33"/>
      <c r="G68" s="33"/>
      <c r="H68" s="127"/>
      <c r="I68" s="127"/>
      <c r="J68" s="33"/>
      <c r="K68" s="127"/>
      <c r="L68" s="127"/>
    </row>
    <row r="69" spans="1:16" ht="12.2" customHeight="1">
      <c r="A69" s="132" t="s">
        <v>92</v>
      </c>
      <c r="B69" s="133"/>
      <c r="C69" s="133"/>
      <c r="D69" s="133"/>
      <c r="E69" s="133"/>
      <c r="F69" s="133"/>
      <c r="G69" s="134">
        <v>31161.61</v>
      </c>
      <c r="H69" s="135"/>
      <c r="I69" s="37"/>
      <c r="J69" s="37"/>
      <c r="K69" s="28"/>
      <c r="L69" s="37"/>
    </row>
    <row r="70" spans="1:16" ht="11.45" customHeight="1">
      <c r="A70" s="136" t="s">
        <v>4</v>
      </c>
      <c r="B70" s="137"/>
      <c r="C70" s="137"/>
      <c r="D70" s="137"/>
      <c r="E70" s="137"/>
      <c r="F70" s="137"/>
      <c r="G70" s="137"/>
      <c r="H70" s="137"/>
      <c r="I70" s="137"/>
      <c r="J70" s="38"/>
      <c r="K70" s="30" t="s">
        <v>4</v>
      </c>
      <c r="L70" s="31" t="s">
        <v>4</v>
      </c>
    </row>
    <row r="71" spans="1:16" ht="12.95" customHeight="1">
      <c r="A71" s="143" t="s">
        <v>4</v>
      </c>
      <c r="B71" s="139"/>
      <c r="C71" s="140" t="s">
        <v>93</v>
      </c>
      <c r="D71" s="141"/>
      <c r="E71" s="139"/>
      <c r="F71" s="33"/>
      <c r="G71" s="142">
        <v>31161.61</v>
      </c>
      <c r="H71" s="139"/>
      <c r="I71" s="143" t="s">
        <v>4</v>
      </c>
      <c r="J71" s="141"/>
      <c r="K71" s="141"/>
      <c r="L71" s="139"/>
    </row>
    <row r="72" spans="1:16" ht="12.2" customHeight="1">
      <c r="A72" s="132" t="s">
        <v>94</v>
      </c>
      <c r="B72" s="133"/>
      <c r="C72" s="133"/>
      <c r="D72" s="133"/>
      <c r="E72" s="133"/>
      <c r="F72" s="133"/>
      <c r="G72" s="134">
        <v>72473.97</v>
      </c>
      <c r="H72" s="135"/>
      <c r="I72" s="27">
        <v>4089.54</v>
      </c>
      <c r="J72" s="27">
        <v>7183.24</v>
      </c>
      <c r="K72" s="28"/>
      <c r="L72" s="27">
        <v>391.83</v>
      </c>
    </row>
    <row r="73" spans="1:16" ht="11.45" customHeight="1">
      <c r="A73" s="136" t="s">
        <v>4</v>
      </c>
      <c r="B73" s="137"/>
      <c r="C73" s="137"/>
      <c r="D73" s="137"/>
      <c r="E73" s="137"/>
      <c r="F73" s="137"/>
      <c r="G73" s="137"/>
      <c r="H73" s="137"/>
      <c r="I73" s="137"/>
      <c r="J73" s="29">
        <v>970.21</v>
      </c>
      <c r="K73" s="30" t="s">
        <v>4</v>
      </c>
      <c r="L73" s="31" t="s">
        <v>4</v>
      </c>
    </row>
    <row r="74" spans="1:16" ht="12.95" customHeight="1">
      <c r="A74" s="138" t="s">
        <v>4</v>
      </c>
      <c r="B74" s="139"/>
      <c r="C74" s="140" t="s">
        <v>59</v>
      </c>
      <c r="D74" s="141"/>
      <c r="E74" s="139"/>
      <c r="F74" s="32"/>
      <c r="G74" s="142">
        <v>72473.97</v>
      </c>
      <c r="H74" s="139"/>
      <c r="I74" s="143" t="s">
        <v>4</v>
      </c>
      <c r="J74" s="141"/>
      <c r="K74" s="141"/>
      <c r="L74" s="139"/>
    </row>
    <row r="75" spans="1:16" ht="12.95" customHeight="1">
      <c r="A75" s="143" t="s">
        <v>4</v>
      </c>
      <c r="B75" s="139"/>
      <c r="C75" s="140" t="s">
        <v>62</v>
      </c>
      <c r="D75" s="145"/>
      <c r="E75" s="146"/>
      <c r="F75" s="33"/>
      <c r="G75" s="142">
        <v>4089.54</v>
      </c>
      <c r="H75" s="139"/>
      <c r="I75" s="143" t="s">
        <v>4</v>
      </c>
      <c r="J75" s="141"/>
      <c r="K75" s="141"/>
      <c r="L75" s="139"/>
    </row>
    <row r="76" spans="1:16" ht="12.95" customHeight="1">
      <c r="A76" s="138" t="s">
        <v>4</v>
      </c>
      <c r="B76" s="139"/>
      <c r="C76" s="140" t="s">
        <v>63</v>
      </c>
      <c r="D76" s="141"/>
      <c r="E76" s="139"/>
      <c r="F76" s="34"/>
      <c r="G76" s="142">
        <v>7183.24</v>
      </c>
      <c r="H76" s="139"/>
      <c r="I76" s="143" t="s">
        <v>4</v>
      </c>
      <c r="J76" s="141"/>
      <c r="K76" s="141"/>
      <c r="L76" s="139"/>
    </row>
    <row r="77" spans="1:16" ht="12.95" customHeight="1">
      <c r="A77" s="143" t="s">
        <v>4</v>
      </c>
      <c r="B77" s="139"/>
      <c r="C77" s="140" t="s">
        <v>95</v>
      </c>
      <c r="D77" s="145"/>
      <c r="E77" s="146"/>
      <c r="F77" s="33"/>
      <c r="G77" s="142">
        <v>970.21</v>
      </c>
      <c r="H77" s="139"/>
      <c r="I77" s="143" t="s">
        <v>4</v>
      </c>
      <c r="J77" s="141"/>
      <c r="K77" s="141"/>
      <c r="L77" s="139"/>
    </row>
    <row r="78" spans="1:16" ht="12.95" customHeight="1">
      <c r="A78" s="138" t="s">
        <v>4</v>
      </c>
      <c r="B78" s="139"/>
      <c r="C78" s="140" t="s">
        <v>96</v>
      </c>
      <c r="D78" s="141"/>
      <c r="E78" s="139"/>
      <c r="F78" s="34"/>
      <c r="G78" s="142">
        <v>30039.58</v>
      </c>
      <c r="H78" s="108"/>
      <c r="I78" s="143" t="s">
        <v>4</v>
      </c>
      <c r="J78" s="110"/>
      <c r="K78" s="110"/>
      <c r="L78" s="108"/>
    </row>
    <row r="79" spans="1:16" ht="12.95" customHeight="1">
      <c r="A79" s="143" t="s">
        <v>4</v>
      </c>
      <c r="B79" s="108"/>
      <c r="C79" s="140" t="s">
        <v>93</v>
      </c>
      <c r="D79" s="145"/>
      <c r="E79" s="146"/>
      <c r="F79" s="33"/>
      <c r="G79" s="142">
        <v>31161.61</v>
      </c>
      <c r="H79" s="108"/>
      <c r="I79" s="143" t="s">
        <v>4</v>
      </c>
      <c r="J79" s="110"/>
      <c r="K79" s="110"/>
      <c r="L79" s="108"/>
      <c r="P79" s="44"/>
    </row>
    <row r="80" spans="1:16" ht="12.95" customHeight="1">
      <c r="A80" s="138" t="s">
        <v>4</v>
      </c>
      <c r="B80" s="108"/>
      <c r="C80" s="140" t="s">
        <v>65</v>
      </c>
      <c r="D80" s="110"/>
      <c r="E80" s="108"/>
      <c r="F80" s="34"/>
      <c r="G80" s="142">
        <v>4654.26</v>
      </c>
      <c r="H80" s="108"/>
      <c r="I80" s="143" t="s">
        <v>4</v>
      </c>
      <c r="J80" s="110"/>
      <c r="K80" s="110"/>
      <c r="L80" s="108"/>
      <c r="P80" s="44"/>
    </row>
    <row r="81" spans="1:20" ht="12.95" customHeight="1">
      <c r="A81" s="143" t="s">
        <v>4</v>
      </c>
      <c r="B81" s="108"/>
      <c r="C81" s="140" t="s">
        <v>66</v>
      </c>
      <c r="D81" s="145"/>
      <c r="E81" s="146"/>
      <c r="F81" s="33"/>
      <c r="G81" s="142">
        <v>3238</v>
      </c>
      <c r="H81" s="108"/>
      <c r="I81" s="143" t="s">
        <v>4</v>
      </c>
      <c r="J81" s="110"/>
      <c r="K81" s="110"/>
      <c r="L81" s="108"/>
      <c r="P81" s="44"/>
      <c r="R81" s="44">
        <f>SUM(P79:P81)</f>
        <v>0</v>
      </c>
    </row>
    <row r="82" spans="1:20" ht="12.95" customHeight="1">
      <c r="A82" s="138" t="s">
        <v>4</v>
      </c>
      <c r="B82" s="108"/>
      <c r="C82" s="140" t="s">
        <v>97</v>
      </c>
      <c r="D82" s="110"/>
      <c r="E82" s="108"/>
      <c r="F82" s="40"/>
      <c r="G82" s="142">
        <v>49204.62</v>
      </c>
      <c r="H82" s="155"/>
      <c r="I82" s="138" t="s">
        <v>4</v>
      </c>
      <c r="J82" s="110"/>
      <c r="K82" s="110"/>
      <c r="L82" s="108"/>
      <c r="P82" s="44"/>
      <c r="T82" s="44">
        <f>P79+P80+P81+P84</f>
        <v>0</v>
      </c>
    </row>
    <row r="83" spans="1:20" ht="12.95" customHeight="1">
      <c r="A83" s="138" t="s">
        <v>4</v>
      </c>
      <c r="B83" s="155"/>
      <c r="C83" s="164" t="s">
        <v>98</v>
      </c>
      <c r="D83" s="110"/>
      <c r="E83" s="155"/>
      <c r="F83" s="41"/>
      <c r="G83" s="142">
        <v>80366.23</v>
      </c>
      <c r="H83" s="155"/>
      <c r="I83" s="138" t="s">
        <v>4</v>
      </c>
      <c r="J83" s="110"/>
      <c r="K83" s="110"/>
      <c r="L83" s="108"/>
      <c r="P83" s="44"/>
    </row>
    <row r="84" spans="1:20" ht="14.25" customHeight="1">
      <c r="A84" s="165" t="s">
        <v>4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P84" s="44"/>
    </row>
    <row r="85" spans="1:20" ht="14.25" customHeight="1">
      <c r="A85" s="158" t="s">
        <v>99</v>
      </c>
      <c r="B85" s="159"/>
      <c r="C85" s="160" t="s">
        <v>100</v>
      </c>
      <c r="D85" s="161"/>
      <c r="E85" s="162" t="s">
        <v>4</v>
      </c>
      <c r="F85" s="163"/>
      <c r="G85" s="163"/>
      <c r="H85" s="163"/>
      <c r="I85" s="160"/>
      <c r="J85" s="161"/>
      <c r="K85" s="161"/>
      <c r="L85" s="161"/>
      <c r="P85" s="44"/>
    </row>
    <row r="86" spans="1:20" ht="14.25" customHeight="1">
      <c r="A86" s="156" t="s">
        <v>4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P86" s="44"/>
    </row>
    <row r="87" spans="1:20" ht="14.25" customHeight="1">
      <c r="A87" s="158" t="s">
        <v>101</v>
      </c>
      <c r="B87" s="159"/>
      <c r="C87" s="160" t="s">
        <v>102</v>
      </c>
      <c r="D87" s="161"/>
      <c r="E87" s="162" t="s">
        <v>4</v>
      </c>
      <c r="F87" s="163"/>
      <c r="G87" s="163"/>
      <c r="H87" s="163"/>
      <c r="I87" s="160"/>
      <c r="J87" s="161"/>
      <c r="K87" s="161"/>
      <c r="L87" s="161"/>
      <c r="P87" s="44"/>
    </row>
    <row r="88" spans="1:20" ht="14.25" customHeight="1"/>
  </sheetData>
  <mergeCells count="291">
    <mergeCell ref="O33:O34"/>
    <mergeCell ref="P33:P34"/>
    <mergeCell ref="O35:O36"/>
    <mergeCell ref="P35:P36"/>
    <mergeCell ref="M21:N21"/>
    <mergeCell ref="O21:P21"/>
    <mergeCell ref="O23:O24"/>
    <mergeCell ref="P23:P24"/>
    <mergeCell ref="O25:O26"/>
    <mergeCell ref="P25:P26"/>
    <mergeCell ref="O27:O28"/>
    <mergeCell ref="P27:P28"/>
    <mergeCell ref="O29:O30"/>
    <mergeCell ref="P29:P30"/>
    <mergeCell ref="O31:O32"/>
    <mergeCell ref="P31:P32"/>
    <mergeCell ref="N23:N24"/>
    <mergeCell ref="N25:N26"/>
    <mergeCell ref="N27:N28"/>
    <mergeCell ref="N29:N30"/>
    <mergeCell ref="N31:N32"/>
    <mergeCell ref="N33:N34"/>
    <mergeCell ref="N35:N36"/>
    <mergeCell ref="M23:M24"/>
    <mergeCell ref="M25:M26"/>
    <mergeCell ref="M27:M28"/>
    <mergeCell ref="M29:M30"/>
    <mergeCell ref="M31:M32"/>
    <mergeCell ref="M33:M34"/>
    <mergeCell ref="M35:M36"/>
    <mergeCell ref="A86:L86"/>
    <mergeCell ref="A87:B87"/>
    <mergeCell ref="C87:D87"/>
    <mergeCell ref="E87:H87"/>
    <mergeCell ref="I87:L87"/>
    <mergeCell ref="A83:B83"/>
    <mergeCell ref="C83:E83"/>
    <mergeCell ref="G83:H83"/>
    <mergeCell ref="I83:L83"/>
    <mergeCell ref="A84:L84"/>
    <mergeCell ref="A85:B85"/>
    <mergeCell ref="C85:D85"/>
    <mergeCell ref="E85:H85"/>
    <mergeCell ref="I85:L85"/>
    <mergeCell ref="A81:B81"/>
    <mergeCell ref="C81:E81"/>
    <mergeCell ref="G81:H81"/>
    <mergeCell ref="I81:L81"/>
    <mergeCell ref="A82:B82"/>
    <mergeCell ref="C82:E82"/>
    <mergeCell ref="G82:H82"/>
    <mergeCell ref="I82:L82"/>
    <mergeCell ref="A79:B79"/>
    <mergeCell ref="C79:E79"/>
    <mergeCell ref="G79:H79"/>
    <mergeCell ref="I79:L79"/>
    <mergeCell ref="A80:B80"/>
    <mergeCell ref="C80:E80"/>
    <mergeCell ref="G80:H80"/>
    <mergeCell ref="I80:L80"/>
    <mergeCell ref="A76:B76"/>
    <mergeCell ref="C76:E76"/>
    <mergeCell ref="G76:H76"/>
    <mergeCell ref="I76:L76"/>
    <mergeCell ref="A77:B77"/>
    <mergeCell ref="C77:E77"/>
    <mergeCell ref="G77:H77"/>
    <mergeCell ref="I77:L77"/>
    <mergeCell ref="A78:B78"/>
    <mergeCell ref="C78:E78"/>
    <mergeCell ref="G78:H78"/>
    <mergeCell ref="I78:L78"/>
    <mergeCell ref="A72:F72"/>
    <mergeCell ref="G72:H72"/>
    <mergeCell ref="A73:I73"/>
    <mergeCell ref="A74:B74"/>
    <mergeCell ref="C74:E74"/>
    <mergeCell ref="G74:H74"/>
    <mergeCell ref="I74:L74"/>
    <mergeCell ref="A75:B75"/>
    <mergeCell ref="C75:E75"/>
    <mergeCell ref="G75:H75"/>
    <mergeCell ref="I75:L75"/>
    <mergeCell ref="A69:F69"/>
    <mergeCell ref="G69:H69"/>
    <mergeCell ref="A70:I70"/>
    <mergeCell ref="A71:B71"/>
    <mergeCell ref="C71:E71"/>
    <mergeCell ref="G71:H71"/>
    <mergeCell ref="I71:L71"/>
    <mergeCell ref="A67:A68"/>
    <mergeCell ref="B67:B68"/>
    <mergeCell ref="C67:D68"/>
    <mergeCell ref="H67:H68"/>
    <mergeCell ref="I67:I68"/>
    <mergeCell ref="K67:K68"/>
    <mergeCell ref="A64:L64"/>
    <mergeCell ref="A65:A66"/>
    <mergeCell ref="B65:B66"/>
    <mergeCell ref="C65:D66"/>
    <mergeCell ref="H65:H66"/>
    <mergeCell ref="I65:I66"/>
    <mergeCell ref="L67:L68"/>
    <mergeCell ref="A59:F59"/>
    <mergeCell ref="G59:H59"/>
    <mergeCell ref="A60:I60"/>
    <mergeCell ref="A61:B61"/>
    <mergeCell ref="C61:E61"/>
    <mergeCell ref="G61:H61"/>
    <mergeCell ref="I61:L61"/>
    <mergeCell ref="K65:K66"/>
    <mergeCell ref="L65:L66"/>
    <mergeCell ref="A62:B62"/>
    <mergeCell ref="C62:E62"/>
    <mergeCell ref="G62:H62"/>
    <mergeCell ref="I62:L62"/>
    <mergeCell ref="A63:B63"/>
    <mergeCell ref="C63:E63"/>
    <mergeCell ref="G63:H63"/>
    <mergeCell ref="I63:L63"/>
    <mergeCell ref="A57:A58"/>
    <mergeCell ref="B57:B58"/>
    <mergeCell ref="C57:D58"/>
    <mergeCell ref="H57:H58"/>
    <mergeCell ref="I57:I58"/>
    <mergeCell ref="K57:K58"/>
    <mergeCell ref="L57:L58"/>
    <mergeCell ref="A55:A56"/>
    <mergeCell ref="B55:B56"/>
    <mergeCell ref="K53:K54"/>
    <mergeCell ref="L53:L54"/>
    <mergeCell ref="A51:A52"/>
    <mergeCell ref="B51:B52"/>
    <mergeCell ref="C51:D52"/>
    <mergeCell ref="H51:H52"/>
    <mergeCell ref="I51:I52"/>
    <mergeCell ref="K51:K52"/>
    <mergeCell ref="C55:D56"/>
    <mergeCell ref="H55:H56"/>
    <mergeCell ref="I55:I56"/>
    <mergeCell ref="K55:K56"/>
    <mergeCell ref="L51:L52"/>
    <mergeCell ref="A53:A54"/>
    <mergeCell ref="B53:B54"/>
    <mergeCell ref="C53:D54"/>
    <mergeCell ref="H53:H54"/>
    <mergeCell ref="I53:I54"/>
    <mergeCell ref="L55:L56"/>
    <mergeCell ref="A47:B47"/>
    <mergeCell ref="C47:E47"/>
    <mergeCell ref="G47:H47"/>
    <mergeCell ref="I47:L47"/>
    <mergeCell ref="A48:L48"/>
    <mergeCell ref="A49:A50"/>
    <mergeCell ref="B49:B50"/>
    <mergeCell ref="C49:D50"/>
    <mergeCell ref="H49:H50"/>
    <mergeCell ref="I49:I50"/>
    <mergeCell ref="K49:K50"/>
    <mergeCell ref="L49:L50"/>
    <mergeCell ref="A44:B44"/>
    <mergeCell ref="C44:E44"/>
    <mergeCell ref="G44:H44"/>
    <mergeCell ref="I44:L44"/>
    <mergeCell ref="A45:B45"/>
    <mergeCell ref="C45:E45"/>
    <mergeCell ref="G45:H45"/>
    <mergeCell ref="I45:L45"/>
    <mergeCell ref="A46:B46"/>
    <mergeCell ref="C46:E46"/>
    <mergeCell ref="G46:H46"/>
    <mergeCell ref="I46:L46"/>
    <mergeCell ref="A41:B41"/>
    <mergeCell ref="C41:E41"/>
    <mergeCell ref="G41:H41"/>
    <mergeCell ref="I41:L41"/>
    <mergeCell ref="A42:B42"/>
    <mergeCell ref="C42:E42"/>
    <mergeCell ref="G42:H42"/>
    <mergeCell ref="I42:L42"/>
    <mergeCell ref="A43:B43"/>
    <mergeCell ref="C43:E43"/>
    <mergeCell ref="G43:H43"/>
    <mergeCell ref="I43:L43"/>
    <mergeCell ref="A37:F37"/>
    <mergeCell ref="G37:H37"/>
    <mergeCell ref="A38:I38"/>
    <mergeCell ref="A39:B39"/>
    <mergeCell ref="C39:E39"/>
    <mergeCell ref="G39:H39"/>
    <mergeCell ref="I39:L39"/>
    <mergeCell ref="A40:B40"/>
    <mergeCell ref="C40:E40"/>
    <mergeCell ref="G40:H40"/>
    <mergeCell ref="I40:L40"/>
    <mergeCell ref="A35:A36"/>
    <mergeCell ref="B35:B36"/>
    <mergeCell ref="C35:D36"/>
    <mergeCell ref="H35:H36"/>
    <mergeCell ref="I35:I36"/>
    <mergeCell ref="K35:K36"/>
    <mergeCell ref="L35:L36"/>
    <mergeCell ref="A33:A34"/>
    <mergeCell ref="B33:B34"/>
    <mergeCell ref="K31:K32"/>
    <mergeCell ref="L31:L32"/>
    <mergeCell ref="A29:A30"/>
    <mergeCell ref="B29:B30"/>
    <mergeCell ref="C29:D30"/>
    <mergeCell ref="H29:H30"/>
    <mergeCell ref="I29:I30"/>
    <mergeCell ref="K29:K30"/>
    <mergeCell ref="C33:D34"/>
    <mergeCell ref="H33:H34"/>
    <mergeCell ref="I33:I34"/>
    <mergeCell ref="K33:K34"/>
    <mergeCell ref="L29:L30"/>
    <mergeCell ref="A31:A32"/>
    <mergeCell ref="B31:B32"/>
    <mergeCell ref="C31:D32"/>
    <mergeCell ref="H31:H32"/>
    <mergeCell ref="I31:I32"/>
    <mergeCell ref="L33:L34"/>
    <mergeCell ref="A27:A28"/>
    <mergeCell ref="B27:B28"/>
    <mergeCell ref="C27:D28"/>
    <mergeCell ref="H27:H28"/>
    <mergeCell ref="I27:I28"/>
    <mergeCell ref="K27:K28"/>
    <mergeCell ref="L27:L28"/>
    <mergeCell ref="A25:A26"/>
    <mergeCell ref="B25:B26"/>
    <mergeCell ref="C25:D26"/>
    <mergeCell ref="H25:H26"/>
    <mergeCell ref="I25:I26"/>
    <mergeCell ref="K25:K26"/>
    <mergeCell ref="C21:D21"/>
    <mergeCell ref="A22:L22"/>
    <mergeCell ref="A23:A24"/>
    <mergeCell ref="B23:B24"/>
    <mergeCell ref="C23:D24"/>
    <mergeCell ref="H23:H24"/>
    <mergeCell ref="L25:L26"/>
    <mergeCell ref="I23:I24"/>
    <mergeCell ref="K23:K24"/>
    <mergeCell ref="L23:L24"/>
    <mergeCell ref="A17:L17"/>
    <mergeCell ref="A18:A20"/>
    <mergeCell ref="B18:B20"/>
    <mergeCell ref="C18:D20"/>
    <mergeCell ref="E18:E20"/>
    <mergeCell ref="F18:G18"/>
    <mergeCell ref="H18:J18"/>
    <mergeCell ref="K18:L19"/>
    <mergeCell ref="H19:H20"/>
    <mergeCell ref="I19:I20"/>
    <mergeCell ref="A15:D15"/>
    <mergeCell ref="E15:F15"/>
    <mergeCell ref="G15:L15"/>
    <mergeCell ref="A16:D16"/>
    <mergeCell ref="E16:F16"/>
    <mergeCell ref="G16:L16"/>
    <mergeCell ref="A8:L8"/>
    <mergeCell ref="A9:L9"/>
    <mergeCell ref="A10:L10"/>
    <mergeCell ref="A11:L11"/>
    <mergeCell ref="A12:L12"/>
    <mergeCell ref="A13:B13"/>
    <mergeCell ref="C13:L13"/>
    <mergeCell ref="A14:D14"/>
    <mergeCell ref="E14:F14"/>
    <mergeCell ref="G14:L14"/>
    <mergeCell ref="A4:L4"/>
    <mergeCell ref="A5:B5"/>
    <mergeCell ref="D5:F5"/>
    <mergeCell ref="G5:H5"/>
    <mergeCell ref="I5:L5"/>
    <mergeCell ref="A6:C6"/>
    <mergeCell ref="D6:F6"/>
    <mergeCell ref="G6:L6"/>
    <mergeCell ref="A7:L7"/>
    <mergeCell ref="A1:J1"/>
    <mergeCell ref="K1:L1"/>
    <mergeCell ref="A2:B2"/>
    <mergeCell ref="D2:F2"/>
    <mergeCell ref="G2:H2"/>
    <mergeCell ref="I2:L2"/>
    <mergeCell ref="A3:B3"/>
    <mergeCell ref="D3:F3"/>
    <mergeCell ref="G3:H3"/>
    <mergeCell ref="I3:L3"/>
  </mergeCells>
  <pageMargins left="0.54166666666666663" right="0.3611111111111111" top="0.3611111111111111" bottom="0.21666666666666667" header="0.3" footer="0.3"/>
  <pageSetup paperSize="9" scale="98" orientation="landscape" r:id="rId1"/>
  <rowBreaks count="2" manualBreakCount="2">
    <brk id="28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30"/>
  <sheetViews>
    <sheetView topLeftCell="B1" workbookViewId="0">
      <selection activeCell="O24" sqref="O24"/>
    </sheetView>
  </sheetViews>
  <sheetFormatPr defaultRowHeight="15"/>
  <cols>
    <col min="1" max="1" width="18.140625" customWidth="1"/>
    <col min="2" max="2" width="68.7109375" customWidth="1"/>
    <col min="12" max="12" width="3.140625" customWidth="1"/>
    <col min="13" max="13" width="24" customWidth="1"/>
    <col min="15" max="15" width="13.28515625" bestFit="1" customWidth="1"/>
    <col min="17" max="17" width="11.85546875" bestFit="1" customWidth="1"/>
  </cols>
  <sheetData>
    <row r="1" spans="1:15">
      <c r="A1" t="s">
        <v>103</v>
      </c>
      <c r="B1" t="s">
        <v>104</v>
      </c>
      <c r="C1" t="s">
        <v>105</v>
      </c>
      <c r="H1" t="s">
        <v>106</v>
      </c>
      <c r="I1" t="s">
        <v>107</v>
      </c>
    </row>
    <row r="2" spans="1:15">
      <c r="B2" t="s">
        <v>21</v>
      </c>
      <c r="C2" t="s">
        <v>108</v>
      </c>
      <c r="D2" t="s">
        <v>109</v>
      </c>
      <c r="E2" t="s">
        <v>110</v>
      </c>
      <c r="F2" t="s">
        <v>111</v>
      </c>
      <c r="G2" t="s">
        <v>26</v>
      </c>
    </row>
    <row r="3" spans="1:1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</row>
    <row r="4" spans="1:15">
      <c r="A4" s="45">
        <v>37078</v>
      </c>
      <c r="B4" t="s">
        <v>112</v>
      </c>
      <c r="C4" s="46">
        <v>3992.38</v>
      </c>
      <c r="G4" s="46">
        <v>3992.38</v>
      </c>
      <c r="H4">
        <v>720.05</v>
      </c>
      <c r="I4" s="49">
        <v>16</v>
      </c>
    </row>
    <row r="5" spans="1:15">
      <c r="A5" s="45">
        <v>37443</v>
      </c>
      <c r="B5" t="s">
        <v>10</v>
      </c>
      <c r="D5">
        <v>351.2</v>
      </c>
      <c r="E5">
        <v>101.9</v>
      </c>
      <c r="G5">
        <f>SUM(D5:E5)</f>
        <v>453.1</v>
      </c>
      <c r="H5">
        <v>62.44</v>
      </c>
      <c r="I5" s="49">
        <f>G5/250</f>
        <v>1.8124</v>
      </c>
    </row>
    <row r="6" spans="1:15">
      <c r="B6" t="s">
        <v>113</v>
      </c>
      <c r="C6" s="46">
        <v>3992.38</v>
      </c>
      <c r="D6">
        <f>D5</f>
        <v>351.2</v>
      </c>
      <c r="E6">
        <v>101.9</v>
      </c>
      <c r="G6" s="46">
        <f>SUM(G4:G5)</f>
        <v>4445.4800000000005</v>
      </c>
      <c r="I6" s="49">
        <f t="shared" ref="I6:I13" si="0">G6/250</f>
        <v>17.781920000000003</v>
      </c>
    </row>
    <row r="7" spans="1:15">
      <c r="B7" t="s">
        <v>114</v>
      </c>
      <c r="I7" s="49">
        <f t="shared" si="0"/>
        <v>0</v>
      </c>
    </row>
    <row r="8" spans="1:15">
      <c r="A8" t="s">
        <v>115</v>
      </c>
      <c r="B8" t="s">
        <v>116</v>
      </c>
      <c r="C8" s="48">
        <f>C6*K8</f>
        <v>124.562256</v>
      </c>
      <c r="D8" s="48">
        <f>D6*K8</f>
        <v>10.95744</v>
      </c>
      <c r="E8" s="48"/>
      <c r="F8" s="48"/>
      <c r="G8" s="48">
        <f>C8+D8</f>
        <v>135.51969600000001</v>
      </c>
      <c r="H8" s="48">
        <f>G8*0.19</f>
        <v>25.748742240000002</v>
      </c>
      <c r="I8" s="49">
        <f t="shared" si="0"/>
        <v>0.54207878400000009</v>
      </c>
      <c r="K8">
        <f>3.12/100</f>
        <v>3.1200000000000002E-2</v>
      </c>
      <c r="O8" s="48">
        <f>G8+G10+G12</f>
        <v>313.48777385948802</v>
      </c>
    </row>
    <row r="9" spans="1:15">
      <c r="B9" t="s">
        <v>117</v>
      </c>
      <c r="C9" s="48">
        <f>C8+C6</f>
        <v>4116.9422560000003</v>
      </c>
      <c r="D9" s="48">
        <f>D6+D8</f>
        <v>362.15744000000001</v>
      </c>
      <c r="E9" s="48">
        <f>E6</f>
        <v>101.9</v>
      </c>
      <c r="F9" s="48"/>
      <c r="G9" s="48">
        <f>SUM(C9:E9)</f>
        <v>4580.9996959999999</v>
      </c>
      <c r="H9" s="48"/>
      <c r="I9" s="49">
        <f t="shared" si="0"/>
        <v>18.323998784</v>
      </c>
      <c r="M9" s="46">
        <f>SUM(G6:G8)</f>
        <v>4580.9996960000008</v>
      </c>
    </row>
    <row r="10" spans="1:15">
      <c r="A10" t="s">
        <v>118</v>
      </c>
      <c r="B10" t="s">
        <v>119</v>
      </c>
      <c r="C10" s="48">
        <f>C9*K10</f>
        <v>77.810208638399999</v>
      </c>
      <c r="D10" s="48">
        <f>D9*K10</f>
        <v>6.8447756160000006</v>
      </c>
      <c r="E10" s="48"/>
      <c r="F10" s="48"/>
      <c r="G10" s="48">
        <f>SUM(C10:D10)</f>
        <v>84.654984254400006</v>
      </c>
      <c r="H10" s="48">
        <f>G10*0.4</f>
        <v>33.861993701760007</v>
      </c>
      <c r="I10" s="49">
        <f t="shared" si="0"/>
        <v>0.33861993701760001</v>
      </c>
      <c r="K10">
        <f>1.89/100</f>
        <v>1.89E-2</v>
      </c>
    </row>
    <row r="11" spans="1:15">
      <c r="B11" t="s">
        <v>120</v>
      </c>
      <c r="C11" s="48">
        <f>C9+C10</f>
        <v>4194.7524646383999</v>
      </c>
      <c r="D11" s="48">
        <f t="shared" ref="D11:G11" si="1">D9+D10</f>
        <v>369.002215616</v>
      </c>
      <c r="E11" s="48">
        <f t="shared" si="1"/>
        <v>101.9</v>
      </c>
      <c r="F11" s="48"/>
      <c r="G11" s="48">
        <f t="shared" si="1"/>
        <v>4665.6546802543999</v>
      </c>
      <c r="H11" s="48"/>
      <c r="I11" s="49">
        <f t="shared" si="0"/>
        <v>18.662618721017598</v>
      </c>
    </row>
    <row r="12" spans="1:15">
      <c r="A12" t="s">
        <v>121</v>
      </c>
      <c r="B12" t="s">
        <v>122</v>
      </c>
      <c r="C12" s="48">
        <f>C11*$K$12</f>
        <v>83.895049292768007</v>
      </c>
      <c r="D12" s="48">
        <f t="shared" ref="D12:E12" si="2">D11*$K$12</f>
        <v>7.3800443123199999</v>
      </c>
      <c r="E12" s="48">
        <f t="shared" si="2"/>
        <v>2.0380000000000003</v>
      </c>
      <c r="F12" s="48"/>
      <c r="G12" s="48">
        <f>SUM(C12:E12)</f>
        <v>93.313093605088</v>
      </c>
      <c r="H12" s="48"/>
      <c r="I12" s="49">
        <f t="shared" si="0"/>
        <v>0.37325237442035197</v>
      </c>
      <c r="K12">
        <f>2/100</f>
        <v>0.02</v>
      </c>
    </row>
    <row r="13" spans="1:15">
      <c r="B13" t="s">
        <v>123</v>
      </c>
      <c r="C13" s="48"/>
      <c r="D13" s="48"/>
      <c r="E13" s="48"/>
      <c r="F13" s="48"/>
      <c r="G13" s="48">
        <f>G12+G11</f>
        <v>4758.9677738594883</v>
      </c>
      <c r="H13" s="48">
        <f>SUM(H4:H12)</f>
        <v>842.10073594175992</v>
      </c>
      <c r="I13" s="49">
        <f t="shared" si="0"/>
        <v>19.035871095437955</v>
      </c>
    </row>
    <row r="14" spans="1:15">
      <c r="A14" t="s">
        <v>124</v>
      </c>
      <c r="B14" t="s">
        <v>125</v>
      </c>
      <c r="C14" s="48"/>
      <c r="D14" s="48"/>
      <c r="E14" s="48"/>
      <c r="F14" s="48"/>
      <c r="G14" s="48">
        <f>G13*0.18</f>
        <v>856.61419929470787</v>
      </c>
      <c r="H14" s="48"/>
      <c r="I14" s="48"/>
      <c r="K14">
        <f>18/100</f>
        <v>0.18</v>
      </c>
    </row>
    <row r="15" spans="1:15">
      <c r="B15" t="s">
        <v>126</v>
      </c>
      <c r="C15" s="48"/>
      <c r="D15" s="48"/>
      <c r="E15" s="48"/>
      <c r="F15" s="48"/>
      <c r="G15" s="48">
        <f>G14+G13</f>
        <v>5615.581973154196</v>
      </c>
      <c r="H15" s="48"/>
      <c r="I15" s="48"/>
    </row>
    <row r="19" spans="4:17">
      <c r="M19" t="s">
        <v>127</v>
      </c>
      <c r="N19">
        <v>12.34</v>
      </c>
      <c r="O19" s="47">
        <v>654797.42000000004</v>
      </c>
      <c r="Q19" s="47">
        <f>O19+O21+O22+O23+O25</f>
        <v>3617823.99</v>
      </c>
    </row>
    <row r="20" spans="4:17">
      <c r="M20" t="s">
        <v>128</v>
      </c>
      <c r="N20">
        <v>12.34</v>
      </c>
      <c r="O20" s="47">
        <v>65253.919999999998</v>
      </c>
    </row>
    <row r="21" spans="4:17">
      <c r="M21" t="s">
        <v>63</v>
      </c>
      <c r="N21">
        <v>6.73</v>
      </c>
      <c r="O21" s="47">
        <v>300420.46999999997</v>
      </c>
    </row>
    <row r="22" spans="4:17">
      <c r="M22" t="s">
        <v>129</v>
      </c>
      <c r="N22">
        <v>5.16</v>
      </c>
      <c r="O22" s="47">
        <v>288990.96000000002</v>
      </c>
      <c r="Q22" s="47">
        <f>O22+O23</f>
        <v>1976563.8</v>
      </c>
    </row>
    <row r="23" spans="4:17">
      <c r="D23" s="46">
        <f>C4+D5</f>
        <v>4343.58</v>
      </c>
      <c r="M23" t="s">
        <v>130</v>
      </c>
      <c r="N23">
        <v>5.16</v>
      </c>
      <c r="O23" s="47">
        <v>1687572.84</v>
      </c>
    </row>
    <row r="24" spans="4:17">
      <c r="M24" t="s">
        <v>131</v>
      </c>
      <c r="O24" s="47">
        <v>2931781.69</v>
      </c>
    </row>
    <row r="25" spans="4:17">
      <c r="M25" t="s">
        <v>132</v>
      </c>
      <c r="N25">
        <v>12.34</v>
      </c>
      <c r="O25" s="47">
        <v>686042.3</v>
      </c>
      <c r="Q25" s="48">
        <f>(O25+Лист1!P84)/1000</f>
        <v>686.04230000000007</v>
      </c>
    </row>
    <row r="26" spans="4:17">
      <c r="M26" t="s">
        <v>133</v>
      </c>
      <c r="N26">
        <v>12.34</v>
      </c>
      <c r="O26" s="47">
        <v>374556.02</v>
      </c>
    </row>
    <row r="27" spans="4:17">
      <c r="M27" t="s">
        <v>113</v>
      </c>
      <c r="O27" s="47" t="s">
        <v>134</v>
      </c>
    </row>
    <row r="30" spans="4:17">
      <c r="O30">
        <f>O19+O21+O22+O23+O25+O26</f>
        <v>3992380.0100000002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topLeftCell="A7" workbookViewId="0">
      <selection activeCell="F6" sqref="F6:F8"/>
    </sheetView>
  </sheetViews>
  <sheetFormatPr defaultRowHeight="15"/>
  <cols>
    <col min="2" max="2" width="22.42578125" customWidth="1"/>
    <col min="3" max="3" width="12.7109375" customWidth="1"/>
    <col min="4" max="4" width="10.28515625" customWidth="1"/>
    <col min="6" max="6" width="9.5703125" bestFit="1" customWidth="1"/>
  </cols>
  <sheetData>
    <row r="1" spans="1:7" ht="30" customHeight="1">
      <c r="A1" s="167" t="s">
        <v>135</v>
      </c>
      <c r="B1" s="167" t="s">
        <v>136</v>
      </c>
      <c r="C1" s="167" t="s">
        <v>137</v>
      </c>
      <c r="D1" s="167"/>
    </row>
    <row r="2" spans="1:7" ht="30">
      <c r="A2" s="167"/>
      <c r="B2" s="167"/>
      <c r="C2" s="42" t="s">
        <v>139</v>
      </c>
      <c r="D2" s="42" t="s">
        <v>138</v>
      </c>
    </row>
    <row r="3" spans="1:7">
      <c r="A3" s="50">
        <v>1</v>
      </c>
      <c r="B3" s="50">
        <v>2</v>
      </c>
      <c r="C3" s="50">
        <v>4</v>
      </c>
      <c r="D3" s="50">
        <v>5</v>
      </c>
    </row>
    <row r="4" spans="1:7">
      <c r="A4">
        <v>1</v>
      </c>
      <c r="B4" t="s">
        <v>140</v>
      </c>
      <c r="C4" s="47">
        <f>SUM(C6:C8)</f>
        <v>2931.7816900000003</v>
      </c>
      <c r="D4" s="49">
        <f>C4*100/$C$12</f>
        <v>73.434434664449697</v>
      </c>
    </row>
    <row r="5" spans="1:7">
      <c r="B5" t="s">
        <v>141</v>
      </c>
      <c r="C5" s="47"/>
      <c r="D5" s="49"/>
    </row>
    <row r="6" spans="1:7">
      <c r="B6" t="s">
        <v>142</v>
      </c>
      <c r="C6" s="47">
        <f>Лист2!O19/1000</f>
        <v>654.79741999999999</v>
      </c>
      <c r="D6" s="49">
        <f>C6*100/$C$4</f>
        <v>22.334453558852804</v>
      </c>
      <c r="F6" s="48">
        <f>C6*100/$C$12</f>
        <v>16.401179706337622</v>
      </c>
    </row>
    <row r="7" spans="1:7">
      <c r="B7" t="s">
        <v>143</v>
      </c>
      <c r="C7" s="47">
        <f>(Лист2!O22+Лист2!O23)/1000</f>
        <v>1976.5638000000001</v>
      </c>
      <c r="D7" s="49">
        <f t="shared" ref="D7:D8" si="0">C7*100/$C$4</f>
        <v>67.418519146287451</v>
      </c>
      <c r="E7" s="49">
        <f>SUM(D6:D8)</f>
        <v>99.999999999999986</v>
      </c>
      <c r="F7" s="48">
        <f t="shared" ref="F7:F8" si="1">C7*100/$C$12</f>
        <v>49.508408394219963</v>
      </c>
    </row>
    <row r="8" spans="1:7">
      <c r="B8" t="s">
        <v>144</v>
      </c>
      <c r="C8" s="47">
        <f>Лист2!O21/1000</f>
        <v>300.42046999999997</v>
      </c>
      <c r="D8" s="49">
        <f t="shared" si="0"/>
        <v>10.247027294859732</v>
      </c>
      <c r="F8" s="48">
        <f t="shared" si="1"/>
        <v>7.5248465638920958</v>
      </c>
    </row>
    <row r="9" spans="1:7">
      <c r="A9">
        <v>2</v>
      </c>
      <c r="B9" t="s">
        <v>65</v>
      </c>
      <c r="C9" s="47">
        <f>Лист2!O25/1000</f>
        <v>686.04230000000007</v>
      </c>
      <c r="D9" s="49">
        <f t="shared" ref="D9:D11" si="2">C9*100/$C$12</f>
        <v>17.183792581909056</v>
      </c>
    </row>
    <row r="10" spans="1:7">
      <c r="A10">
        <v>3</v>
      </c>
      <c r="B10" t="s">
        <v>145</v>
      </c>
      <c r="C10" s="47">
        <f>C9+C4</f>
        <v>3617.8239900000003</v>
      </c>
      <c r="D10" s="49">
        <f t="shared" si="2"/>
        <v>90.618227246358742</v>
      </c>
    </row>
    <row r="11" spans="1:7">
      <c r="A11">
        <v>4</v>
      </c>
      <c r="B11" t="s">
        <v>66</v>
      </c>
      <c r="C11" s="47">
        <f>Лист2!O26/1000</f>
        <v>374.55602000000005</v>
      </c>
      <c r="D11" s="49">
        <f t="shared" si="2"/>
        <v>9.3817727536412558</v>
      </c>
    </row>
    <row r="12" spans="1:7">
      <c r="A12">
        <v>5</v>
      </c>
      <c r="B12" t="s">
        <v>146</v>
      </c>
      <c r="C12" s="47">
        <f>C10+C11</f>
        <v>3992.3800100000003</v>
      </c>
      <c r="D12" s="49">
        <v>100</v>
      </c>
      <c r="G12" s="48">
        <f>F6+F7+F8+D9+D11</f>
        <v>100</v>
      </c>
    </row>
  </sheetData>
  <mergeCells count="3">
    <mergeCell ref="C1:D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Vasileva</dc:creator>
  <cp:lastModifiedBy>Shabanova</cp:lastModifiedBy>
  <dcterms:created xsi:type="dcterms:W3CDTF">2013-03-15T09:19:44Z</dcterms:created>
  <dcterms:modified xsi:type="dcterms:W3CDTF">2013-05-29T09:57:17Z</dcterms:modified>
</cp:coreProperties>
</file>