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80" windowHeight="1170" activeTab="1"/>
  </bookViews>
  <sheets>
    <sheet name="Макет формы-3" sheetId="7" r:id="rId1"/>
    <sheet name="Акт КС-2 для ТЕР МО (индекс " sheetId="6" r:id="rId2"/>
    <sheet name="Локальная смета 12 гр. Для Т" sheetId="5" r:id="rId3"/>
    <sheet name="Source" sheetId="1" r:id="rId4"/>
    <sheet name="SmtRes" sheetId="2" r:id="rId5"/>
    <sheet name="EtalonRes" sheetId="3" r:id="rId6"/>
    <sheet name="ClcRes" sheetId="4" r:id="rId7"/>
  </sheets>
  <definedNames>
    <definedName name="_xlnm.Print_Titles" localSheetId="1">'Акт КС-2 для ТЕР МО (индекс '!$30:$30</definedName>
    <definedName name="_xlnm.Print_Titles" localSheetId="2">'Локальная смета 12 гр. Для Т'!$35:$35</definedName>
    <definedName name="_xlnm.Print_Area" localSheetId="1">'Акт КС-2 для ТЕР МО (индекс '!$A$1:$L$229</definedName>
    <definedName name="_xlnm.Print_Area" localSheetId="2">'Локальная смета 12 гр. Для Т'!$A$1:$L$227</definedName>
  </definedNames>
  <calcPr calcId="125725" fullCalcOnLoad="1" refMode="R1C1"/>
</workbook>
</file>

<file path=xl/calcChain.xml><?xml version="1.0" encoding="utf-8"?>
<calcChain xmlns="http://schemas.openxmlformats.org/spreadsheetml/2006/main">
  <c r="B18" i="5"/>
  <c r="A1" i="7"/>
  <c r="H227" i="6"/>
  <c r="C227"/>
  <c r="H224"/>
  <c r="C224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2"/>
  <c r="U196"/>
  <c r="T196"/>
  <c r="S196"/>
  <c r="Q196"/>
  <c r="P196"/>
  <c r="O196"/>
  <c r="G195"/>
  <c r="E195"/>
  <c r="I194"/>
  <c r="J194"/>
  <c r="F194"/>
  <c r="I193"/>
  <c r="J193"/>
  <c r="F193"/>
  <c r="J192"/>
  <c r="G192"/>
  <c r="F192"/>
  <c r="I191"/>
  <c r="F191"/>
  <c r="E191"/>
  <c r="D191"/>
  <c r="C191"/>
  <c r="A191"/>
  <c r="U190"/>
  <c r="U198"/>
  <c r="T190"/>
  <c r="T198"/>
  <c r="S190"/>
  <c r="S198"/>
  <c r="Q190"/>
  <c r="Q198"/>
  <c r="P190"/>
  <c r="P198"/>
  <c r="O190"/>
  <c r="O198"/>
  <c r="G189"/>
  <c r="E189"/>
  <c r="I188"/>
  <c r="J188"/>
  <c r="F188"/>
  <c r="I187"/>
  <c r="J187"/>
  <c r="F187"/>
  <c r="J186"/>
  <c r="G186"/>
  <c r="F186"/>
  <c r="I185"/>
  <c r="F185"/>
  <c r="E185"/>
  <c r="D185"/>
  <c r="C185"/>
  <c r="A185"/>
  <c r="AD183"/>
  <c r="D183"/>
  <c r="C182"/>
  <c r="V176"/>
  <c r="U176"/>
  <c r="S176"/>
  <c r="R176"/>
  <c r="Q176"/>
  <c r="O176"/>
  <c r="G175"/>
  <c r="E175"/>
  <c r="I174"/>
  <c r="J174"/>
  <c r="F174"/>
  <c r="I173"/>
  <c r="J173"/>
  <c r="F173"/>
  <c r="J172"/>
  <c r="G172"/>
  <c r="F172"/>
  <c r="J171"/>
  <c r="G171"/>
  <c r="F171"/>
  <c r="I170"/>
  <c r="F170"/>
  <c r="E170"/>
  <c r="D170"/>
  <c r="C170"/>
  <c r="B170"/>
  <c r="A170"/>
  <c r="V169"/>
  <c r="U169"/>
  <c r="S169"/>
  <c r="R169"/>
  <c r="Q169"/>
  <c r="O169"/>
  <c r="G168"/>
  <c r="E168"/>
  <c r="I167"/>
  <c r="J167"/>
  <c r="F167"/>
  <c r="I166"/>
  <c r="J166"/>
  <c r="F166"/>
  <c r="J165"/>
  <c r="G165"/>
  <c r="F165"/>
  <c r="J164"/>
  <c r="G164"/>
  <c r="F164"/>
  <c r="J163"/>
  <c r="G163"/>
  <c r="F163"/>
  <c r="J162"/>
  <c r="G162"/>
  <c r="F162"/>
  <c r="I161"/>
  <c r="F161"/>
  <c r="E161"/>
  <c r="D161"/>
  <c r="C161"/>
  <c r="B161"/>
  <c r="A161"/>
  <c r="V160"/>
  <c r="U160"/>
  <c r="S160"/>
  <c r="R160"/>
  <c r="Q160"/>
  <c r="O160"/>
  <c r="G159"/>
  <c r="E159"/>
  <c r="I158"/>
  <c r="J158"/>
  <c r="F158"/>
  <c r="I157"/>
  <c r="J157"/>
  <c r="F157"/>
  <c r="J156"/>
  <c r="G156"/>
  <c r="F156"/>
  <c r="J155"/>
  <c r="G155"/>
  <c r="F155"/>
  <c r="J154"/>
  <c r="G154"/>
  <c r="F154"/>
  <c r="J153"/>
  <c r="G153"/>
  <c r="F153"/>
  <c r="I152"/>
  <c r="F152"/>
  <c r="E152"/>
  <c r="D152"/>
  <c r="C152"/>
  <c r="B152"/>
  <c r="A152"/>
  <c r="V151"/>
  <c r="U151"/>
  <c r="S151"/>
  <c r="R151"/>
  <c r="Q151"/>
  <c r="O151"/>
  <c r="G150"/>
  <c r="E150"/>
  <c r="I149"/>
  <c r="J149"/>
  <c r="F149"/>
  <c r="I148"/>
  <c r="J148"/>
  <c r="F148"/>
  <c r="J147"/>
  <c r="G147"/>
  <c r="F147"/>
  <c r="J146"/>
  <c r="G146"/>
  <c r="F146"/>
  <c r="J145"/>
  <c r="G145"/>
  <c r="F145"/>
  <c r="J144"/>
  <c r="G144"/>
  <c r="F144"/>
  <c r="I143"/>
  <c r="F143"/>
  <c r="E143"/>
  <c r="D143"/>
  <c r="C143"/>
  <c r="B143"/>
  <c r="A143"/>
  <c r="V142"/>
  <c r="U142"/>
  <c r="S142"/>
  <c r="R142"/>
  <c r="Q142"/>
  <c r="O142"/>
  <c r="G141"/>
  <c r="E141"/>
  <c r="I140"/>
  <c r="J140"/>
  <c r="F140"/>
  <c r="I139"/>
  <c r="J139"/>
  <c r="F139"/>
  <c r="J138"/>
  <c r="G138"/>
  <c r="F138"/>
  <c r="J137"/>
  <c r="G137"/>
  <c r="F137"/>
  <c r="J136"/>
  <c r="G136"/>
  <c r="F136"/>
  <c r="J135"/>
  <c r="G135"/>
  <c r="F135"/>
  <c r="I134"/>
  <c r="F134"/>
  <c r="E134"/>
  <c r="D134"/>
  <c r="C134"/>
  <c r="B134"/>
  <c r="A134"/>
  <c r="V133"/>
  <c r="U133"/>
  <c r="S133"/>
  <c r="R133"/>
  <c r="Q133"/>
  <c r="O133"/>
  <c r="G132"/>
  <c r="E132"/>
  <c r="I131"/>
  <c r="J131"/>
  <c r="F131"/>
  <c r="I130"/>
  <c r="J130"/>
  <c r="F130"/>
  <c r="J129"/>
  <c r="G129"/>
  <c r="F129"/>
  <c r="J128"/>
  <c r="G128"/>
  <c r="F128"/>
  <c r="J127"/>
  <c r="G127"/>
  <c r="F127"/>
  <c r="I126"/>
  <c r="F126"/>
  <c r="E126"/>
  <c r="D126"/>
  <c r="C126"/>
  <c r="B126"/>
  <c r="A126"/>
  <c r="V125"/>
  <c r="U125"/>
  <c r="S125"/>
  <c r="R125"/>
  <c r="Q125"/>
  <c r="O125"/>
  <c r="G124"/>
  <c r="E124"/>
  <c r="I123"/>
  <c r="J123"/>
  <c r="F123"/>
  <c r="I122"/>
  <c r="J122"/>
  <c r="F122"/>
  <c r="J121"/>
  <c r="G121"/>
  <c r="F121"/>
  <c r="J120"/>
  <c r="G120"/>
  <c r="F120"/>
  <c r="I119"/>
  <c r="F119"/>
  <c r="E119"/>
  <c r="D119"/>
  <c r="C119"/>
  <c r="B119"/>
  <c r="A119"/>
  <c r="V118"/>
  <c r="U118"/>
  <c r="S118"/>
  <c r="R118"/>
  <c r="Q118"/>
  <c r="O118"/>
  <c r="G117"/>
  <c r="E117"/>
  <c r="I116"/>
  <c r="J116"/>
  <c r="F116"/>
  <c r="I115"/>
  <c r="J115"/>
  <c r="F115"/>
  <c r="J114"/>
  <c r="G114"/>
  <c r="F114"/>
  <c r="J113"/>
  <c r="G113"/>
  <c r="F113"/>
  <c r="J112"/>
  <c r="G112"/>
  <c r="F112"/>
  <c r="J111"/>
  <c r="G111"/>
  <c r="F111"/>
  <c r="I110"/>
  <c r="F110"/>
  <c r="E110"/>
  <c r="D110"/>
  <c r="C110"/>
  <c r="B110"/>
  <c r="A110"/>
  <c r="V109"/>
  <c r="U109"/>
  <c r="S109"/>
  <c r="R109"/>
  <c r="Q109"/>
  <c r="O109"/>
  <c r="G108"/>
  <c r="E108"/>
  <c r="I107"/>
  <c r="J107"/>
  <c r="F107"/>
  <c r="I106"/>
  <c r="J106"/>
  <c r="F106"/>
  <c r="J105"/>
  <c r="G105"/>
  <c r="F105"/>
  <c r="J104"/>
  <c r="G104"/>
  <c r="F104"/>
  <c r="I103"/>
  <c r="F103"/>
  <c r="E103"/>
  <c r="D103"/>
  <c r="C103"/>
  <c r="B103"/>
  <c r="A103"/>
  <c r="V102"/>
  <c r="U102"/>
  <c r="S102"/>
  <c r="R102"/>
  <c r="Q102"/>
  <c r="O102"/>
  <c r="G101"/>
  <c r="E101"/>
  <c r="I100"/>
  <c r="J100"/>
  <c r="F100"/>
  <c r="I99"/>
  <c r="J99"/>
  <c r="F99"/>
  <c r="J98"/>
  <c r="G98"/>
  <c r="F98"/>
  <c r="J97"/>
  <c r="G97"/>
  <c r="F97"/>
  <c r="I96"/>
  <c r="F96"/>
  <c r="E96"/>
  <c r="D96"/>
  <c r="C96"/>
  <c r="B96"/>
  <c r="A96"/>
  <c r="V95"/>
  <c r="V178"/>
  <c r="U95"/>
  <c r="U178"/>
  <c r="S95"/>
  <c r="S178"/>
  <c r="R95"/>
  <c r="R178"/>
  <c r="Q95"/>
  <c r="Q178"/>
  <c r="O95"/>
  <c r="O178"/>
  <c r="G94"/>
  <c r="E94"/>
  <c r="I93"/>
  <c r="J93"/>
  <c r="F93"/>
  <c r="I92"/>
  <c r="J92"/>
  <c r="F92"/>
  <c r="J91"/>
  <c r="G91"/>
  <c r="F91"/>
  <c r="J90"/>
  <c r="G90"/>
  <c r="F90"/>
  <c r="J89"/>
  <c r="G89"/>
  <c r="F89"/>
  <c r="J88"/>
  <c r="G88"/>
  <c r="F88"/>
  <c r="I87"/>
  <c r="F87"/>
  <c r="E87"/>
  <c r="D87"/>
  <c r="C87"/>
  <c r="B87"/>
  <c r="A87"/>
  <c r="AD85"/>
  <c r="D85"/>
  <c r="C84"/>
  <c r="C83"/>
  <c r="C82"/>
  <c r="U76"/>
  <c r="T76"/>
  <c r="S76"/>
  <c r="Q76"/>
  <c r="P76"/>
  <c r="O76"/>
  <c r="J75"/>
  <c r="I74"/>
  <c r="F74"/>
  <c r="E74"/>
  <c r="D74"/>
  <c r="C74"/>
  <c r="B74"/>
  <c r="A74"/>
  <c r="U73"/>
  <c r="T73"/>
  <c r="S73"/>
  <c r="Q73"/>
  <c r="P73"/>
  <c r="O73"/>
  <c r="J72"/>
  <c r="I71"/>
  <c r="F71"/>
  <c r="E71"/>
  <c r="D71"/>
  <c r="C71"/>
  <c r="B71"/>
  <c r="A71"/>
  <c r="U70"/>
  <c r="T70"/>
  <c r="S70"/>
  <c r="Q70"/>
  <c r="P70"/>
  <c r="O70"/>
  <c r="J69"/>
  <c r="I68"/>
  <c r="F68"/>
  <c r="E68"/>
  <c r="D68"/>
  <c r="C68"/>
  <c r="B68"/>
  <c r="A68"/>
  <c r="U67"/>
  <c r="T67"/>
  <c r="S67"/>
  <c r="Q67"/>
  <c r="P67"/>
  <c r="O67"/>
  <c r="J66"/>
  <c r="I65"/>
  <c r="F65"/>
  <c r="E65"/>
  <c r="D65"/>
  <c r="C65"/>
  <c r="B65"/>
  <c r="A65"/>
  <c r="U64"/>
  <c r="T64"/>
  <c r="S64"/>
  <c r="Q64"/>
  <c r="P64"/>
  <c r="O64"/>
  <c r="J63"/>
  <c r="I62"/>
  <c r="F62"/>
  <c r="E62"/>
  <c r="D62"/>
  <c r="C62"/>
  <c r="B62"/>
  <c r="A62"/>
  <c r="U61"/>
  <c r="T61"/>
  <c r="S61"/>
  <c r="Q61"/>
  <c r="P61"/>
  <c r="O61"/>
  <c r="J60"/>
  <c r="I59"/>
  <c r="F59"/>
  <c r="E59"/>
  <c r="D59"/>
  <c r="C59"/>
  <c r="B59"/>
  <c r="A59"/>
  <c r="V58"/>
  <c r="T58"/>
  <c r="S58"/>
  <c r="R58"/>
  <c r="P58"/>
  <c r="O58"/>
  <c r="J57"/>
  <c r="I56"/>
  <c r="F56"/>
  <c r="E56"/>
  <c r="D56"/>
  <c r="C56"/>
  <c r="B56"/>
  <c r="A56"/>
  <c r="V55"/>
  <c r="T55"/>
  <c r="S55"/>
  <c r="R55"/>
  <c r="P55"/>
  <c r="O55"/>
  <c r="J54"/>
  <c r="I53"/>
  <c r="F53"/>
  <c r="E53"/>
  <c r="D53"/>
  <c r="C53"/>
  <c r="B53"/>
  <c r="A53"/>
  <c r="V52"/>
  <c r="T52"/>
  <c r="S52"/>
  <c r="R52"/>
  <c r="P52"/>
  <c r="O52"/>
  <c r="J51"/>
  <c r="I50"/>
  <c r="F50"/>
  <c r="E50"/>
  <c r="D50"/>
  <c r="C50"/>
  <c r="B50"/>
  <c r="A50"/>
  <c r="V49"/>
  <c r="T49"/>
  <c r="S49"/>
  <c r="R49"/>
  <c r="P49"/>
  <c r="O49"/>
  <c r="J48"/>
  <c r="I47"/>
  <c r="F47"/>
  <c r="E47"/>
  <c r="D47"/>
  <c r="C47"/>
  <c r="B47"/>
  <c r="A47"/>
  <c r="V46"/>
  <c r="T46"/>
  <c r="S46"/>
  <c r="R46"/>
  <c r="P46"/>
  <c r="O46"/>
  <c r="J45"/>
  <c r="I44"/>
  <c r="F44"/>
  <c r="E44"/>
  <c r="D44"/>
  <c r="C44"/>
  <c r="B44"/>
  <c r="A44"/>
  <c r="V43"/>
  <c r="T43"/>
  <c r="S43"/>
  <c r="R43"/>
  <c r="P43"/>
  <c r="O43"/>
  <c r="J42"/>
  <c r="I41"/>
  <c r="F41"/>
  <c r="E41"/>
  <c r="D41"/>
  <c r="C41"/>
  <c r="B41"/>
  <c r="A41"/>
  <c r="V40"/>
  <c r="T40"/>
  <c r="S40"/>
  <c r="R40"/>
  <c r="P40"/>
  <c r="O40"/>
  <c r="J39"/>
  <c r="I38"/>
  <c r="F38"/>
  <c r="E38"/>
  <c r="D38"/>
  <c r="C38"/>
  <c r="B38"/>
  <c r="A38"/>
  <c r="V37"/>
  <c r="T37"/>
  <c r="T78" s="1"/>
  <c r="S37"/>
  <c r="S78" s="1"/>
  <c r="R37"/>
  <c r="P37"/>
  <c r="P78"/>
  <c r="O37"/>
  <c r="O78"/>
  <c r="J36"/>
  <c r="I35"/>
  <c r="F35"/>
  <c r="E35"/>
  <c r="D35"/>
  <c r="C35"/>
  <c r="B35"/>
  <c r="A35"/>
  <c r="AD33"/>
  <c r="D33"/>
  <c r="AD31"/>
  <c r="D31"/>
  <c r="K24"/>
  <c r="J24"/>
  <c r="AD11"/>
  <c r="AD10"/>
  <c r="AD9"/>
  <c r="C9"/>
  <c r="AD8"/>
  <c r="C8"/>
  <c r="A1"/>
  <c r="C225" i="5"/>
  <c r="C224"/>
  <c r="C223"/>
  <c r="C222"/>
  <c r="C221"/>
  <c r="C220"/>
  <c r="C218"/>
  <c r="C217"/>
  <c r="C216"/>
  <c r="C215"/>
  <c r="C214"/>
  <c r="C213"/>
  <c r="C212"/>
  <c r="C211"/>
  <c r="C210"/>
  <c r="C209"/>
  <c r="C208"/>
  <c r="C205"/>
  <c r="U199"/>
  <c r="T199"/>
  <c r="S199"/>
  <c r="Q199"/>
  <c r="P199"/>
  <c r="O199"/>
  <c r="G198"/>
  <c r="E198"/>
  <c r="I197"/>
  <c r="J197"/>
  <c r="F197"/>
  <c r="I196"/>
  <c r="J196"/>
  <c r="F196"/>
  <c r="J195"/>
  <c r="G195"/>
  <c r="F195"/>
  <c r="I194"/>
  <c r="F194"/>
  <c r="E194"/>
  <c r="D194"/>
  <c r="C194"/>
  <c r="A194"/>
  <c r="U193"/>
  <c r="T193"/>
  <c r="T201" s="1"/>
  <c r="S193"/>
  <c r="Q193"/>
  <c r="P193"/>
  <c r="P201" s="1"/>
  <c r="O193"/>
  <c r="G192"/>
  <c r="E192"/>
  <c r="I191"/>
  <c r="J191"/>
  <c r="F191"/>
  <c r="I190"/>
  <c r="J190"/>
  <c r="F190"/>
  <c r="J189"/>
  <c r="G189"/>
  <c r="F189"/>
  <c r="I188"/>
  <c r="F188"/>
  <c r="E188"/>
  <c r="D188"/>
  <c r="C188"/>
  <c r="A188"/>
  <c r="AD186"/>
  <c r="D186"/>
  <c r="C185"/>
  <c r="V179"/>
  <c r="U179"/>
  <c r="S179"/>
  <c r="R179"/>
  <c r="Q179"/>
  <c r="O179"/>
  <c r="G178"/>
  <c r="E178"/>
  <c r="I177"/>
  <c r="J177"/>
  <c r="F177"/>
  <c r="I176"/>
  <c r="J176"/>
  <c r="F176"/>
  <c r="J175"/>
  <c r="G175"/>
  <c r="F175"/>
  <c r="J174"/>
  <c r="G174"/>
  <c r="F174"/>
  <c r="I173"/>
  <c r="F173"/>
  <c r="E173"/>
  <c r="D173"/>
  <c r="C173"/>
  <c r="B173"/>
  <c r="A173"/>
  <c r="V172"/>
  <c r="U172"/>
  <c r="S172"/>
  <c r="R172"/>
  <c r="Q172"/>
  <c r="O172"/>
  <c r="G171"/>
  <c r="E171"/>
  <c r="I170"/>
  <c r="J170"/>
  <c r="F170"/>
  <c r="I169"/>
  <c r="J169"/>
  <c r="F169"/>
  <c r="J168"/>
  <c r="G168"/>
  <c r="F168"/>
  <c r="J167"/>
  <c r="G167"/>
  <c r="F167"/>
  <c r="J166"/>
  <c r="G166"/>
  <c r="F166"/>
  <c r="J165"/>
  <c r="G165"/>
  <c r="F165"/>
  <c r="I164"/>
  <c r="F164"/>
  <c r="E164"/>
  <c r="D164"/>
  <c r="C164"/>
  <c r="B164"/>
  <c r="A164"/>
  <c r="V163"/>
  <c r="U163"/>
  <c r="S163"/>
  <c r="R163"/>
  <c r="Q163"/>
  <c r="O163"/>
  <c r="G162"/>
  <c r="E162"/>
  <c r="I161"/>
  <c r="J161"/>
  <c r="F161"/>
  <c r="I160"/>
  <c r="J160"/>
  <c r="F160"/>
  <c r="J159"/>
  <c r="G159"/>
  <c r="F159"/>
  <c r="J158"/>
  <c r="G158"/>
  <c r="F158"/>
  <c r="J157"/>
  <c r="G157"/>
  <c r="F157"/>
  <c r="J156"/>
  <c r="G156"/>
  <c r="F156"/>
  <c r="I155"/>
  <c r="F155"/>
  <c r="E155"/>
  <c r="D155"/>
  <c r="C155"/>
  <c r="B155"/>
  <c r="A155"/>
  <c r="V154"/>
  <c r="U154"/>
  <c r="S154"/>
  <c r="R154"/>
  <c r="Q154"/>
  <c r="O154"/>
  <c r="G153"/>
  <c r="E153"/>
  <c r="I152"/>
  <c r="J152"/>
  <c r="F152"/>
  <c r="I151"/>
  <c r="J151"/>
  <c r="F151"/>
  <c r="J150"/>
  <c r="G150"/>
  <c r="F150"/>
  <c r="J149"/>
  <c r="G149"/>
  <c r="F149"/>
  <c r="J148"/>
  <c r="G148"/>
  <c r="F148"/>
  <c r="J147"/>
  <c r="G147"/>
  <c r="F147"/>
  <c r="I146"/>
  <c r="F146"/>
  <c r="E146"/>
  <c r="D146"/>
  <c r="C146"/>
  <c r="B146"/>
  <c r="A146"/>
  <c r="V145"/>
  <c r="U145"/>
  <c r="S145"/>
  <c r="R145"/>
  <c r="Q145"/>
  <c r="O145"/>
  <c r="G144"/>
  <c r="E144"/>
  <c r="I143"/>
  <c r="J143"/>
  <c r="F143"/>
  <c r="I142"/>
  <c r="J142"/>
  <c r="F142"/>
  <c r="J141"/>
  <c r="G141"/>
  <c r="F141"/>
  <c r="J140"/>
  <c r="G140"/>
  <c r="F140"/>
  <c r="J139"/>
  <c r="G139"/>
  <c r="F139"/>
  <c r="J138"/>
  <c r="G138"/>
  <c r="F138"/>
  <c r="I137"/>
  <c r="F137"/>
  <c r="E137"/>
  <c r="D137"/>
  <c r="C137"/>
  <c r="B137"/>
  <c r="A137"/>
  <c r="V136"/>
  <c r="U136"/>
  <c r="S136"/>
  <c r="R136"/>
  <c r="Q136"/>
  <c r="O136"/>
  <c r="G135"/>
  <c r="E135"/>
  <c r="I134"/>
  <c r="J134"/>
  <c r="F134"/>
  <c r="I133"/>
  <c r="J133"/>
  <c r="F133"/>
  <c r="J132"/>
  <c r="G132"/>
  <c r="F132"/>
  <c r="J131"/>
  <c r="G131"/>
  <c r="F131"/>
  <c r="J130"/>
  <c r="G130"/>
  <c r="F130"/>
  <c r="I129"/>
  <c r="F129"/>
  <c r="E129"/>
  <c r="D129"/>
  <c r="C129"/>
  <c r="B129"/>
  <c r="A129"/>
  <c r="V128"/>
  <c r="U128"/>
  <c r="S128"/>
  <c r="R128"/>
  <c r="Q128"/>
  <c r="O128"/>
  <c r="G127"/>
  <c r="E127"/>
  <c r="I126"/>
  <c r="J126"/>
  <c r="F126"/>
  <c r="I125"/>
  <c r="J125"/>
  <c r="F125"/>
  <c r="J124"/>
  <c r="G124"/>
  <c r="F124"/>
  <c r="J123"/>
  <c r="G123"/>
  <c r="F123"/>
  <c r="I122"/>
  <c r="F122"/>
  <c r="E122"/>
  <c r="D122"/>
  <c r="C122"/>
  <c r="B122"/>
  <c r="A122"/>
  <c r="V121"/>
  <c r="U121"/>
  <c r="S121"/>
  <c r="R121"/>
  <c r="Q121"/>
  <c r="O121"/>
  <c r="G120"/>
  <c r="E120"/>
  <c r="I119"/>
  <c r="J119"/>
  <c r="F119"/>
  <c r="I118"/>
  <c r="J118"/>
  <c r="F118"/>
  <c r="J117"/>
  <c r="G117"/>
  <c r="F117"/>
  <c r="J116"/>
  <c r="G116"/>
  <c r="F116"/>
  <c r="J115"/>
  <c r="G115"/>
  <c r="F115"/>
  <c r="J114"/>
  <c r="G114"/>
  <c r="F114"/>
  <c r="I113"/>
  <c r="F113"/>
  <c r="E113"/>
  <c r="D113"/>
  <c r="C113"/>
  <c r="B113"/>
  <c r="A113"/>
  <c r="V112"/>
  <c r="U112"/>
  <c r="S112"/>
  <c r="R112"/>
  <c r="Q112"/>
  <c r="O112"/>
  <c r="G111"/>
  <c r="E111"/>
  <c r="I110"/>
  <c r="J110"/>
  <c r="F110"/>
  <c r="I109"/>
  <c r="J109"/>
  <c r="F109"/>
  <c r="J108"/>
  <c r="G108"/>
  <c r="F108"/>
  <c r="J107"/>
  <c r="G107"/>
  <c r="F107"/>
  <c r="I106"/>
  <c r="F106"/>
  <c r="E106"/>
  <c r="D106"/>
  <c r="C106"/>
  <c r="B106"/>
  <c r="A106"/>
  <c r="V105"/>
  <c r="U105"/>
  <c r="S105"/>
  <c r="R105"/>
  <c r="Q105"/>
  <c r="O105"/>
  <c r="G104"/>
  <c r="E104"/>
  <c r="I103"/>
  <c r="J103"/>
  <c r="F103"/>
  <c r="I102"/>
  <c r="J102"/>
  <c r="F102"/>
  <c r="J101"/>
  <c r="G101"/>
  <c r="F101"/>
  <c r="J100"/>
  <c r="G100"/>
  <c r="F100"/>
  <c r="I99"/>
  <c r="F99"/>
  <c r="E99"/>
  <c r="D99"/>
  <c r="C99"/>
  <c r="B99"/>
  <c r="A99"/>
  <c r="V98"/>
  <c r="V181"/>
  <c r="U98"/>
  <c r="U181"/>
  <c r="S98"/>
  <c r="S181"/>
  <c r="R98"/>
  <c r="R181"/>
  <c r="Q98"/>
  <c r="Q181"/>
  <c r="O98"/>
  <c r="O181"/>
  <c r="G97"/>
  <c r="E97"/>
  <c r="I96"/>
  <c r="J96"/>
  <c r="F96"/>
  <c r="I95"/>
  <c r="J95"/>
  <c r="F95"/>
  <c r="J94"/>
  <c r="G94"/>
  <c r="F94"/>
  <c r="J93"/>
  <c r="G93"/>
  <c r="F93"/>
  <c r="J92"/>
  <c r="G92"/>
  <c r="F92"/>
  <c r="J91"/>
  <c r="G91"/>
  <c r="F91"/>
  <c r="I90"/>
  <c r="F90"/>
  <c r="E90"/>
  <c r="D90"/>
  <c r="C90"/>
  <c r="B90"/>
  <c r="A90"/>
  <c r="AD88"/>
  <c r="D88"/>
  <c r="C87"/>
  <c r="U81"/>
  <c r="T81"/>
  <c r="S81"/>
  <c r="Q81"/>
  <c r="P81"/>
  <c r="O81"/>
  <c r="J80"/>
  <c r="G80"/>
  <c r="F80"/>
  <c r="I79"/>
  <c r="F79"/>
  <c r="E79"/>
  <c r="D79"/>
  <c r="C79"/>
  <c r="B79"/>
  <c r="A79"/>
  <c r="U78"/>
  <c r="T78"/>
  <c r="S78"/>
  <c r="Q78"/>
  <c r="P78"/>
  <c r="O78"/>
  <c r="J77"/>
  <c r="G77"/>
  <c r="F77"/>
  <c r="I76"/>
  <c r="F76"/>
  <c r="E76"/>
  <c r="D76"/>
  <c r="C76"/>
  <c r="B76"/>
  <c r="A76"/>
  <c r="U75"/>
  <c r="T75"/>
  <c r="S75"/>
  <c r="Q75"/>
  <c r="P75"/>
  <c r="O75"/>
  <c r="J74"/>
  <c r="G74"/>
  <c r="F74"/>
  <c r="I73"/>
  <c r="F73"/>
  <c r="E73"/>
  <c r="D73"/>
  <c r="C73"/>
  <c r="B73"/>
  <c r="A73"/>
  <c r="U72"/>
  <c r="T72"/>
  <c r="S72"/>
  <c r="Q72"/>
  <c r="P72"/>
  <c r="O72"/>
  <c r="J71"/>
  <c r="G71"/>
  <c r="F71"/>
  <c r="I70"/>
  <c r="F70"/>
  <c r="E70"/>
  <c r="D70"/>
  <c r="C70"/>
  <c r="B70"/>
  <c r="A70"/>
  <c r="U69"/>
  <c r="T69"/>
  <c r="S69"/>
  <c r="Q69"/>
  <c r="P69"/>
  <c r="O69"/>
  <c r="J68"/>
  <c r="G68"/>
  <c r="F68"/>
  <c r="I67"/>
  <c r="F67"/>
  <c r="E67"/>
  <c r="D67"/>
  <c r="C67"/>
  <c r="B67"/>
  <c r="A67"/>
  <c r="U66"/>
  <c r="T66"/>
  <c r="S66"/>
  <c r="Q66"/>
  <c r="P66"/>
  <c r="O66"/>
  <c r="J65"/>
  <c r="G65"/>
  <c r="F65"/>
  <c r="I64"/>
  <c r="F64"/>
  <c r="E64"/>
  <c r="D64"/>
  <c r="C64"/>
  <c r="B64"/>
  <c r="A64"/>
  <c r="V63"/>
  <c r="T63"/>
  <c r="S63"/>
  <c r="R63"/>
  <c r="P63"/>
  <c r="O63"/>
  <c r="J62"/>
  <c r="G62"/>
  <c r="F62"/>
  <c r="I61"/>
  <c r="F61"/>
  <c r="E61"/>
  <c r="D61"/>
  <c r="C61"/>
  <c r="B61"/>
  <c r="A61"/>
  <c r="V60"/>
  <c r="T60"/>
  <c r="S60"/>
  <c r="R60"/>
  <c r="P60"/>
  <c r="O60"/>
  <c r="J59"/>
  <c r="G59"/>
  <c r="F59"/>
  <c r="I58"/>
  <c r="F58"/>
  <c r="E58"/>
  <c r="D58"/>
  <c r="C58"/>
  <c r="B58"/>
  <c r="A58"/>
  <c r="V57"/>
  <c r="T57"/>
  <c r="S57"/>
  <c r="R57"/>
  <c r="P57"/>
  <c r="O57"/>
  <c r="J56"/>
  <c r="G56"/>
  <c r="F56"/>
  <c r="I55"/>
  <c r="F55"/>
  <c r="E55"/>
  <c r="D55"/>
  <c r="C55"/>
  <c r="B55"/>
  <c r="A55"/>
  <c r="V54"/>
  <c r="T54"/>
  <c r="S54"/>
  <c r="R54"/>
  <c r="P54"/>
  <c r="O54"/>
  <c r="J53"/>
  <c r="G53"/>
  <c r="F53"/>
  <c r="I52"/>
  <c r="F52"/>
  <c r="E52"/>
  <c r="D52"/>
  <c r="C52"/>
  <c r="B52"/>
  <c r="A52"/>
  <c r="V51"/>
  <c r="T51"/>
  <c r="S51"/>
  <c r="R51"/>
  <c r="P51"/>
  <c r="O51"/>
  <c r="J50"/>
  <c r="G50"/>
  <c r="F50"/>
  <c r="I49"/>
  <c r="F49"/>
  <c r="E49"/>
  <c r="D49"/>
  <c r="C49"/>
  <c r="B49"/>
  <c r="A49"/>
  <c r="V48"/>
  <c r="T48"/>
  <c r="S48"/>
  <c r="R48"/>
  <c r="P48"/>
  <c r="O48"/>
  <c r="J47"/>
  <c r="G47"/>
  <c r="F47"/>
  <c r="I46"/>
  <c r="F46"/>
  <c r="E46"/>
  <c r="D46"/>
  <c r="C46"/>
  <c r="B46"/>
  <c r="A46"/>
  <c r="V45"/>
  <c r="T45"/>
  <c r="S45"/>
  <c r="R45"/>
  <c r="P45"/>
  <c r="O45"/>
  <c r="J44"/>
  <c r="G44"/>
  <c r="F44"/>
  <c r="I43"/>
  <c r="F43"/>
  <c r="E43"/>
  <c r="D43"/>
  <c r="C43"/>
  <c r="B43"/>
  <c r="A43"/>
  <c r="V42"/>
  <c r="T42"/>
  <c r="T83" s="1"/>
  <c r="S42"/>
  <c r="S83"/>
  <c r="S207" s="1"/>
  <c r="R42"/>
  <c r="P42"/>
  <c r="P83"/>
  <c r="P207" s="1"/>
  <c r="O42"/>
  <c r="O83"/>
  <c r="J41"/>
  <c r="G41"/>
  <c r="F41"/>
  <c r="I40"/>
  <c r="F40"/>
  <c r="E40"/>
  <c r="D40"/>
  <c r="C40"/>
  <c r="B40"/>
  <c r="A40"/>
  <c r="AD38"/>
  <c r="D38"/>
  <c r="AD36"/>
  <c r="D36"/>
  <c r="AD21"/>
  <c r="A21"/>
  <c r="AD18"/>
  <c r="AD11"/>
  <c r="C7"/>
  <c r="H7"/>
  <c r="I5"/>
  <c r="C5"/>
  <c r="F5"/>
  <c r="A5"/>
  <c r="A1"/>
  <c r="AI98" i="1"/>
  <c r="CW98"/>
  <c r="V98"/>
  <c r="AH98"/>
  <c r="CV98"/>
  <c r="U98"/>
  <c r="AI97"/>
  <c r="CW97"/>
  <c r="V97"/>
  <c r="AI100"/>
  <c r="AH97"/>
  <c r="CV97"/>
  <c r="U97"/>
  <c r="AI74"/>
  <c r="CW74"/>
  <c r="V74"/>
  <c r="AH74"/>
  <c r="CV74"/>
  <c r="U74"/>
  <c r="AI73"/>
  <c r="CW73"/>
  <c r="V73"/>
  <c r="AH73"/>
  <c r="CV73"/>
  <c r="U73"/>
  <c r="AI72"/>
  <c r="CW72"/>
  <c r="V72"/>
  <c r="AH72"/>
  <c r="CV72"/>
  <c r="U72"/>
  <c r="AI71"/>
  <c r="CW71"/>
  <c r="V71"/>
  <c r="AH71"/>
  <c r="CV71"/>
  <c r="U71"/>
  <c r="AI70"/>
  <c r="CW70"/>
  <c r="V70"/>
  <c r="AH70"/>
  <c r="CV70"/>
  <c r="U70"/>
  <c r="AI69"/>
  <c r="CW69"/>
  <c r="V69"/>
  <c r="AH69"/>
  <c r="CV69"/>
  <c r="U69"/>
  <c r="AI68"/>
  <c r="CW68"/>
  <c r="V68"/>
  <c r="AH68"/>
  <c r="CV68"/>
  <c r="U68"/>
  <c r="AI67"/>
  <c r="CW67"/>
  <c r="V67"/>
  <c r="AH67"/>
  <c r="CV67"/>
  <c r="U67"/>
  <c r="AI66"/>
  <c r="CW66"/>
  <c r="V66"/>
  <c r="AH66"/>
  <c r="CV66"/>
  <c r="U66"/>
  <c r="AI65"/>
  <c r="CW65"/>
  <c r="V65"/>
  <c r="AH65"/>
  <c r="CV65"/>
  <c r="U65"/>
  <c r="AI64"/>
  <c r="CW64"/>
  <c r="V64"/>
  <c r="AI76"/>
  <c r="AH64"/>
  <c r="CV64"/>
  <c r="U64"/>
  <c r="AI41"/>
  <c r="CW41"/>
  <c r="V41"/>
  <c r="AH41"/>
  <c r="CV41"/>
  <c r="U41"/>
  <c r="AI40"/>
  <c r="CW40"/>
  <c r="V40"/>
  <c r="AH40"/>
  <c r="CV40"/>
  <c r="U40"/>
  <c r="AI39"/>
  <c r="CW39"/>
  <c r="V39"/>
  <c r="AH39"/>
  <c r="CV39"/>
  <c r="U39"/>
  <c r="AI38"/>
  <c r="CW38"/>
  <c r="V38"/>
  <c r="AH38"/>
  <c r="CV38"/>
  <c r="U38"/>
  <c r="AI37"/>
  <c r="CW37"/>
  <c r="V37"/>
  <c r="AH37"/>
  <c r="CV37"/>
  <c r="U37"/>
  <c r="AI36"/>
  <c r="CW36"/>
  <c r="V36"/>
  <c r="AH36"/>
  <c r="CV36"/>
  <c r="U36"/>
  <c r="CZ35"/>
  <c r="CY35"/>
  <c r="AI35"/>
  <c r="CW35"/>
  <c r="V35"/>
  <c r="AH35"/>
  <c r="CV35"/>
  <c r="U35"/>
  <c r="CZ34"/>
  <c r="CY34"/>
  <c r="AI34"/>
  <c r="CW34"/>
  <c r="V34"/>
  <c r="AH34"/>
  <c r="CV34"/>
  <c r="U34"/>
  <c r="CZ33"/>
  <c r="CY33"/>
  <c r="AI33"/>
  <c r="CW33"/>
  <c r="V33"/>
  <c r="AH33"/>
  <c r="CV33"/>
  <c r="U33"/>
  <c r="CZ32"/>
  <c r="CY32"/>
  <c r="AI32"/>
  <c r="CW32"/>
  <c r="V32"/>
  <c r="AH32"/>
  <c r="CV32"/>
  <c r="U32"/>
  <c r="CZ31"/>
  <c r="CY31"/>
  <c r="AI31"/>
  <c r="CW31"/>
  <c r="V31"/>
  <c r="AH31"/>
  <c r="CV31"/>
  <c r="U31"/>
  <c r="CZ30"/>
  <c r="CY30"/>
  <c r="AI30"/>
  <c r="CW30"/>
  <c r="V30"/>
  <c r="AH30"/>
  <c r="CV30"/>
  <c r="U30"/>
  <c r="CZ29"/>
  <c r="CY29"/>
  <c r="AI29"/>
  <c r="CW29"/>
  <c r="V29"/>
  <c r="AH29"/>
  <c r="CV29"/>
  <c r="U29"/>
  <c r="CZ28"/>
  <c r="CY28"/>
  <c r="AI28"/>
  <c r="CW28"/>
  <c r="V28"/>
  <c r="AH28"/>
  <c r="CV28"/>
  <c r="U28"/>
  <c r="A1" i="3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" i="2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D12" i="1"/>
  <c r="E18"/>
  <c r="H18"/>
  <c r="I18"/>
  <c r="J18"/>
  <c r="K18"/>
  <c r="L18"/>
  <c r="M18"/>
  <c r="N18"/>
  <c r="Z18"/>
  <c r="AA18"/>
  <c r="AB18"/>
  <c r="AC18"/>
  <c r="AD18"/>
  <c r="AE18"/>
  <c r="AF18"/>
  <c r="AG18"/>
  <c r="AH18"/>
  <c r="AI18"/>
  <c r="AJ18"/>
  <c r="AK18"/>
  <c r="AL18"/>
  <c r="AM18"/>
  <c r="AO18"/>
  <c r="AQ18"/>
  <c r="D20"/>
  <c r="E22"/>
  <c r="H22"/>
  <c r="I22"/>
  <c r="J22"/>
  <c r="K22"/>
  <c r="L22"/>
  <c r="M22"/>
  <c r="N22"/>
  <c r="Z22"/>
  <c r="AA22"/>
  <c r="AB22"/>
  <c r="AC22"/>
  <c r="AD22"/>
  <c r="AE22"/>
  <c r="AF22"/>
  <c r="AG22"/>
  <c r="AH22"/>
  <c r="AI22"/>
  <c r="AJ22"/>
  <c r="AK22"/>
  <c r="AL22"/>
  <c r="AM22"/>
  <c r="AO22"/>
  <c r="AQ22"/>
  <c r="D24"/>
  <c r="E26"/>
  <c r="H26"/>
  <c r="I26"/>
  <c r="J26"/>
  <c r="K26"/>
  <c r="L26"/>
  <c r="M26"/>
  <c r="N26"/>
  <c r="Z26"/>
  <c r="AA26"/>
  <c r="AM26"/>
  <c r="AC28"/>
  <c r="F36" i="6"/>
  <c r="AD28" i="1"/>
  <c r="CR28"/>
  <c r="Q28"/>
  <c r="AE28"/>
  <c r="CS28"/>
  <c r="AF28"/>
  <c r="CT28"/>
  <c r="AG28"/>
  <c r="CU28"/>
  <c r="T28"/>
  <c r="AJ28"/>
  <c r="CX28"/>
  <c r="W28"/>
  <c r="X28"/>
  <c r="Y28"/>
  <c r="AC29"/>
  <c r="F39" i="6"/>
  <c r="AD29" i="1"/>
  <c r="CR29"/>
  <c r="Q29"/>
  <c r="AE29"/>
  <c r="CS29"/>
  <c r="AF29"/>
  <c r="CT29"/>
  <c r="AG29"/>
  <c r="CU29"/>
  <c r="T29"/>
  <c r="AJ29"/>
  <c r="CX29"/>
  <c r="W29"/>
  <c r="X29"/>
  <c r="Y29"/>
  <c r="AC30"/>
  <c r="F42" i="6"/>
  <c r="AD30" i="1"/>
  <c r="CR30"/>
  <c r="Q30"/>
  <c r="AE30"/>
  <c r="CS30"/>
  <c r="AF30"/>
  <c r="CT30"/>
  <c r="AG30"/>
  <c r="CU30"/>
  <c r="T30"/>
  <c r="AJ30"/>
  <c r="CX30"/>
  <c r="W30"/>
  <c r="X30"/>
  <c r="Y30"/>
  <c r="AC31"/>
  <c r="F45" i="6"/>
  <c r="AD31" i="1"/>
  <c r="CR31"/>
  <c r="Q31"/>
  <c r="AE31"/>
  <c r="CS31"/>
  <c r="AF31"/>
  <c r="CT31"/>
  <c r="AG31"/>
  <c r="CU31"/>
  <c r="T31"/>
  <c r="AJ31"/>
  <c r="CX31"/>
  <c r="W31"/>
  <c r="X31"/>
  <c r="Y31"/>
  <c r="AC32"/>
  <c r="F48" i="6"/>
  <c r="AD32" i="1"/>
  <c r="CR32"/>
  <c r="Q32"/>
  <c r="AE32"/>
  <c r="CS32"/>
  <c r="AF32"/>
  <c r="CT32"/>
  <c r="AG32"/>
  <c r="CU32"/>
  <c r="T32"/>
  <c r="AJ32"/>
  <c r="CX32"/>
  <c r="W32"/>
  <c r="X32"/>
  <c r="Y32"/>
  <c r="AC33"/>
  <c r="F51" i="6"/>
  <c r="AD33" i="1"/>
  <c r="CR33"/>
  <c r="Q33"/>
  <c r="AE33"/>
  <c r="CS33"/>
  <c r="AF33"/>
  <c r="CT33"/>
  <c r="AG33"/>
  <c r="CU33"/>
  <c r="T33"/>
  <c r="AJ33"/>
  <c r="CX33"/>
  <c r="W33"/>
  <c r="X33"/>
  <c r="Y33"/>
  <c r="AC34"/>
  <c r="F54" i="6"/>
  <c r="AD34" i="1"/>
  <c r="CR34"/>
  <c r="Q34"/>
  <c r="AE34"/>
  <c r="CS34"/>
  <c r="AF34"/>
  <c r="CT34"/>
  <c r="AG34"/>
  <c r="CU34"/>
  <c r="T34"/>
  <c r="AJ34"/>
  <c r="CX34"/>
  <c r="W34"/>
  <c r="X34"/>
  <c r="Y34"/>
  <c r="AC35"/>
  <c r="F57" i="6"/>
  <c r="AD35" i="1"/>
  <c r="CR35"/>
  <c r="Q35"/>
  <c r="AE35"/>
  <c r="CS35"/>
  <c r="AF35"/>
  <c r="CT35"/>
  <c r="AG35"/>
  <c r="CU35"/>
  <c r="T35"/>
  <c r="AJ35"/>
  <c r="CX35"/>
  <c r="W35"/>
  <c r="X35"/>
  <c r="Y35"/>
  <c r="AC36"/>
  <c r="F60" i="6"/>
  <c r="AD36" i="1"/>
  <c r="CR36"/>
  <c r="Q36"/>
  <c r="AE36"/>
  <c r="CS36"/>
  <c r="AF36"/>
  <c r="CT36"/>
  <c r="AG36"/>
  <c r="CU36"/>
  <c r="T36"/>
  <c r="AJ36"/>
  <c r="CX36"/>
  <c r="W36"/>
  <c r="FR36"/>
  <c r="AC37"/>
  <c r="F63" i="6"/>
  <c r="AD37" i="1"/>
  <c r="CR37"/>
  <c r="AE37"/>
  <c r="CS37"/>
  <c r="AF37"/>
  <c r="CT37"/>
  <c r="S37"/>
  <c r="AG37"/>
  <c r="CU37"/>
  <c r="T37"/>
  <c r="AJ37"/>
  <c r="CX37"/>
  <c r="Q37"/>
  <c r="W37"/>
  <c r="FR37"/>
  <c r="AC38"/>
  <c r="F66" i="6"/>
  <c r="AD38" i="1"/>
  <c r="CR38"/>
  <c r="Q38"/>
  <c r="AE38"/>
  <c r="CS38"/>
  <c r="AF38"/>
  <c r="CT38"/>
  <c r="AG38"/>
  <c r="CU38"/>
  <c r="T38"/>
  <c r="AJ38"/>
  <c r="CX38"/>
  <c r="W38"/>
  <c r="S38"/>
  <c r="FR38"/>
  <c r="AC39"/>
  <c r="F69" i="6"/>
  <c r="AD39" i="1"/>
  <c r="CR39"/>
  <c r="AE39"/>
  <c r="CS39"/>
  <c r="AF39"/>
  <c r="CT39"/>
  <c r="S39"/>
  <c r="AG39"/>
  <c r="CU39"/>
  <c r="T39"/>
  <c r="AJ39"/>
  <c r="CX39"/>
  <c r="Q39"/>
  <c r="W39"/>
  <c r="FR39"/>
  <c r="AC40"/>
  <c r="F72" i="6"/>
  <c r="AD40" i="1"/>
  <c r="CR40"/>
  <c r="Q40"/>
  <c r="AE40"/>
  <c r="CS40"/>
  <c r="AF40"/>
  <c r="CT40"/>
  <c r="AG40"/>
  <c r="CU40"/>
  <c r="T40"/>
  <c r="AJ40"/>
  <c r="CX40"/>
  <c r="W40"/>
  <c r="S40"/>
  <c r="FR40"/>
  <c r="AC41"/>
  <c r="F75" i="6"/>
  <c r="AD41" i="1"/>
  <c r="CR41"/>
  <c r="AE41"/>
  <c r="CS41"/>
  <c r="AF41"/>
  <c r="CT41"/>
  <c r="S41"/>
  <c r="AG41"/>
  <c r="CU41"/>
  <c r="T41"/>
  <c r="AJ41"/>
  <c r="CX41"/>
  <c r="Q41"/>
  <c r="W41"/>
  <c r="FR41"/>
  <c r="B43"/>
  <c r="B26"/>
  <c r="C43"/>
  <c r="C26"/>
  <c r="D43"/>
  <c r="D26"/>
  <c r="F43"/>
  <c r="F26"/>
  <c r="G43"/>
  <c r="G26"/>
  <c r="AO43"/>
  <c r="AO26"/>
  <c r="D60"/>
  <c r="E62"/>
  <c r="H62"/>
  <c r="I62"/>
  <c r="J62"/>
  <c r="K62"/>
  <c r="L62"/>
  <c r="M62"/>
  <c r="N62"/>
  <c r="Z62"/>
  <c r="AA62"/>
  <c r="AM62"/>
  <c r="C64"/>
  <c r="D64"/>
  <c r="AC64"/>
  <c r="CQ64"/>
  <c r="AD64"/>
  <c r="CR64"/>
  <c r="AE64"/>
  <c r="CS64"/>
  <c r="AF64"/>
  <c r="CT64"/>
  <c r="S64"/>
  <c r="AG64"/>
  <c r="CU64"/>
  <c r="T64"/>
  <c r="AJ64"/>
  <c r="CX64"/>
  <c r="W64"/>
  <c r="FR64"/>
  <c r="C65"/>
  <c r="D65"/>
  <c r="AC65"/>
  <c r="CQ65"/>
  <c r="AD65"/>
  <c r="CR65"/>
  <c r="Q65"/>
  <c r="AE65"/>
  <c r="CS65"/>
  <c r="AF65"/>
  <c r="CT65"/>
  <c r="S65"/>
  <c r="AG65"/>
  <c r="CU65"/>
  <c r="T65"/>
  <c r="AJ65"/>
  <c r="CX65"/>
  <c r="W65"/>
  <c r="FR65"/>
  <c r="C66"/>
  <c r="D66"/>
  <c r="AC66"/>
  <c r="CQ66"/>
  <c r="AD66"/>
  <c r="CR66"/>
  <c r="Q66"/>
  <c r="AE66"/>
  <c r="CS66"/>
  <c r="AF66"/>
  <c r="CT66"/>
  <c r="S66"/>
  <c r="AG66"/>
  <c r="CU66"/>
  <c r="T66"/>
  <c r="AJ66"/>
  <c r="CX66"/>
  <c r="W66"/>
  <c r="FR66"/>
  <c r="C67"/>
  <c r="D67"/>
  <c r="AC67"/>
  <c r="CQ67"/>
  <c r="AD67"/>
  <c r="CR67"/>
  <c r="Q67"/>
  <c r="AE67"/>
  <c r="CS67"/>
  <c r="AF67"/>
  <c r="CT67"/>
  <c r="S67"/>
  <c r="AG67"/>
  <c r="CU67"/>
  <c r="T67"/>
  <c r="AJ67"/>
  <c r="CX67"/>
  <c r="W67"/>
  <c r="FR67"/>
  <c r="C68"/>
  <c r="D68"/>
  <c r="AC68"/>
  <c r="CQ68"/>
  <c r="AD68"/>
  <c r="CR68"/>
  <c r="Q68"/>
  <c r="AE68"/>
  <c r="CS68"/>
  <c r="AF68"/>
  <c r="CT68"/>
  <c r="S68"/>
  <c r="AG68"/>
  <c r="CU68"/>
  <c r="T68"/>
  <c r="AJ68"/>
  <c r="CX68"/>
  <c r="W68"/>
  <c r="FR68"/>
  <c r="C69"/>
  <c r="D69"/>
  <c r="AC69"/>
  <c r="CQ69"/>
  <c r="AD69"/>
  <c r="CR69"/>
  <c r="Q69"/>
  <c r="AE69"/>
  <c r="CS69"/>
  <c r="AF69"/>
  <c r="CT69"/>
  <c r="S69"/>
  <c r="AG69"/>
  <c r="CU69"/>
  <c r="T69"/>
  <c r="AJ69"/>
  <c r="CX69"/>
  <c r="W69"/>
  <c r="FR69"/>
  <c r="C70"/>
  <c r="D70"/>
  <c r="AC70"/>
  <c r="CQ70"/>
  <c r="AD70"/>
  <c r="CR70"/>
  <c r="Q70"/>
  <c r="AE70"/>
  <c r="CS70"/>
  <c r="AF70"/>
  <c r="CT70"/>
  <c r="S70"/>
  <c r="AG70"/>
  <c r="CU70"/>
  <c r="T70"/>
  <c r="AJ70"/>
  <c r="CX70"/>
  <c r="W70"/>
  <c r="FR70"/>
  <c r="AQ76"/>
  <c r="C71"/>
  <c r="D71"/>
  <c r="AC71"/>
  <c r="CQ71"/>
  <c r="AD71"/>
  <c r="CR71"/>
  <c r="Q71"/>
  <c r="AE71"/>
  <c r="CS71"/>
  <c r="AF71"/>
  <c r="CT71"/>
  <c r="S71"/>
  <c r="AG71"/>
  <c r="CU71"/>
  <c r="T71"/>
  <c r="AJ71"/>
  <c r="CX71"/>
  <c r="W71"/>
  <c r="FR71"/>
  <c r="C72"/>
  <c r="D72"/>
  <c r="AC72"/>
  <c r="CQ72"/>
  <c r="AD72"/>
  <c r="CR72"/>
  <c r="Q72"/>
  <c r="AE72"/>
  <c r="CS72"/>
  <c r="AF72"/>
  <c r="CT72"/>
  <c r="S72"/>
  <c r="AG72"/>
  <c r="CU72"/>
  <c r="T72"/>
  <c r="AJ72"/>
  <c r="CX72"/>
  <c r="W72"/>
  <c r="FR72"/>
  <c r="C73"/>
  <c r="D73"/>
  <c r="AC73"/>
  <c r="CQ73"/>
  <c r="AD73"/>
  <c r="CR73"/>
  <c r="Q73"/>
  <c r="AE73"/>
  <c r="CS73"/>
  <c r="AF73"/>
  <c r="CT73"/>
  <c r="S73"/>
  <c r="AG73"/>
  <c r="CU73"/>
  <c r="T73"/>
  <c r="AJ73"/>
  <c r="CX73"/>
  <c r="W73"/>
  <c r="FR73"/>
  <c r="C74"/>
  <c r="D74"/>
  <c r="AC74"/>
  <c r="CQ74"/>
  <c r="AD74"/>
  <c r="CR74"/>
  <c r="Q74"/>
  <c r="AE74"/>
  <c r="CS74"/>
  <c r="AF74"/>
  <c r="CT74"/>
  <c r="S74"/>
  <c r="AG74"/>
  <c r="CU74"/>
  <c r="T74"/>
  <c r="AJ74"/>
  <c r="CX74"/>
  <c r="W74"/>
  <c r="FR74"/>
  <c r="B76"/>
  <c r="B62"/>
  <c r="C76"/>
  <c r="C62"/>
  <c r="D76"/>
  <c r="D62"/>
  <c r="F76"/>
  <c r="F62"/>
  <c r="G76"/>
  <c r="G62"/>
  <c r="AO76"/>
  <c r="AN76"/>
  <c r="D93"/>
  <c r="E95"/>
  <c r="H95"/>
  <c r="I95"/>
  <c r="J95"/>
  <c r="K95"/>
  <c r="L95"/>
  <c r="M95"/>
  <c r="N95"/>
  <c r="Z95"/>
  <c r="AA95"/>
  <c r="AM95"/>
  <c r="C97"/>
  <c r="D97"/>
  <c r="AC97"/>
  <c r="CQ97"/>
  <c r="AD97"/>
  <c r="CR97"/>
  <c r="Q97"/>
  <c r="AE97"/>
  <c r="CS97"/>
  <c r="R97"/>
  <c r="AF97"/>
  <c r="CT97"/>
  <c r="AG97"/>
  <c r="CU97"/>
  <c r="T97"/>
  <c r="AG100"/>
  <c r="AJ97"/>
  <c r="CX97"/>
  <c r="W97"/>
  <c r="AJ100"/>
  <c r="S97"/>
  <c r="CZ97"/>
  <c r="Y97"/>
  <c r="FR97"/>
  <c r="AQ100"/>
  <c r="C98"/>
  <c r="D98"/>
  <c r="AC98"/>
  <c r="CQ98"/>
  <c r="AD98"/>
  <c r="CR98"/>
  <c r="AE98"/>
  <c r="CS98"/>
  <c r="R98"/>
  <c r="AE100"/>
  <c r="AF98"/>
  <c r="CT98"/>
  <c r="S98"/>
  <c r="AG98"/>
  <c r="CU98"/>
  <c r="T98"/>
  <c r="AJ98"/>
  <c r="CX98"/>
  <c r="Q98"/>
  <c r="W98"/>
  <c r="FR98"/>
  <c r="B100"/>
  <c r="B95"/>
  <c r="C100"/>
  <c r="C95"/>
  <c r="D100"/>
  <c r="D95"/>
  <c r="F100"/>
  <c r="F95"/>
  <c r="G100"/>
  <c r="G95"/>
  <c r="AO100"/>
  <c r="AO95"/>
  <c r="B117"/>
  <c r="B22"/>
  <c r="C117"/>
  <c r="C22"/>
  <c r="D117"/>
  <c r="D22"/>
  <c r="F117"/>
  <c r="F22"/>
  <c r="G117"/>
  <c r="G22"/>
  <c r="B140"/>
  <c r="B18"/>
  <c r="C140"/>
  <c r="C18"/>
  <c r="D140"/>
  <c r="D18"/>
  <c r="F140"/>
  <c r="F18"/>
  <c r="G140"/>
  <c r="G18"/>
  <c r="AB74"/>
  <c r="AB73"/>
  <c r="AB72"/>
  <c r="AB71"/>
  <c r="AB70"/>
  <c r="AB69"/>
  <c r="AB68"/>
  <c r="AB67"/>
  <c r="AB66"/>
  <c r="AN100"/>
  <c r="AN95"/>
  <c r="P98"/>
  <c r="P97"/>
  <c r="CP97"/>
  <c r="O97"/>
  <c r="AB65"/>
  <c r="Q64"/>
  <c r="AN43"/>
  <c r="AN26"/>
  <c r="F47"/>
  <c r="AC100"/>
  <c r="P100"/>
  <c r="F104"/>
  <c r="AC95"/>
  <c r="AI95"/>
  <c r="V100"/>
  <c r="CY97"/>
  <c r="X97"/>
  <c r="F111"/>
  <c r="B111"/>
  <c r="V95"/>
  <c r="O201" i="5"/>
  <c r="Q201"/>
  <c r="S201"/>
  <c r="U201"/>
  <c r="O207"/>
  <c r="V193"/>
  <c r="V190" i="6"/>
  <c r="AB100" i="1"/>
  <c r="K192" i="6"/>
  <c r="K195" i="5"/>
  <c r="CY98" i="1"/>
  <c r="X98"/>
  <c r="AF100"/>
  <c r="CP98"/>
  <c r="O98"/>
  <c r="CZ98"/>
  <c r="Y98"/>
  <c r="AQ95"/>
  <c r="AP100"/>
  <c r="AJ95"/>
  <c r="W100"/>
  <c r="W179" i="5"/>
  <c r="W176" i="6"/>
  <c r="R74" i="1"/>
  <c r="K163" i="6"/>
  <c r="K166" i="5"/>
  <c r="K153" i="6"/>
  <c r="K156" i="5"/>
  <c r="H156" i="6"/>
  <c r="H159" i="5"/>
  <c r="P72" i="1"/>
  <c r="W151" i="6"/>
  <c r="H146"/>
  <c r="W154" i="5"/>
  <c r="H149"/>
  <c r="R71" i="1"/>
  <c r="H147" i="6"/>
  <c r="H150" i="5"/>
  <c r="P71" i="1"/>
  <c r="H137" i="6"/>
  <c r="W142"/>
  <c r="W145" i="5"/>
  <c r="H140"/>
  <c r="R70" i="1"/>
  <c r="K128" i="6"/>
  <c r="K131" i="5"/>
  <c r="K120" i="6"/>
  <c r="K123" i="5"/>
  <c r="H121" i="6"/>
  <c r="H124" i="5"/>
  <c r="P68" i="1"/>
  <c r="W118" i="6"/>
  <c r="H113"/>
  <c r="H116" i="5"/>
  <c r="W121"/>
  <c r="R67" i="1"/>
  <c r="H114" i="6"/>
  <c r="H117" i="5"/>
  <c r="P67" i="1"/>
  <c r="W109" i="6"/>
  <c r="W112" i="5"/>
  <c r="R66" i="1"/>
  <c r="AD76"/>
  <c r="K88" i="6"/>
  <c r="K91" i="5"/>
  <c r="AF76" i="1"/>
  <c r="W76" i="6"/>
  <c r="W81" i="5"/>
  <c r="R41" i="1"/>
  <c r="W73" i="6"/>
  <c r="W78" i="5"/>
  <c r="R40" i="1"/>
  <c r="CZ40"/>
  <c r="Y40"/>
  <c r="W64" i="6"/>
  <c r="W69" i="5"/>
  <c r="R37" i="1"/>
  <c r="N61" i="6"/>
  <c r="N66" i="5"/>
  <c r="S36" i="1"/>
  <c r="N58" i="6"/>
  <c r="N63" i="5"/>
  <c r="S35" i="1"/>
  <c r="N55" i="6"/>
  <c r="N60" i="5"/>
  <c r="S34" i="1"/>
  <c r="N52" i="6"/>
  <c r="N57" i="5"/>
  <c r="S33" i="1"/>
  <c r="N49" i="6"/>
  <c r="N54" i="5"/>
  <c r="S32" i="1"/>
  <c r="N46" i="6"/>
  <c r="N51" i="5"/>
  <c r="S31" i="1"/>
  <c r="N43" i="6"/>
  <c r="N48" i="5"/>
  <c r="S30" i="1"/>
  <c r="N40" i="6"/>
  <c r="N45" i="5"/>
  <c r="S29" i="1"/>
  <c r="N37" i="6"/>
  <c r="N42" i="5"/>
  <c r="S28" i="1"/>
  <c r="L37" i="6"/>
  <c r="L42" i="5"/>
  <c r="AH43" i="1"/>
  <c r="L40" i="6"/>
  <c r="L45" i="5"/>
  <c r="L46" i="6"/>
  <c r="L51" i="5"/>
  <c r="L52" i="6"/>
  <c r="L57" i="5"/>
  <c r="L58" i="6"/>
  <c r="L63" i="5"/>
  <c r="L64" i="6"/>
  <c r="L69" i="5"/>
  <c r="L76" i="6"/>
  <c r="L81" i="5"/>
  <c r="L118" i="6"/>
  <c r="L117"/>
  <c r="L120" i="5"/>
  <c r="L121"/>
  <c r="L150" i="6"/>
  <c r="L151"/>
  <c r="L154" i="5"/>
  <c r="L153"/>
  <c r="AK100" i="1"/>
  <c r="CZ71"/>
  <c r="Y71"/>
  <c r="CZ67"/>
  <c r="Y67"/>
  <c r="CY40"/>
  <c r="X40"/>
  <c r="AJ43"/>
  <c r="AD43"/>
  <c r="AI43"/>
  <c r="F103"/>
  <c r="B103"/>
  <c r="P95"/>
  <c r="AE95"/>
  <c r="R100"/>
  <c r="K188" i="6"/>
  <c r="K191" i="5"/>
  <c r="AL100" i="1"/>
  <c r="T100"/>
  <c r="AG95"/>
  <c r="AD100"/>
  <c r="F80"/>
  <c r="AN62"/>
  <c r="K171" i="6"/>
  <c r="K174" i="5"/>
  <c r="CY74" i="1"/>
  <c r="X74"/>
  <c r="CZ74"/>
  <c r="Y74"/>
  <c r="H175" i="5"/>
  <c r="H172" i="6"/>
  <c r="P74" i="1"/>
  <c r="W169" i="6"/>
  <c r="H164"/>
  <c r="W172" i="5"/>
  <c r="H167"/>
  <c r="R73" i="1"/>
  <c r="H165" i="6"/>
  <c r="H168" i="5"/>
  <c r="P73" i="1"/>
  <c r="W160" i="6"/>
  <c r="H155"/>
  <c r="H158" i="5"/>
  <c r="W163"/>
  <c r="R72" i="1"/>
  <c r="CZ72"/>
  <c r="Y72"/>
  <c r="K145" i="6"/>
  <c r="K148" i="5"/>
  <c r="AQ62" i="1"/>
  <c r="AP76"/>
  <c r="K135" i="6"/>
  <c r="K138" i="5"/>
  <c r="CY70" i="1"/>
  <c r="X70"/>
  <c r="CZ70"/>
  <c r="Y70"/>
  <c r="H138" i="6"/>
  <c r="H141" i="5"/>
  <c r="P70" i="1"/>
  <c r="W133" i="6"/>
  <c r="W136" i="5"/>
  <c r="R69" i="1"/>
  <c r="CY69"/>
  <c r="X69"/>
  <c r="H129" i="6"/>
  <c r="H132" i="5"/>
  <c r="P69" i="1"/>
  <c r="W125" i="6"/>
  <c r="W128" i="5"/>
  <c r="R68" i="1"/>
  <c r="CY68"/>
  <c r="X68"/>
  <c r="K112" i="6"/>
  <c r="K115" i="5"/>
  <c r="K104" i="6"/>
  <c r="K107" i="5"/>
  <c r="CY66" i="1"/>
  <c r="X66"/>
  <c r="CZ66"/>
  <c r="Y66"/>
  <c r="H105" i="6"/>
  <c r="H108" i="5"/>
  <c r="P66" i="1"/>
  <c r="W102" i="6"/>
  <c r="W105" i="5"/>
  <c r="R65" i="1"/>
  <c r="CY65"/>
  <c r="X65"/>
  <c r="H98" i="6"/>
  <c r="H101" i="5"/>
  <c r="P65" i="1"/>
  <c r="W95" i="6"/>
  <c r="W178" s="1"/>
  <c r="H90"/>
  <c r="W98" i="5"/>
  <c r="W181"/>
  <c r="H93"/>
  <c r="R64" i="1"/>
  <c r="H91" i="6"/>
  <c r="H94" i="5"/>
  <c r="P64" i="1"/>
  <c r="CZ41"/>
  <c r="Y41"/>
  <c r="CY41"/>
  <c r="X41"/>
  <c r="W70" i="6"/>
  <c r="W75" i="5"/>
  <c r="R39" i="1"/>
  <c r="CZ39"/>
  <c r="Y39"/>
  <c r="W67" i="6"/>
  <c r="W72" i="5"/>
  <c r="R38" i="1"/>
  <c r="CZ38"/>
  <c r="Y38"/>
  <c r="CZ37"/>
  <c r="Y37"/>
  <c r="CY37"/>
  <c r="X37"/>
  <c r="W61" i="6"/>
  <c r="W66" i="5"/>
  <c r="R36" i="1"/>
  <c r="W58" i="6"/>
  <c r="W63" i="5"/>
  <c r="R35" i="1"/>
  <c r="W55" i="6"/>
  <c r="W60" i="5"/>
  <c r="R34" i="1"/>
  <c r="W52" i="6"/>
  <c r="W57" i="5"/>
  <c r="R33" i="1"/>
  <c r="W49" i="6"/>
  <c r="W54" i="5"/>
  <c r="R32" i="1"/>
  <c r="W46" i="6"/>
  <c r="W51" i="5"/>
  <c r="R31" i="1"/>
  <c r="W43" i="6"/>
  <c r="W48" i="5"/>
  <c r="R30" i="1"/>
  <c r="W40" i="6"/>
  <c r="W45" i="5"/>
  <c r="R29" i="1"/>
  <c r="W37" i="6"/>
  <c r="W42" i="5"/>
  <c r="W83"/>
  <c r="R28" i="1"/>
  <c r="L43" i="6"/>
  <c r="L48" i="5"/>
  <c r="L49" i="6"/>
  <c r="L54" i="5"/>
  <c r="L55" i="6"/>
  <c r="L60" i="5"/>
  <c r="L61" i="6"/>
  <c r="L66" i="5"/>
  <c r="L70" i="6"/>
  <c r="L75" i="5"/>
  <c r="AI62" i="1"/>
  <c r="V76"/>
  <c r="L101" i="6"/>
  <c r="L102"/>
  <c r="L104" i="5"/>
  <c r="L105"/>
  <c r="AH76" i="1"/>
  <c r="L133" i="6"/>
  <c r="L132"/>
  <c r="L135" i="5"/>
  <c r="L136"/>
  <c r="L168" i="6"/>
  <c r="L171" i="5"/>
  <c r="L169" i="6"/>
  <c r="L172" i="5"/>
  <c r="CZ73" i="1"/>
  <c r="Y73"/>
  <c r="CZ69"/>
  <c r="Y69"/>
  <c r="AJ76"/>
  <c r="CZ65"/>
  <c r="Y65"/>
  <c r="AG76"/>
  <c r="CY38"/>
  <c r="X38"/>
  <c r="AG43"/>
  <c r="K89" i="6"/>
  <c r="K92" i="5"/>
  <c r="D204"/>
  <c r="D201" i="6"/>
  <c r="Y188"/>
  <c r="H188" s="1"/>
  <c r="X187"/>
  <c r="H187" s="1"/>
  <c r="H190" s="1"/>
  <c r="M190" s="1"/>
  <c r="H186"/>
  <c r="R193" i="5"/>
  <c r="N193"/>
  <c r="Y191"/>
  <c r="H191"/>
  <c r="X190"/>
  <c r="H190"/>
  <c r="H193" s="1"/>
  <c r="M193" s="1"/>
  <c r="R190" i="6"/>
  <c r="N190"/>
  <c r="H189" i="5"/>
  <c r="W193"/>
  <c r="W190" i="6"/>
  <c r="N169"/>
  <c r="Y167"/>
  <c r="H167" s="1"/>
  <c r="X166"/>
  <c r="H166" s="1"/>
  <c r="H169" s="1"/>
  <c r="M169" s="1"/>
  <c r="N172" i="5"/>
  <c r="Y170"/>
  <c r="H170"/>
  <c r="X169"/>
  <c r="H169"/>
  <c r="H172" s="1"/>
  <c r="M172" s="1"/>
  <c r="P169" i="6"/>
  <c r="H162"/>
  <c r="P172" i="5"/>
  <c r="H165"/>
  <c r="H154" i="6"/>
  <c r="H157" i="5"/>
  <c r="N151" i="6"/>
  <c r="Y149"/>
  <c r="H149"/>
  <c r="X148"/>
  <c r="H148" s="1"/>
  <c r="H151" s="1"/>
  <c r="M151" s="1"/>
  <c r="P151"/>
  <c r="H144"/>
  <c r="P154" i="5"/>
  <c r="H147"/>
  <c r="N154"/>
  <c r="Y152"/>
  <c r="H152"/>
  <c r="X151"/>
  <c r="H151"/>
  <c r="H154" s="1"/>
  <c r="M154" s="1"/>
  <c r="H136" i="6"/>
  <c r="H139" i="5"/>
  <c r="P133" i="6"/>
  <c r="N133"/>
  <c r="Y131"/>
  <c r="H131" s="1"/>
  <c r="X130"/>
  <c r="H130" s="1"/>
  <c r="H133" s="1"/>
  <c r="M133" s="1"/>
  <c r="H127"/>
  <c r="N136" i="5"/>
  <c r="Y134"/>
  <c r="H134" s="1"/>
  <c r="X133"/>
  <c r="H133" s="1"/>
  <c r="H136" s="1"/>
  <c r="M136" s="1"/>
  <c r="H130"/>
  <c r="P136"/>
  <c r="P118" i="6"/>
  <c r="H111"/>
  <c r="N118"/>
  <c r="Y116"/>
  <c r="H116"/>
  <c r="X115"/>
  <c r="H115"/>
  <c r="H118" s="1"/>
  <c r="M118" s="1"/>
  <c r="N121" i="5"/>
  <c r="Y119"/>
  <c r="H119" s="1"/>
  <c r="X118"/>
  <c r="H118" s="1"/>
  <c r="H121" s="1"/>
  <c r="M121" s="1"/>
  <c r="H114"/>
  <c r="P121"/>
  <c r="N102" i="6"/>
  <c r="Y100"/>
  <c r="H100"/>
  <c r="X99"/>
  <c r="H99"/>
  <c r="H102" s="1"/>
  <c r="M102" s="1"/>
  <c r="P102"/>
  <c r="H97"/>
  <c r="N105" i="5"/>
  <c r="Y103"/>
  <c r="H103" s="1"/>
  <c r="X102"/>
  <c r="H102" s="1"/>
  <c r="H105" s="1"/>
  <c r="M105" s="1"/>
  <c r="H100"/>
  <c r="P105"/>
  <c r="H89" i="6"/>
  <c r="H92" i="5"/>
  <c r="N73" i="6"/>
  <c r="N78" i="5"/>
  <c r="N67" i="6"/>
  <c r="N72" i="5"/>
  <c r="L67" i="6"/>
  <c r="L72" i="5"/>
  <c r="L73" i="6"/>
  <c r="L78" i="5"/>
  <c r="L109" i="6"/>
  <c r="L108"/>
  <c r="L112" i="5"/>
  <c r="L111"/>
  <c r="L124" i="6"/>
  <c r="L125"/>
  <c r="L128" i="5"/>
  <c r="L127"/>
  <c r="L141" i="6"/>
  <c r="L142"/>
  <c r="L145" i="5"/>
  <c r="L144"/>
  <c r="L159" i="6"/>
  <c r="L160"/>
  <c r="L162" i="5"/>
  <c r="L163"/>
  <c r="L175" i="6"/>
  <c r="L179" i="5"/>
  <c r="L176" i="6"/>
  <c r="L178" i="5"/>
  <c r="L189" i="6"/>
  <c r="L192" i="5"/>
  <c r="L190" i="6"/>
  <c r="L193" i="5"/>
  <c r="L196" i="6"/>
  <c r="L198" i="5"/>
  <c r="L195" i="6"/>
  <c r="L199" i="5"/>
  <c r="AN117" i="1"/>
  <c r="AB97"/>
  <c r="AO62"/>
  <c r="AB40"/>
  <c r="AB38"/>
  <c r="AB36"/>
  <c r="AB35"/>
  <c r="AB34"/>
  <c r="AB33"/>
  <c r="AB32"/>
  <c r="AB31"/>
  <c r="AB30"/>
  <c r="AB29"/>
  <c r="AB28"/>
  <c r="CQ28"/>
  <c r="Q37" i="6"/>
  <c r="CQ29" i="1"/>
  <c r="CQ30"/>
  <c r="CQ31"/>
  <c r="CQ32"/>
  <c r="CQ33"/>
  <c r="CQ34"/>
  <c r="CQ35"/>
  <c r="CQ36"/>
  <c r="R61" i="6"/>
  <c r="CQ38" i="1"/>
  <c r="CQ40"/>
  <c r="K187" i="6"/>
  <c r="K190"/>
  <c r="K190" i="5"/>
  <c r="K193"/>
  <c r="R196" i="6"/>
  <c r="H192"/>
  <c r="N199" i="5"/>
  <c r="Y197"/>
  <c r="H197" s="1"/>
  <c r="X196"/>
  <c r="H196" s="1"/>
  <c r="H199" s="1"/>
  <c r="M199" s="1"/>
  <c r="N196" i="6"/>
  <c r="Y194"/>
  <c r="H194"/>
  <c r="X193"/>
  <c r="H193"/>
  <c r="H196" s="1"/>
  <c r="M196" s="1"/>
  <c r="R199" i="5"/>
  <c r="H195"/>
  <c r="W196" i="6"/>
  <c r="W199" i="5"/>
  <c r="K186" i="6"/>
  <c r="K189" i="5"/>
  <c r="D181" i="6"/>
  <c r="D184" i="5"/>
  <c r="N176" i="6"/>
  <c r="Y174"/>
  <c r="H174"/>
  <c r="X173"/>
  <c r="H173" s="1"/>
  <c r="H176" s="1"/>
  <c r="M176" s="1"/>
  <c r="P179" i="5"/>
  <c r="P176" i="6"/>
  <c r="H171"/>
  <c r="N179" i="5"/>
  <c r="Y177"/>
  <c r="H177" s="1"/>
  <c r="X176"/>
  <c r="H176" s="1"/>
  <c r="H179" s="1"/>
  <c r="M179" s="1"/>
  <c r="H174"/>
  <c r="K162" i="6"/>
  <c r="K165" i="5"/>
  <c r="H163" i="6"/>
  <c r="H166" i="5"/>
  <c r="N160" i="6"/>
  <c r="Y158"/>
  <c r="H158" s="1"/>
  <c r="X157"/>
  <c r="H157" s="1"/>
  <c r="H160" s="1"/>
  <c r="M160" s="1"/>
  <c r="P160"/>
  <c r="H153"/>
  <c r="N163" i="5"/>
  <c r="Y161"/>
  <c r="H161"/>
  <c r="X160"/>
  <c r="H160"/>
  <c r="H163" s="1"/>
  <c r="M163" s="1"/>
  <c r="H156"/>
  <c r="P163"/>
  <c r="K154" i="6"/>
  <c r="K157" i="5"/>
  <c r="K144" i="6"/>
  <c r="K147" i="5"/>
  <c r="H145" i="6"/>
  <c r="H148" i="5"/>
  <c r="N142" i="6"/>
  <c r="Y140"/>
  <c r="H140" s="1"/>
  <c r="X139"/>
  <c r="H139" s="1"/>
  <c r="H142" s="1"/>
  <c r="M142" s="1"/>
  <c r="H135"/>
  <c r="P142"/>
  <c r="P145" i="5"/>
  <c r="N145"/>
  <c r="Y143"/>
  <c r="H143" s="1"/>
  <c r="X142"/>
  <c r="H142" s="1"/>
  <c r="H145" s="1"/>
  <c r="M145" s="1"/>
  <c r="H138"/>
  <c r="K136" i="6"/>
  <c r="K139" i="5"/>
  <c r="K127" i="6"/>
  <c r="K130" i="5"/>
  <c r="H128" i="6"/>
  <c r="H131" i="5"/>
  <c r="N125" i="6"/>
  <c r="Y123"/>
  <c r="H123" s="1"/>
  <c r="X122"/>
  <c r="H122" s="1"/>
  <c r="H125" s="1"/>
  <c r="M125" s="1"/>
  <c r="H120"/>
  <c r="P125"/>
  <c r="P128" i="5"/>
  <c r="N128"/>
  <c r="Y126"/>
  <c r="H126" s="1"/>
  <c r="X125"/>
  <c r="H125" s="1"/>
  <c r="H128" s="1"/>
  <c r="M128" s="1"/>
  <c r="H123"/>
  <c r="K111" i="6"/>
  <c r="K114" i="5"/>
  <c r="H112" i="6"/>
  <c r="H115" i="5"/>
  <c r="P109" i="6"/>
  <c r="N109"/>
  <c r="Y107"/>
  <c r="H107"/>
  <c r="X106"/>
  <c r="H106"/>
  <c r="H104"/>
  <c r="P112" i="5"/>
  <c r="N112"/>
  <c r="Y110"/>
  <c r="H110" s="1"/>
  <c r="X109"/>
  <c r="H109" s="1"/>
  <c r="H112" s="1"/>
  <c r="M112" s="1"/>
  <c r="H107"/>
  <c r="K97" i="6"/>
  <c r="K100" i="5"/>
  <c r="Y93" i="6"/>
  <c r="H93"/>
  <c r="X92"/>
  <c r="H92"/>
  <c r="P95"/>
  <c r="P178"/>
  <c r="N95"/>
  <c r="H88"/>
  <c r="P98" i="5"/>
  <c r="N98"/>
  <c r="N181" s="1"/>
  <c r="Y96"/>
  <c r="H96" s="1"/>
  <c r="X95"/>
  <c r="H95" s="1"/>
  <c r="H91"/>
  <c r="D81" i="6"/>
  <c r="D86" i="5"/>
  <c r="N76" i="6"/>
  <c r="N81" i="5"/>
  <c r="N70" i="6"/>
  <c r="N75" i="5"/>
  <c r="N64" i="6"/>
  <c r="N69" i="5"/>
  <c r="N83" s="1"/>
  <c r="N207" s="1"/>
  <c r="R69"/>
  <c r="L94" i="6"/>
  <c r="L95"/>
  <c r="L98" i="5"/>
  <c r="L97"/>
  <c r="AB98" i="1"/>
  <c r="AB64"/>
  <c r="AB41"/>
  <c r="AB39"/>
  <c r="AB37"/>
  <c r="CQ37"/>
  <c r="CQ39"/>
  <c r="R75" i="5"/>
  <c r="CQ41" i="1"/>
  <c r="AH100"/>
  <c r="K122" i="6"/>
  <c r="K125" i="5"/>
  <c r="K158" i="6"/>
  <c r="K161" i="5"/>
  <c r="AH95" i="1"/>
  <c r="U100"/>
  <c r="H66" i="6"/>
  <c r="H67" s="1"/>
  <c r="M67" s="1"/>
  <c r="H71" i="5"/>
  <c r="H72"/>
  <c r="M72" s="1"/>
  <c r="P38" i="1"/>
  <c r="H57" i="6"/>
  <c r="H58"/>
  <c r="M58" s="1"/>
  <c r="H62" i="5"/>
  <c r="H63" s="1"/>
  <c r="M63" s="1"/>
  <c r="P35" i="1"/>
  <c r="H51" i="6"/>
  <c r="H52" s="1"/>
  <c r="M52" s="1"/>
  <c r="H56" i="5"/>
  <c r="H57"/>
  <c r="M57" s="1"/>
  <c r="P33" i="1"/>
  <c r="H45" i="6"/>
  <c r="H46"/>
  <c r="M46" s="1"/>
  <c r="H50" i="5"/>
  <c r="H51" s="1"/>
  <c r="M51" s="1"/>
  <c r="P31" i="1"/>
  <c r="H39" i="6"/>
  <c r="H40" s="1"/>
  <c r="M40" s="1"/>
  <c r="H44" i="5"/>
  <c r="H45"/>
  <c r="M45" s="1"/>
  <c r="P29" i="1"/>
  <c r="AG26"/>
  <c r="T43"/>
  <c r="T76"/>
  <c r="AG62"/>
  <c r="W76"/>
  <c r="AJ62"/>
  <c r="K167" i="6"/>
  <c r="K170" i="5"/>
  <c r="V62" i="1"/>
  <c r="F87"/>
  <c r="B87" s="1"/>
  <c r="K90" i="6"/>
  <c r="K93" i="5"/>
  <c r="AE76" i="1"/>
  <c r="K99" i="6"/>
  <c r="K102" i="5"/>
  <c r="K129" i="6"/>
  <c r="K132" i="5"/>
  <c r="CP69" i="1"/>
  <c r="O69"/>
  <c r="K138" i="6"/>
  <c r="K141" i="5"/>
  <c r="CP70" i="1"/>
  <c r="O70"/>
  <c r="K140" i="6"/>
  <c r="K143" i="5"/>
  <c r="K139" i="6"/>
  <c r="K142" s="1"/>
  <c r="K142" i="5"/>
  <c r="K165" i="6"/>
  <c r="K168" i="5"/>
  <c r="CP73" i="1"/>
  <c r="O73"/>
  <c r="K172" i="6"/>
  <c r="K175" i="5"/>
  <c r="CP74" i="1"/>
  <c r="O74"/>
  <c r="K174" i="6"/>
  <c r="K177" i="5"/>
  <c r="AD95" i="1"/>
  <c r="Q100"/>
  <c r="F109"/>
  <c r="B109" s="1"/>
  <c r="T95"/>
  <c r="F107"/>
  <c r="B107"/>
  <c r="R95"/>
  <c r="V43"/>
  <c r="AI26"/>
  <c r="W43"/>
  <c r="AJ26"/>
  <c r="K116" i="6"/>
  <c r="K119" i="5"/>
  <c r="X100" i="1"/>
  <c r="AK95"/>
  <c r="AF43"/>
  <c r="CZ36"/>
  <c r="Y36"/>
  <c r="AL43"/>
  <c r="CY36"/>
  <c r="X36"/>
  <c r="AD62"/>
  <c r="Q76"/>
  <c r="K114" i="6"/>
  <c r="K117" i="5"/>
  <c r="CP67" i="1"/>
  <c r="O67"/>
  <c r="K121" i="6"/>
  <c r="K124" i="5"/>
  <c r="CP68" i="1"/>
  <c r="O68"/>
  <c r="K147" i="6"/>
  <c r="K150" i="5"/>
  <c r="CP71" i="1"/>
  <c r="O71"/>
  <c r="K156" i="6"/>
  <c r="K159" i="5"/>
  <c r="CP72" i="1"/>
  <c r="O72"/>
  <c r="F112"/>
  <c r="B112" s="1"/>
  <c r="W95"/>
  <c r="AP95"/>
  <c r="F105"/>
  <c r="K197" i="5"/>
  <c r="K194" i="6"/>
  <c r="AF95" i="1"/>
  <c r="S100"/>
  <c r="O100"/>
  <c r="AB95"/>
  <c r="W198" i="6"/>
  <c r="R198"/>
  <c r="R201" i="5"/>
  <c r="AE43" i="1"/>
  <c r="W78" i="6"/>
  <c r="Q45" i="5"/>
  <c r="Q51"/>
  <c r="Q57"/>
  <c r="Q63"/>
  <c r="R66"/>
  <c r="CY39" i="1"/>
  <c r="X39"/>
  <c r="CZ64"/>
  <c r="Y64"/>
  <c r="CZ68"/>
  <c r="Y68"/>
  <c r="H69" i="6"/>
  <c r="H70"/>
  <c r="M70" s="1"/>
  <c r="H74" i="5"/>
  <c r="H75" s="1"/>
  <c r="M75" s="1"/>
  <c r="P39" i="1"/>
  <c r="H75" i="6"/>
  <c r="H76" s="1"/>
  <c r="M76" s="1"/>
  <c r="H80" i="5"/>
  <c r="H81"/>
  <c r="M81" s="1"/>
  <c r="P41" i="1"/>
  <c r="H63" i="6"/>
  <c r="H64"/>
  <c r="M64" s="1"/>
  <c r="H68" i="5"/>
  <c r="H69" s="1"/>
  <c r="M69" s="1"/>
  <c r="P37" i="1"/>
  <c r="H72" i="6"/>
  <c r="H73" s="1"/>
  <c r="M73" s="1"/>
  <c r="H77" i="5"/>
  <c r="H78"/>
  <c r="M78" s="1"/>
  <c r="P40" i="1"/>
  <c r="H60" i="6"/>
  <c r="H61"/>
  <c r="M61" s="1"/>
  <c r="H65" i="5"/>
  <c r="H66" s="1"/>
  <c r="M66" s="1"/>
  <c r="P36" i="1"/>
  <c r="H54" i="6"/>
  <c r="H55" s="1"/>
  <c r="M55" s="1"/>
  <c r="H59" i="5"/>
  <c r="H60"/>
  <c r="M60" s="1"/>
  <c r="P34" i="1"/>
  <c r="H48" i="6"/>
  <c r="H49"/>
  <c r="M49" s="1"/>
  <c r="H53" i="5"/>
  <c r="H54" s="1"/>
  <c r="M54" s="1"/>
  <c r="P32" i="1"/>
  <c r="H42" i="6"/>
  <c r="H43" s="1"/>
  <c r="M43" s="1"/>
  <c r="H47" i="5"/>
  <c r="H48"/>
  <c r="M48" s="1"/>
  <c r="P30" i="1"/>
  <c r="H36" i="6"/>
  <c r="H37"/>
  <c r="M37" s="1"/>
  <c r="H41" i="5"/>
  <c r="H42" s="1"/>
  <c r="M42" s="1"/>
  <c r="G83" s="1"/>
  <c r="P28" i="1"/>
  <c r="AN22"/>
  <c r="F121"/>
  <c r="AN140"/>
  <c r="K100" i="6"/>
  <c r="K103" i="5"/>
  <c r="K131" i="6"/>
  <c r="K134" i="5"/>
  <c r="U76" i="1"/>
  <c r="AH62"/>
  <c r="K91" i="6"/>
  <c r="K94" i="5"/>
  <c r="CP64" i="1"/>
  <c r="O64"/>
  <c r="AC76"/>
  <c r="K98" i="6"/>
  <c r="K102" s="1"/>
  <c r="K101" i="5"/>
  <c r="CP65" i="1"/>
  <c r="O65"/>
  <c r="K105" i="6"/>
  <c r="K108" i="5"/>
  <c r="CP66" i="1"/>
  <c r="O66"/>
  <c r="K107" i="6"/>
  <c r="K110" i="5"/>
  <c r="K106" i="6"/>
  <c r="K109" i="5"/>
  <c r="K130" i="6"/>
  <c r="K133" i="5"/>
  <c r="AP62" i="1"/>
  <c r="F81"/>
  <c r="K155" i="6"/>
  <c r="K158" i="5"/>
  <c r="K164" i="6"/>
  <c r="K167" i="5"/>
  <c r="CY73" i="1"/>
  <c r="X73"/>
  <c r="K173" i="6"/>
  <c r="K176" i="5"/>
  <c r="AL95" i="1"/>
  <c r="Y100"/>
  <c r="Q43"/>
  <c r="AD26"/>
  <c r="K149" i="6"/>
  <c r="K152" i="5"/>
  <c r="U43" i="1"/>
  <c r="AH26"/>
  <c r="S76"/>
  <c r="AF62"/>
  <c r="K113" i="6"/>
  <c r="K116" i="5"/>
  <c r="CY67" i="1"/>
  <c r="X67"/>
  <c r="K137" i="6"/>
  <c r="K140" i="5"/>
  <c r="K146" i="6"/>
  <c r="K149" i="5"/>
  <c r="CY71" i="1"/>
  <c r="X71"/>
  <c r="V196" i="6"/>
  <c r="V198"/>
  <c r="V199" i="5"/>
  <c r="V201"/>
  <c r="K196"/>
  <c r="K199"/>
  <c r="K193" i="6"/>
  <c r="K196"/>
  <c r="R64"/>
  <c r="R78"/>
  <c r="R70"/>
  <c r="R81" i="5"/>
  <c r="R76" i="6"/>
  <c r="P181" i="5"/>
  <c r="N178" i="6"/>
  <c r="R72" i="5"/>
  <c r="R83" s="1"/>
  <c r="R207" s="1"/>
  <c r="R67" i="6"/>
  <c r="R78" i="5"/>
  <c r="R73" i="6"/>
  <c r="W201" i="5"/>
  <c r="W207" s="1"/>
  <c r="N198" i="6"/>
  <c r="N201" i="5"/>
  <c r="H95" i="6"/>
  <c r="M95" s="1"/>
  <c r="G178" s="1"/>
  <c r="H109"/>
  <c r="M109" s="1"/>
  <c r="Q42" i="5"/>
  <c r="Q83" s="1"/>
  <c r="Q207" s="1"/>
  <c r="N78" i="6"/>
  <c r="Q40"/>
  <c r="Q78" s="1"/>
  <c r="Q48" i="5"/>
  <c r="Q43" i="6"/>
  <c r="Q46"/>
  <c r="Q54" i="5"/>
  <c r="Q49" i="6"/>
  <c r="Q52"/>
  <c r="Q60" i="5"/>
  <c r="Q55" i="6"/>
  <c r="Q58"/>
  <c r="CY64" i="1"/>
  <c r="X64"/>
  <c r="CY72"/>
  <c r="X72"/>
  <c r="K92" i="6"/>
  <c r="K95"/>
  <c r="K95" i="5"/>
  <c r="AK76" i="1"/>
  <c r="K115" i="6"/>
  <c r="K118" i="5"/>
  <c r="K121" s="1"/>
  <c r="F84" i="1"/>
  <c r="B84" s="1"/>
  <c r="S62"/>
  <c r="U117"/>
  <c r="F53"/>
  <c r="B53" s="1"/>
  <c r="U26"/>
  <c r="F49"/>
  <c r="B49"/>
  <c r="Q26"/>
  <c r="Q117"/>
  <c r="T109" i="6"/>
  <c r="T112" i="5"/>
  <c r="P76" i="1"/>
  <c r="AC62"/>
  <c r="L181" i="5"/>
  <c r="L178" i="6"/>
  <c r="AN18" i="1"/>
  <c r="F144"/>
  <c r="K42" i="6"/>
  <c r="K43"/>
  <c r="K47" i="5"/>
  <c r="K48"/>
  <c r="FR30" i="1"/>
  <c r="CP30"/>
  <c r="O30"/>
  <c r="K54" i="6"/>
  <c r="K55" s="1"/>
  <c r="K59" i="5"/>
  <c r="K60" s="1"/>
  <c r="FR34" i="1"/>
  <c r="CP34"/>
  <c r="O34"/>
  <c r="K72" i="6"/>
  <c r="K73"/>
  <c r="K77" i="5"/>
  <c r="K78"/>
  <c r="CP40" i="1"/>
  <c r="O40"/>
  <c r="K75" i="6"/>
  <c r="K76"/>
  <c r="K80" i="5"/>
  <c r="K81"/>
  <c r="CP41" i="1"/>
  <c r="O41"/>
  <c r="K93" i="6"/>
  <c r="K96" i="5"/>
  <c r="AL76" i="1"/>
  <c r="J201" i="5"/>
  <c r="J198" i="6"/>
  <c r="F108" i="1"/>
  <c r="B108" s="1"/>
  <c r="S95"/>
  <c r="T160" i="6"/>
  <c r="T163" i="5"/>
  <c r="T125" i="6"/>
  <c r="T128" i="5"/>
  <c r="F82" i="1"/>
  <c r="B82"/>
  <c r="Q62"/>
  <c r="AF26"/>
  <c r="S43"/>
  <c r="F113"/>
  <c r="B113" s="1"/>
  <c r="X95"/>
  <c r="W117"/>
  <c r="F55"/>
  <c r="B55" s="1"/>
  <c r="W26"/>
  <c r="F54"/>
  <c r="B54"/>
  <c r="V117"/>
  <c r="V26"/>
  <c r="T169" i="6"/>
  <c r="T172" i="5"/>
  <c r="T133" i="6"/>
  <c r="T136" i="5"/>
  <c r="F52" i="1"/>
  <c r="B52"/>
  <c r="T117"/>
  <c r="T26"/>
  <c r="K39" i="6"/>
  <c r="K40"/>
  <c r="K44" i="5"/>
  <c r="K45"/>
  <c r="CP29" i="1"/>
  <c r="O29"/>
  <c r="FR29"/>
  <c r="K51" i="6"/>
  <c r="K52" s="1"/>
  <c r="K56" i="5"/>
  <c r="K57" s="1"/>
  <c r="CP33" i="1"/>
  <c r="O33"/>
  <c r="FR33"/>
  <c r="K66" i="6"/>
  <c r="K67"/>
  <c r="K71" i="5"/>
  <c r="K72"/>
  <c r="CP38" i="1"/>
  <c r="O38"/>
  <c r="L198" i="6"/>
  <c r="L201" i="5"/>
  <c r="K109" i="6"/>
  <c r="AK43" i="1"/>
  <c r="K179" i="5"/>
  <c r="K145"/>
  <c r="K133" i="6"/>
  <c r="K157"/>
  <c r="K160" s="1"/>
  <c r="K160" i="5"/>
  <c r="K163" s="1"/>
  <c r="K148" i="6"/>
  <c r="K151" s="1"/>
  <c r="K151" i="5"/>
  <c r="K154" s="1"/>
  <c r="L78" i="6"/>
  <c r="L83" i="5"/>
  <c r="F114" i="1"/>
  <c r="B114" s="1"/>
  <c r="Y95"/>
  <c r="K166" i="6"/>
  <c r="K169"/>
  <c r="K169" i="5"/>
  <c r="K172"/>
  <c r="T102" i="6"/>
  <c r="T105" i="5"/>
  <c r="T95" i="6"/>
  <c r="T98" i="5"/>
  <c r="T181" s="1"/>
  <c r="AB76" i="1"/>
  <c r="F86"/>
  <c r="B86" s="1"/>
  <c r="U62"/>
  <c r="K36" i="6"/>
  <c r="K37"/>
  <c r="K41" i="5"/>
  <c r="K42"/>
  <c r="FR28" i="1"/>
  <c r="CP28"/>
  <c r="O28"/>
  <c r="AC43"/>
  <c r="K48" i="6"/>
  <c r="K49"/>
  <c r="K53" i="5"/>
  <c r="K54"/>
  <c r="CP32" i="1"/>
  <c r="O32"/>
  <c r="FR32"/>
  <c r="K60" i="6"/>
  <c r="K61" s="1"/>
  <c r="K65" i="5"/>
  <c r="K66" s="1"/>
  <c r="CP36" i="1"/>
  <c r="O36"/>
  <c r="K63" i="6"/>
  <c r="K64" s="1"/>
  <c r="K68" i="5"/>
  <c r="K69" s="1"/>
  <c r="CP37" i="1"/>
  <c r="O37"/>
  <c r="K69" i="6"/>
  <c r="K70" s="1"/>
  <c r="K74" i="5"/>
  <c r="K75" s="1"/>
  <c r="CP39" i="1"/>
  <c r="O39"/>
  <c r="K123" i="6"/>
  <c r="K125" s="1"/>
  <c r="K126" i="5"/>
  <c r="R43" i="1"/>
  <c r="AE26"/>
  <c r="O95"/>
  <c r="F102"/>
  <c r="B102" s="1"/>
  <c r="T151" i="6"/>
  <c r="T154" i="5"/>
  <c r="T118" i="6"/>
  <c r="T121" i="5"/>
  <c r="AL26" i="1"/>
  <c r="Y43"/>
  <c r="Q95"/>
  <c r="F106"/>
  <c r="B106" s="1"/>
  <c r="T179" i="5"/>
  <c r="T176" i="6"/>
  <c r="T142"/>
  <c r="T178" s="1"/>
  <c r="T145" i="5"/>
  <c r="R76" i="1"/>
  <c r="AE62"/>
  <c r="W62"/>
  <c r="F88"/>
  <c r="B88"/>
  <c r="F85"/>
  <c r="B85"/>
  <c r="T62"/>
  <c r="K45" i="6"/>
  <c r="K46" s="1"/>
  <c r="K50" i="5"/>
  <c r="K51" s="1"/>
  <c r="CP31" i="1"/>
  <c r="O31"/>
  <c r="FR31"/>
  <c r="K57" i="6"/>
  <c r="K58"/>
  <c r="K62" i="5"/>
  <c r="K63"/>
  <c r="CP35" i="1"/>
  <c r="O35"/>
  <c r="FR35"/>
  <c r="U95"/>
  <c r="F110"/>
  <c r="B110"/>
  <c r="K112" i="5"/>
  <c r="K128"/>
  <c r="K118" i="6"/>
  <c r="K176"/>
  <c r="K136" i="5"/>
  <c r="Y26" i="1"/>
  <c r="F57"/>
  <c r="B57"/>
  <c r="V70" i="6"/>
  <c r="V75" i="5"/>
  <c r="V61" i="6"/>
  <c r="V78" s="1"/>
  <c r="V66" i="5"/>
  <c r="U49" i="6"/>
  <c r="U54" i="5"/>
  <c r="U37" i="6"/>
  <c r="U42" i="5"/>
  <c r="AB43" i="1"/>
  <c r="O76"/>
  <c r="AB62"/>
  <c r="V22"/>
  <c r="F128"/>
  <c r="B128" s="1"/>
  <c r="V140"/>
  <c r="F129"/>
  <c r="B129"/>
  <c r="W140"/>
  <c r="W22"/>
  <c r="V76" i="6"/>
  <c r="V81" i="5"/>
  <c r="U55" i="6"/>
  <c r="U60" i="5"/>
  <c r="U43" i="6"/>
  <c r="U48" i="5"/>
  <c r="Q22" i="1"/>
  <c r="F123"/>
  <c r="B123" s="1"/>
  <c r="Q140"/>
  <c r="X76"/>
  <c r="AK62"/>
  <c r="U58" i="6"/>
  <c r="U63" i="5"/>
  <c r="U46" i="6"/>
  <c r="U78" s="1"/>
  <c r="U51" i="5"/>
  <c r="R62" i="1"/>
  <c r="F83"/>
  <c r="B83"/>
  <c r="R117"/>
  <c r="F50"/>
  <c r="B50" s="1"/>
  <c r="R26"/>
  <c r="V64" i="6"/>
  <c r="V69" i="5"/>
  <c r="AC26" i="1"/>
  <c r="P43"/>
  <c r="AK26"/>
  <c r="X43"/>
  <c r="V67" i="6"/>
  <c r="V72" i="5"/>
  <c r="U52" i="6"/>
  <c r="U57" i="5"/>
  <c r="U40" i="6"/>
  <c r="U45" i="5"/>
  <c r="U83" s="1"/>
  <c r="U207" s="1"/>
  <c r="F126" i="1"/>
  <c r="B126"/>
  <c r="T140"/>
  <c r="T22"/>
  <c r="S117"/>
  <c r="F51"/>
  <c r="B51" s="1"/>
  <c r="S26"/>
  <c r="AL62"/>
  <c r="Y76"/>
  <c r="V73" i="6"/>
  <c r="V78" i="5"/>
  <c r="F79" i="1"/>
  <c r="B79"/>
  <c r="P62"/>
  <c r="L204" i="6"/>
  <c r="L207" i="5"/>
  <c r="U22" i="1"/>
  <c r="F127"/>
  <c r="B127"/>
  <c r="U140"/>
  <c r="AQ43"/>
  <c r="U18"/>
  <c r="F150"/>
  <c r="J213" i="5"/>
  <c r="AP43" i="1"/>
  <c r="AQ26"/>
  <c r="Y62"/>
  <c r="F90"/>
  <c r="B90" s="1"/>
  <c r="F125"/>
  <c r="B125" s="1"/>
  <c r="S140"/>
  <c r="S22"/>
  <c r="F149"/>
  <c r="B149" s="1"/>
  <c r="T18"/>
  <c r="X26"/>
  <c r="F56"/>
  <c r="B56" s="1"/>
  <c r="X117"/>
  <c r="F46"/>
  <c r="B46"/>
  <c r="P26"/>
  <c r="P117"/>
  <c r="F124"/>
  <c r="B124"/>
  <c r="R140"/>
  <c r="R22"/>
  <c r="F146"/>
  <c r="J207" i="6"/>
  <c r="Q18" i="1"/>
  <c r="F152"/>
  <c r="B152" s="1"/>
  <c r="W18"/>
  <c r="F151"/>
  <c r="V18"/>
  <c r="O62"/>
  <c r="F78"/>
  <c r="F91" s="1"/>
  <c r="V83" i="5"/>
  <c r="V207" s="1"/>
  <c r="Y117" i="1"/>
  <c r="F89"/>
  <c r="B89"/>
  <c r="X62"/>
  <c r="F134"/>
  <c r="J178" i="6"/>
  <c r="J181" i="5"/>
  <c r="O43" i="1"/>
  <c r="AB26"/>
  <c r="J78" i="6"/>
  <c r="J83" i="5"/>
  <c r="Y22" i="1"/>
  <c r="F131"/>
  <c r="B131" s="1"/>
  <c r="Y140"/>
  <c r="B151"/>
  <c r="J211" i="6"/>
  <c r="J214" i="5"/>
  <c r="B146" i="1"/>
  <c r="R18"/>
  <c r="F147"/>
  <c r="J208" i="6" s="1"/>
  <c r="P140" i="1"/>
  <c r="P22"/>
  <c r="F120"/>
  <c r="F133"/>
  <c r="J83" i="6"/>
  <c r="AP26" i="1"/>
  <c r="F48"/>
  <c r="AP117"/>
  <c r="O26"/>
  <c r="F45"/>
  <c r="O117"/>
  <c r="X22"/>
  <c r="F130"/>
  <c r="B130" s="1"/>
  <c r="X140"/>
  <c r="S18"/>
  <c r="F148"/>
  <c r="B148" s="1"/>
  <c r="J210" i="6"/>
  <c r="I26" i="5"/>
  <c r="J207"/>
  <c r="J204" i="6"/>
  <c r="F119" i="1"/>
  <c r="F132" s="1"/>
  <c r="O22"/>
  <c r="O140"/>
  <c r="P18"/>
  <c r="F143"/>
  <c r="J206" i="6" s="1"/>
  <c r="F154" i="1"/>
  <c r="J213" i="6"/>
  <c r="Y18" i="1"/>
  <c r="J209" i="6"/>
  <c r="I27" i="5"/>
  <c r="F153" i="1"/>
  <c r="F159" s="1"/>
  <c r="X18"/>
  <c r="J82" i="6"/>
  <c r="B45" i="1"/>
  <c r="F58"/>
  <c r="J84" i="6" s="1"/>
  <c r="AP140" i="1"/>
  <c r="AP22"/>
  <c r="F122"/>
  <c r="J211" i="5"/>
  <c r="F136" i="1"/>
  <c r="F145"/>
  <c r="AP18"/>
  <c r="F157"/>
  <c r="J220" i="5" s="1"/>
  <c r="J209"/>
  <c r="I25"/>
  <c r="F142" i="1"/>
  <c r="B142"/>
  <c r="O18"/>
  <c r="B119"/>
  <c r="B153"/>
  <c r="F155"/>
  <c r="J217" i="5" s="1"/>
  <c r="J205" i="6"/>
  <c r="B154" i="1"/>
  <c r="J215" i="5"/>
  <c r="J210"/>
  <c r="K105"/>
  <c r="K98"/>
  <c r="G26"/>
  <c r="F156" i="1"/>
  <c r="J218" i="5" s="1"/>
  <c r="J208"/>
  <c r="J214" i="6"/>
  <c r="J216" i="5"/>
  <c r="F160" i="1"/>
  <c r="J219" i="6" s="1"/>
  <c r="B120" i="1"/>
  <c r="B150"/>
  <c r="J223" i="5"/>
  <c r="J215" i="6"/>
  <c r="J218" l="1"/>
  <c r="J222" i="5"/>
  <c r="J185"/>
  <c r="J182" i="6"/>
  <c r="G78"/>
  <c r="H98" i="5"/>
  <c r="M98" s="1"/>
  <c r="G181" s="1"/>
  <c r="G207" s="1"/>
  <c r="G201"/>
  <c r="T207"/>
  <c r="G198" i="6"/>
  <c r="B78" i="1"/>
  <c r="F115"/>
  <c r="F158"/>
  <c r="J216" i="6"/>
  <c r="J212"/>
  <c r="J87" i="5"/>
  <c r="B143" i="1"/>
  <c r="B147"/>
  <c r="J212" i="5"/>
  <c r="F135" i="1"/>
  <c r="F137" s="1"/>
  <c r="F138" s="1"/>
  <c r="J205" i="5" l="1"/>
  <c r="J202" i="6"/>
  <c r="G204"/>
  <c r="F161" i="1"/>
  <c r="J217" i="6"/>
  <c r="J221" i="5"/>
  <c r="J224" l="1"/>
  <c r="J220" i="6"/>
  <c r="F162" i="1"/>
  <c r="J225" i="5" l="1"/>
  <c r="J221" i="6"/>
</calcChain>
</file>

<file path=xl/sharedStrings.xml><?xml version="1.0" encoding="utf-8"?>
<sst xmlns="http://schemas.openxmlformats.org/spreadsheetml/2006/main" count="3077" uniqueCount="581">
  <si>
    <t>Smeta.ru  (495) 974-1589</t>
  </si>
  <si>
    <t>_PS_</t>
  </si>
  <si>
    <t>Smeta.ru</t>
  </si>
  <si>
    <t/>
  </si>
  <si>
    <t>Новый объект</t>
  </si>
  <si>
    <t>ТСНБ-2001 Московская область</t>
  </si>
  <si>
    <t>Сметные нормы списания</t>
  </si>
  <si>
    <t>Коды ценников</t>
  </si>
  <si>
    <t>ТСНБ МО-2009</t>
  </si>
  <si>
    <t>Версия 7.0.0.7 от 28.10.2011: для ФЕР, с п.3757-КК/08, п.6056-ИП/08,п.10753-ВТ/08 и п.15127-ИП/08 (Стр-во и рек-ия жилых / общ. зд.): Центральные регионы: Текущие цены</t>
  </si>
  <si>
    <t>ТСНБ-2001 Московской области</t>
  </si>
  <si>
    <t>Поправки  для НБ 2001 года  в ред. 2009 года от 29.03.2011</t>
  </si>
  <si>
    <t>Новая локальная смета</t>
  </si>
  <si>
    <t>{0F904E8E-B348-4E9D-92EE-99E4E34FE28F}</t>
  </si>
  <si>
    <t>Новый раздел</t>
  </si>
  <si>
    <t>1. Оборудование и материалы неучтённые ценниками</t>
  </si>
  <si>
    <t>{E28EDACB-8495-4D70-8CD8-5BF267A9936E}</t>
  </si>
  <si>
    <t>1</t>
  </si>
  <si>
    <t>цена поставщика</t>
  </si>
  <si>
    <t>AI-D283   Видеорегистратор 8-и канальный цифровой Acumen цена 12 486,40/1,18/2,45</t>
  </si>
  <si>
    <t>шт.</t>
  </si>
  <si>
    <t>=12486,4/1,18/2,45</t>
  </si>
  <si>
    <t>оборудование</t>
  </si>
  <si>
    <t>Оборудование</t>
  </si>
  <si>
    <t>ОБОРУД.</t>
  </si>
  <si>
    <t>2</t>
  </si>
  <si>
    <t>MBK-8152цДВ  Уличная цветная видеокамера МВК с вариофокальным АРД-объективом, День/Ночь 550тел.,2,8-11мм  цена7624,8/1,18/2,45</t>
  </si>
  <si>
    <t>=7624,8/1,18/2,45</t>
  </si>
  <si>
    <t>3</t>
  </si>
  <si>
    <t>AI-DC55  Камера купольная Acumen квариофокальная цветная 480твл, 0,15Люкс 13,8мм-9,5мм цена 4892,4/1,18/2,45</t>
  </si>
  <si>
    <t>=4892,4/1,18/2,45</t>
  </si>
  <si>
    <t>4</t>
  </si>
  <si>
    <t>=4418,4/1,18/2,45</t>
  </si>
  <si>
    <t>5</t>
  </si>
  <si>
    <t>ST2000DM001   Жёсткий диск 2Tb Seagate SATA-III  Barracuda 7200rpm, 64Mb  цена 4681,2/1,18/2,45</t>
  </si>
  <si>
    <t>=4681,2/1,18/2,45</t>
  </si>
  <si>
    <t>6</t>
  </si>
  <si>
    <t>СКАТ Источник бесперебойного питания СКАТ-1200И7 (ГОСТ Р53325-2009) 12В,4А  цена 3735,36/1,18/2,78</t>
  </si>
  <si>
    <t>=3735,36/1,18/2,78</t>
  </si>
  <si>
    <t>7</t>
  </si>
  <si>
    <t>АКБ-12   Аккумулятор 12А/ч  цена 1032,00/1,18/2,78</t>
  </si>
  <si>
    <t>=1032/1,18/2,78</t>
  </si>
  <si>
    <t>8</t>
  </si>
  <si>
    <t>910-001246   Мышь Logitech Optical B 110 USB OEM цена 199,2/1,18/2,45</t>
  </si>
  <si>
    <t>=199,2/1,18/2,45</t>
  </si>
  <si>
    <t>9</t>
  </si>
  <si>
    <t>Кабель КВК 2П 2*0,75 (белый) высокочастотный комбинированный для систем видеонаблюдения  цена 30,24/1,18/3,53</t>
  </si>
  <si>
    <t>м</t>
  </si>
  <si>
    <t>=30,24/1,18</t>
  </si>
  <si>
    <t>Прочие работы</t>
  </si>
  <si>
    <t>прочие</t>
  </si>
  <si>
    <t>((*0.85))</t>
  </si>
  <si>
    <t>((*0.8))</t>
  </si>
  <si>
    <t>10</t>
  </si>
  <si>
    <t>Кабель-канал 40*16 DeGross в полит.упак.короб цена 26,53/1,18/2,63</t>
  </si>
  <si>
    <t>=26,53/1,18/2,63</t>
  </si>
  <si>
    <t>11</t>
  </si>
  <si>
    <t>Гофра 16мм лёгкого типа ПВХ с протяжкой, серый цена 6,0/1,18/2,51</t>
  </si>
  <si>
    <t>=6/1,18</t>
  </si>
  <si>
    <t>12</t>
  </si>
  <si>
    <t>049-012 Разъём питания для камер цена 24/1,18/5,52</t>
  </si>
  <si>
    <t>=24/1,18/5,52</t>
  </si>
  <si>
    <t>13</t>
  </si>
  <si>
    <t>049-003  BNC разъём для RG-58(RG-59) под пайку цена 40,32/1,18/5,52</t>
  </si>
  <si>
    <t>=40,32/1,18/5,52</t>
  </si>
  <si>
    <t>14</t>
  </si>
  <si>
    <t>Коробка распаячная TYCO 100*100  цена 96,0/1,18/2,51</t>
  </si>
  <si>
    <t>=96/1,18/2,51</t>
  </si>
  <si>
    <t>ПЗ</t>
  </si>
  <si>
    <t>Прямые затраты</t>
  </si>
  <si>
    <t>СтМат</t>
  </si>
  <si>
    <t>Стоимость материальных ресурсов</t>
  </si>
  <si>
    <t>СтМатЗак</t>
  </si>
  <si>
    <t>Стоимость материалов заказчика</t>
  </si>
  <si>
    <t>Оборуд</t>
  </si>
  <si>
    <t>Стоимость оборудования</t>
  </si>
  <si>
    <t>ЭММ</t>
  </si>
  <si>
    <t>Эксплуатация машин</t>
  </si>
  <si>
    <t>ЗПМ</t>
  </si>
  <si>
    <t>ЗП машинистов</t>
  </si>
  <si>
    <t>ОЗП</t>
  </si>
  <si>
    <t>Основная ЗП рабочих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</si>
  <si>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</si>
  <si>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</si>
  <si>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</si>
  <si>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</si>
  <si>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</si>
  <si>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</si>
  <si>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</si>
  <si>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</si>
  <si>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</si>
  <si>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</si>
  <si>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</si>
  <si>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</si>
  <si>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Итого</t>
  </si>
  <si>
    <t>2. Монтажные работы</t>
  </si>
  <si>
    <t>{E21E89C9-BD30-4C66-9FE9-8B556F4295B9}</t>
  </si>
  <si>
    <t>15</t>
  </si>
  <si>
    <t>м10-04-067-22</t>
  </si>
  <si>
    <t>Аппаратура цветного телевидения. Камера телевизионная передающая</t>
  </si>
  <si>
    <t>1шт.</t>
  </si>
  <si>
    <t>ФЕРм,сб.10,гл.04,табл.067,поз.22</t>
  </si>
  <si>
    <t>Монтажные работы</t>
  </si>
  <si>
    <t>Сооружения связи, радиовещания и телевидения монтаж радиотелевизионного и электронного оборудования</t>
  </si>
  <si>
    <t>ФЕРм-10</t>
  </si>
  <si>
    <t>16</t>
  </si>
  <si>
    <t>м10-09-001-2</t>
  </si>
  <si>
    <t>Аппаратура телевизионная с 1 малогабаритной беструбочной камерой</t>
  </si>
  <si>
    <t>1КОМПЛ.</t>
  </si>
  <si>
    <t>ФЕРм,сб.10,гл.09,табл.001,поз.2</t>
  </si>
  <si>
    <t>Монтаж оборудования</t>
  </si>
  <si>
    <t>ФЕРм</t>
  </si>
  <si>
    <t>17</t>
  </si>
  <si>
    <t>м10-04-087-14</t>
  </si>
  <si>
    <t>Устройство цифровой регистрации</t>
  </si>
  <si>
    <t>устройство</t>
  </si>
  <si>
    <t>ФЕРм10-04-087-14 пр.№321 от 4 августа 2009 г</t>
  </si>
  <si>
    <t>Связь:  монтаж теле- радио оборудования ( отдел 4 и 5 )  - (при устройстве средств посадки самолетов : НР=95%, СП=55% - {АВИА}=1)</t>
  </si>
  <si>
    <t>18</t>
  </si>
  <si>
    <t>м10-04-067-23</t>
  </si>
  <si>
    <t>Устройство видеоконтрольное</t>
  </si>
  <si>
    <t>ФЕРм10-04-067-23 пр.№321 от 4 августа 2009 г</t>
  </si>
  <si>
    <t>19</t>
  </si>
  <si>
    <t>м11-04-026-1 применительно</t>
  </si>
  <si>
    <t>Разъемы штепсельные с разделкой и включением кабеля</t>
  </si>
  <si>
    <t>ФЕРм11-04-026-1 пр.№321 от 4 августа 2009 г</t>
  </si>
  <si>
    <t>м11-04-026-1</t>
  </si>
  <si>
    <t>Автоматика : устройство микропроцессороной техники -  (при устройстве средств посадки самолетов  ( отдел 04): НР=95%, СП=55% - {АВИА}=1)</t>
  </si>
  <si>
    <t>ФЕРм-11</t>
  </si>
  <si>
    <t>20</t>
  </si>
  <si>
    <t>м10-08-003-3</t>
  </si>
  <si>
    <t>Блок питания и контроля</t>
  </si>
  <si>
    <t>ФЕРм10-08-003-3 пр.№321 от 4 августа 2009 г</t>
  </si>
  <si>
    <t>Связь: пажарно-охранная сигнализация и пром. телевиз. установки  ( отделы 8 и 9 ) (при устройстве средств посадки самолетов : НР=95%, СП=55% - {АВИА}=1)</t>
  </si>
  <si>
    <t>21</t>
  </si>
  <si>
    <t>м08-02-390-1</t>
  </si>
  <si>
    <t>Короба пластмассовые шириной до 40 мм</t>
  </si>
  <si>
    <t>100 м</t>
  </si>
  <si>
    <t>ФЕРм08-02-390-1 пр.№747 от 21 декабря 2010 г</t>
  </si>
  <si>
    <t>Электромонтажные работы: ( на АЭС  НР = 110% ) - (работы по упр. авиа.- движением:  СП=55% (  {АВИА}=1; обычные работы : СП=65 - {AВИА}=0), при работе на АЭС СП= 68% )</t>
  </si>
  <si>
    <t>ФЕРм-08</t>
  </si>
  <si>
    <t>22</t>
  </si>
  <si>
    <t>м08-02-409-1</t>
  </si>
  <si>
    <t>Труба винипластовая по установленным конструкциям, по стенам и колоннам с креплением скобами, диаметр до 25 мм</t>
  </si>
  <si>
    <t>ФЕРм08-02-409-1 пр.№747 от 21 декабря 2010 г</t>
  </si>
  <si>
    <t>23</t>
  </si>
  <si>
    <t>м08-02-422-1</t>
  </si>
  <si>
    <t>Затягивание провода в проложенные трубы.Провод один сечением до 2х2,5 мм2</t>
  </si>
  <si>
    <t>ФЕРм08-02-422-1 пр.№747 от 21 декабря 2010 г</t>
  </si>
  <si>
    <t>100 м одного провода</t>
  </si>
  <si>
    <t>24</t>
  </si>
  <si>
    <t>м10-02-040-2 применительно</t>
  </si>
  <si>
    <t>Жёсткий диск (Устройство автоматического ввода программ)</t>
  </si>
  <si>
    <t>ФЕРм10-02-040-2 пр.№321 от 4 августа 2009 г</t>
  </si>
  <si>
    <t>м10-02-040-2</t>
  </si>
  <si>
    <t>Связь:  городская, местная, междугородняя проводная телефонная связь ( отделы 1, 2, 3 ) - ( при уст-ве средств посадки самолетов:  {AВИА}=1 - НР=95%, СП=55% )</t>
  </si>
  <si>
    <t>25</t>
  </si>
  <si>
    <t>м08-01-121-6</t>
  </si>
  <si>
    <t>Аккумулятор кислотный стационарный, тип АКБ</t>
  </si>
  <si>
    <t>ФЕРм08-01-121-6 пр.№321 от 4 августа 2009 г</t>
  </si>
  <si>
    <t>3. Пусконаладочные работы</t>
  </si>
  <si>
    <t>{981448EB-AD41-4A5E-A00A-7398FEF2F397}</t>
  </si>
  <si>
    <t>26</t>
  </si>
  <si>
    <t>п01-10-001-1</t>
  </si>
  <si>
    <t>Сбор и реализация сигналов информации устройств защиты, автоматики электрических и технологических режимов</t>
  </si>
  <si>
    <t>сигнал</t>
  </si>
  <si>
    <t>ФЕРп01-10-001-1 пр.№321 от 4 августа 2009 г</t>
  </si>
  <si>
    <t>)*0,8</t>
  </si>
  <si>
    <t>Пусконаладочные работы</t>
  </si>
  <si>
    <t>Пусконаладочные работы : все сборники</t>
  </si>
  <si>
    <t>ФЕРп</t>
  </si>
  <si>
    <t>Поправка: Сб.№пнр 5, п.1.5.3.2</t>
  </si>
  <si>
    <t>27</t>
  </si>
  <si>
    <t>п01-10-002-1</t>
  </si>
  <si>
    <t>Схема образования участка сигнализации (центральной, технологической, местной, аварийной, предупредительной и др.)</t>
  </si>
  <si>
    <t>участок</t>
  </si>
  <si>
    <t>ФЕРп01-10-002-1 пр.№321 от 4 августа 2009 г</t>
  </si>
  <si>
    <t>в соответствии с письмом № НЗ-6292/10 от 6.10.2003</t>
  </si>
  <si>
    <t>НДС 18% на ЭММ без ЗП машинистов (в соответствии с письмом № НЗ-6292/10 от 6.10.2003)</t>
  </si>
  <si>
    <t>НДС 18% из Накладных расходов (в соответствии с письмом № НЗ-6292/10 от 6.10.2003)</t>
  </si>
  <si>
    <t>НДС 18% из Сметной прибыли (в соответствии с письмом № НЗ-6292/10 от 6.10.2003)</t>
  </si>
  <si>
    <t>Итого НДС 18%</t>
  </si>
  <si>
    <t>Всего с НДС 18%</t>
  </si>
  <si>
    <t>Итого с К сниж.0,695</t>
  </si>
  <si>
    <t>_МДСрем_НР</t>
  </si>
  <si>
    <t>Коэфф. 0,90    к НР при ремонте жилых и общ. зд.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</si>
  <si>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</si>
  <si>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_МДСрем_СП</t>
  </si>
  <si>
    <t>Коэфф. 0,85    к СП при ремонте зданий и сооруженй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</si>
  <si>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</si>
  <si>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_ТЕК</t>
  </si>
  <si>
    <t>{вкл] - Расчет в тек. уровне цен ( индексация  построчно), {выкл} - расчет в базсном уроване цен ( или индексация по итогу сметы)</t>
  </si>
  <si>
    <t>(_ТЕК)      {Вкл.}    - При расчете в текущем (прогнозном) уровне цен , построчная индексация расенок по статьям затрат  {Выкл}   - При расчете в базисном ( 1/01/2000г.) уровне цен, индексация по итогам сметы/объекта</t>
  </si>
  <si>
    <t>_ТЕК_НР</t>
  </si>
  <si>
    <t>Коэфф. 0,85    к НР для текущего уровня цен с 01.01.2011 при  обычной системе налогообложения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</si>
  <si>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</si>
  <si>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_ТЕК_СП</t>
  </si>
  <si>
    <t>Коэфф. 0,80    к СП для текущего уровня цен с 01.01.2011 при  обычной системе налогообложения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</si>
  <si>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</si>
  <si>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ОКРтек_НР_СП</t>
  </si>
  <si>
    <t>(Вкл) - Итоговые нормы НР и СП округляются до целых, (Выкл) - до 2-х знаков после запятой</t>
  </si>
  <si>
    <t>{ОКРтек_НР_СП} -  (вкл)     -    нормы НР и СП округляются до целых                        ( выкл.) -   нормы НР и СП округляютя до двух знаковов после запятой</t>
  </si>
  <si>
    <t>СЛЖ</t>
  </si>
  <si>
    <t>Коэфф. 1.2 к НР  при работах на сложных объектах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</si>
  <si>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</si>
  <si>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УПР</t>
  </si>
  <si>
    <t>Упрощенное налогообложение Коэф. = 0,9 к СП ( коэф. = 0,7 к НР при упрощенной системе налогооблажения отменен с 1.01.2011 )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</si>
  <si>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</si>
  <si>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УПРтек_НР</t>
  </si>
  <si>
    <t>Упрощенное налогобложение:  Коэфф. 0,94  к НР для текущего уровня цен с 01.01.2011 при  упрощенной системе налогообложения</t>
  </si>
  <si>
    <t>Для норм НР с 1.01.2011 года при упрощенном налогообложении: если {УПР} - вкл.  · {УПРтек_НР} = 0.94  -  При упрощенном налогообложении в текущем уровне цен   ·</t>
  </si>
  <si>
    <t>ХОЗ</t>
  </si>
  <si>
    <t>Коэфф. 0,6 к НР при хозяйственном способе работ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</si>
  <si>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</si>
  <si>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мАВИА</t>
  </si>
  <si>
    <t>При работах по диспечеризации управления движением авиа/траспортом ( монтаж оборудования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</si>
  <si>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</si>
  <si>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мАЭС</t>
  </si>
  <si>
    <t>При работах на АЭС ( монтаж оборудования )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</si>
  <si>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</si>
  <si>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1-5.0</t>
  </si>
  <si>
    <t>Затраты труда рабочих, разряд работ 5</t>
  </si>
  <si>
    <t>чел.-ч</t>
  </si>
  <si>
    <t>Затраты труда машинистов</t>
  </si>
  <si>
    <t>чел.час</t>
  </si>
  <si>
    <t>030101</t>
  </si>
  <si>
    <t>ЦЭМ  сб.03,поз.0101</t>
  </si>
  <si>
    <t>Автопогрузчики 5 т</t>
  </si>
  <si>
    <t>маш.ч</t>
  </si>
  <si>
    <t>МАШ.Ч</t>
  </si>
  <si>
    <t>101-0490</t>
  </si>
  <si>
    <t>ФССЦ, сб.101,поз.0490</t>
  </si>
  <si>
    <t>Лаки бакелитовые ЛБС-1, ЛБС-2</t>
  </si>
  <si>
    <t>т</t>
  </si>
  <si>
    <t>101-0801</t>
  </si>
  <si>
    <t>ФССЦ, сб.101,поз.0801</t>
  </si>
  <si>
    <t>Проволока медная круглая электротехническая ММ (мягкая) диаметром 1.0-3.0 мм и выше</t>
  </si>
  <si>
    <t>101-1959</t>
  </si>
  <si>
    <t>ФССЦ, сб.101,поз.1959</t>
  </si>
  <si>
    <t>Краски водоэмульсионные ВЭАК-1180</t>
  </si>
  <si>
    <t>101-2073</t>
  </si>
  <si>
    <t>ФССЦ, сб.101,поз.2073</t>
  </si>
  <si>
    <t>Hитки суровые</t>
  </si>
  <si>
    <t>кг</t>
  </si>
  <si>
    <t>113-0367</t>
  </si>
  <si>
    <t>ФССЦ, сб.113,поз.0367</t>
  </si>
  <si>
    <t>Лента полиэтиленовая с липким споем, марка А</t>
  </si>
  <si>
    <t>500-9062-30</t>
  </si>
  <si>
    <t>ФССЦ, сб.500,поз.9062-30</t>
  </si>
  <si>
    <t>Наконечники кабельные П2.5-4Д-МУ3</t>
  </si>
  <si>
    <t>500-9264-4</t>
  </si>
  <si>
    <t>ФССЦ, сб.500,поз.9264-4</t>
  </si>
  <si>
    <t>Трубка полихлорвиниловая ПХВ-305 диаметром 6-10 мм</t>
  </si>
  <si>
    <t>507-0173</t>
  </si>
  <si>
    <t>ФССЦ, сб.507,поз.0173</t>
  </si>
  <si>
    <t>Провода неизолированные медные гибкие для электрических установок и антенн марки МГ, сечением 4 мм2</t>
  </si>
  <si>
    <t>522-0075</t>
  </si>
  <si>
    <t>ФССЦ, сб.522,поз.0075</t>
  </si>
  <si>
    <t>Припои оловянно-свинцовые бессурьмянистые марки ПОС61</t>
  </si>
  <si>
    <t>550-0122</t>
  </si>
  <si>
    <t>ФССЦ, сб.550,поз.0122</t>
  </si>
  <si>
    <t>Флюс ФКДТ</t>
  </si>
  <si>
    <t>1-4.5</t>
  </si>
  <si>
    <t>Затраты труда рабочих, разряд работ 4.5</t>
  </si>
  <si>
    <t>101-1963</t>
  </si>
  <si>
    <t>ФССЦ, сб.101,поз.1963</t>
  </si>
  <si>
    <t>Канифоль сосновая</t>
  </si>
  <si>
    <t>113-0379</t>
  </si>
  <si>
    <t>ФССЦ, сб.113,поз.0379</t>
  </si>
  <si>
    <t>Спирт этиловый ректификованный технический, сорт I</t>
  </si>
  <si>
    <t>411-0041</t>
  </si>
  <si>
    <t>ФССЦ, сб.411,поз.0041</t>
  </si>
  <si>
    <t>Электроэнергия</t>
  </si>
  <si>
    <t>КВТ-Ч</t>
  </si>
  <si>
    <t>522-0076</t>
  </si>
  <si>
    <t>ФССЦ, сб.522,поз.0076</t>
  </si>
  <si>
    <t>Припои оловянно-свинцовые бессурьмянистые марки ПОС40</t>
  </si>
  <si>
    <t>1-2035</t>
  </si>
  <si>
    <t>Рабочий монтажник среднего разряда 3,5</t>
  </si>
  <si>
    <t>ФССЦ (2010) ч.1, раздел01, поз.2073</t>
  </si>
  <si>
    <t>Нитки суровые</t>
  </si>
  <si>
    <t>111-0109</t>
  </si>
  <si>
    <t>ФССЦ (2010) ч.1, раздел11, поз.0109</t>
  </si>
  <si>
    <t>Бирки маркировочные пластмассовые</t>
  </si>
  <si>
    <t>100 шт.</t>
  </si>
  <si>
    <t>506-1362</t>
  </si>
  <si>
    <t>ФССЦ (2010) ч.5, раздел06, поз.1362</t>
  </si>
  <si>
    <t>Припои оловянно-свинцовые бессурьмянистые марки ПОС30</t>
  </si>
  <si>
    <t>509-0057</t>
  </si>
  <si>
    <t>ФССЦ (2010) ч.5, раздел09, поз.0057</t>
  </si>
  <si>
    <t>Наконечники кабельные П6-4Д-МУЗ</t>
  </si>
  <si>
    <t>1-2050</t>
  </si>
  <si>
    <t>Рабочий монтажник среднего разряда 5</t>
  </si>
  <si>
    <t>ФСЭМ (2009), сб.03,поз.0101</t>
  </si>
  <si>
    <t>маш.-ч</t>
  </si>
  <si>
    <t>1-2040</t>
  </si>
  <si>
    <t>Рабочий монтажник среднего разряда 4</t>
  </si>
  <si>
    <t>101-0849</t>
  </si>
  <si>
    <t>ФССЦ (2010) ч.1, раздел01, поз.0849</t>
  </si>
  <si>
    <t>Пластина резиновая рулонная вулканизированная</t>
  </si>
  <si>
    <t>101-1666</t>
  </si>
  <si>
    <t>ФССЦ (2010) ч.1, раздел01, поз.1666</t>
  </si>
  <si>
    <t>Лак НЦ-62</t>
  </si>
  <si>
    <t>101-1994</t>
  </si>
  <si>
    <t>ФССЦ (2010) ч.1, раздел01, поз.1994</t>
  </si>
  <si>
    <t>Краски маркировочные МКЭ-4</t>
  </si>
  <si>
    <t>101-2072</t>
  </si>
  <si>
    <t>ФССЦ (2010) ч.1, раздел01, поз.2072</t>
  </si>
  <si>
    <t>Нитки хлопчатобумажные швейные №00</t>
  </si>
  <si>
    <t>101-2570</t>
  </si>
  <si>
    <t>ФССЦ (2010) ч.1, раздел01, поз.2570</t>
  </si>
  <si>
    <t>101-2571</t>
  </si>
  <si>
    <t>ФССЦ (2010) ч.1, раздел01, поз.2571</t>
  </si>
  <si>
    <t>Флюс ФКСП</t>
  </si>
  <si>
    <t>506-0855</t>
  </si>
  <si>
    <t>ФССЦ (2010) ч.5, раздел06, поз.0855</t>
  </si>
  <si>
    <t>Проволока медная круглая электротехническая ММ (мягкая) диаметром 1,0-3,0 мм и выше</t>
  </si>
  <si>
    <t>506-1365</t>
  </si>
  <si>
    <t>ФССЦ (2010) ч.5, раздел06, поз.1365</t>
  </si>
  <si>
    <t>Припои оловянно-свинцовые малосурьмянистые марки ПОССу61-0,5</t>
  </si>
  <si>
    <t>507-0701</t>
  </si>
  <si>
    <t>ФССЦ (2010) ч.5, раздел07, поз.0701</t>
  </si>
  <si>
    <t>Трубка полихлорвиниловая</t>
  </si>
  <si>
    <t>509-0042</t>
  </si>
  <si>
    <t>ФССЦ (2010) ч.5, раздел09, поз.0042</t>
  </si>
  <si>
    <t>Наконечники кабельные медные соединительные</t>
  </si>
  <si>
    <t>1-2044</t>
  </si>
  <si>
    <t>Рабочий монтажник среднего разряда 4,4</t>
  </si>
  <si>
    <t>330206</t>
  </si>
  <si>
    <t>ФСЭМ (2009), сб.33,поз.0206</t>
  </si>
  <si>
    <t>Дрели электрические</t>
  </si>
  <si>
    <t>ФССЦ (2010) ч.1, раздел01, поз.1963</t>
  </si>
  <si>
    <t>101-2206</t>
  </si>
  <si>
    <t>ФССЦ (2010) ч.1, раздел01, поз.2206</t>
  </si>
  <si>
    <t>Дюбели пластмассовые с шурупами 12х70 мм</t>
  </si>
  <si>
    <t>10 шт.</t>
  </si>
  <si>
    <t>405-0219</t>
  </si>
  <si>
    <t>ФССЦ (2010) ч.4, раздел05, поз.0219</t>
  </si>
  <si>
    <t>Гипсовые вяжущие, марка Г3</t>
  </si>
  <si>
    <t>506-1361</t>
  </si>
  <si>
    <t>ФССЦ (2010) ч.5, раздел06, поз.1361</t>
  </si>
  <si>
    <t>1-1039</t>
  </si>
  <si>
    <t>Рабочий строитель среднего разряда 3,9</t>
  </si>
  <si>
    <t>030954</t>
  </si>
  <si>
    <t>ФСЭМ (2009), сб.03,поз.0954</t>
  </si>
  <si>
    <t>Подъемники грузоподъемностью до 500 кг одномачтовые, высота подъема 45 м</t>
  </si>
  <si>
    <t>134041</t>
  </si>
  <si>
    <t>ФСЭМ (2009), сб.13,поз.4041</t>
  </si>
  <si>
    <t>Шуруповерт</t>
  </si>
  <si>
    <t>331451</t>
  </si>
  <si>
    <t>ФСЭМ (2009), сб.33,поз.1451</t>
  </si>
  <si>
    <t>Перфораторы электрические</t>
  </si>
  <si>
    <t>101-1481</t>
  </si>
  <si>
    <t>ФССЦ (2010) ч.1, раздел01, поз.1481</t>
  </si>
  <si>
    <t>Шурупы с полукруглой головкой 4x40 мм</t>
  </si>
  <si>
    <t>101-2202</t>
  </si>
  <si>
    <t>ФССЦ (2010) ч.1, раздел01, поз.2202</t>
  </si>
  <si>
    <t>Дюбели распорные полиэтиленовые 6х40 мм</t>
  </si>
  <si>
    <t>1-2038</t>
  </si>
  <si>
    <t>Рабочий монтажник среднего разряда 3,8</t>
  </si>
  <si>
    <t>021102</t>
  </si>
  <si>
    <t>ФСЭМ (2009), сб.02,поз.1102</t>
  </si>
  <si>
    <t>Краны на автомобильном ходу при работе на монтаже технологического оборудования 10 т</t>
  </si>
  <si>
    <t>040502</t>
  </si>
  <si>
    <t>ФСЭМ (2009), сб.04,поз.0502</t>
  </si>
  <si>
    <t>Установки для сварки ручной дуговой (постоянного тока)</t>
  </si>
  <si>
    <t>400002</t>
  </si>
  <si>
    <t>ФСЭМ (2009), сб.40,поз.0002</t>
  </si>
  <si>
    <t>Автомобили бортовые, грузоподъемность до 8 т</t>
  </si>
  <si>
    <t>101-0813</t>
  </si>
  <si>
    <t>ФССЦ (2010) ч.1, раздел01, поз.0813</t>
  </si>
  <si>
    <t>Проволока стальная низкоуглеродистая разного назначения оцинкованная диаметром 3,0 мм</t>
  </si>
  <si>
    <t>101-1699</t>
  </si>
  <si>
    <t>ФССЦ (2010) ч.1, раздел01, поз.1699</t>
  </si>
  <si>
    <t>Патроны для пристрелки</t>
  </si>
  <si>
    <t>101-1924</t>
  </si>
  <si>
    <t>ФССЦ (2010) ч.1, раздел01, поз.1924</t>
  </si>
  <si>
    <t>Электроды диаметром 4 мм Э42А</t>
  </si>
  <si>
    <t>101-3911</t>
  </si>
  <si>
    <t>ФССЦ (2010) ч.1, раздел01, поз.3911</t>
  </si>
  <si>
    <t>Дюбели для пристрелки стальные</t>
  </si>
  <si>
    <t>113-8040</t>
  </si>
  <si>
    <t>ФССЦ (2010) ч.1, раздел13, поз.8040</t>
  </si>
  <si>
    <t>Клей БМК-5к</t>
  </si>
  <si>
    <t>301-0041</t>
  </si>
  <si>
    <t>ФССЦ (2010) ч.3, раздел01, поз.0041</t>
  </si>
  <si>
    <t>Патрубки</t>
  </si>
  <si>
    <t>509-0104</t>
  </si>
  <si>
    <t>ФССЦ (2010) ч.5, раздел09, поз.0104</t>
  </si>
  <si>
    <t>Скобы двухлапковые</t>
  </si>
  <si>
    <t>509-0783</t>
  </si>
  <si>
    <t>ФССЦ (2010) ч.5, раздел09, поз.0783</t>
  </si>
  <si>
    <t>Втулки изолирующие</t>
  </si>
  <si>
    <t>509-0809</t>
  </si>
  <si>
    <t>ФССЦ (2010) ч.5, раздел09, поз.0809</t>
  </si>
  <si>
    <t>Заглушки</t>
  </si>
  <si>
    <t>1-2042</t>
  </si>
  <si>
    <t>Рабочий монтажник среднего разряда 4,2</t>
  </si>
  <si>
    <t>101-1764</t>
  </si>
  <si>
    <t>ФССЦ (2010) ч.1, раздел01, поз.1764</t>
  </si>
  <si>
    <t>Тальк молотый, сорт I</t>
  </si>
  <si>
    <t>101-2143</t>
  </si>
  <si>
    <t>ФССЦ (2010) ч.1, раздел01, поз.2143</t>
  </si>
  <si>
    <t>Краска</t>
  </si>
  <si>
    <t>101-2493</t>
  </si>
  <si>
    <t>ФССЦ (2010) ч.1, раздел01, поз.2493</t>
  </si>
  <si>
    <t>Лента липкая изоляционная на поликасиновом компаунде марки ЛСЭПЛ, шириной 20-30 мм, толщиной от 0,14 до 0,19 мм</t>
  </si>
  <si>
    <t>111-0086</t>
  </si>
  <si>
    <t>ФССЦ (2010) ч.1, раздел11, поз.0086</t>
  </si>
  <si>
    <t>Бирки маркировочные</t>
  </si>
  <si>
    <t>509-0033</t>
  </si>
  <si>
    <t>ФССЦ (2010) ч.5, раздел09, поз.0033</t>
  </si>
  <si>
    <t>Сжимы ответвительные</t>
  </si>
  <si>
    <t>509-1652</t>
  </si>
  <si>
    <t>ФССЦ (2010) ч.5, раздел09, поз.1652</t>
  </si>
  <si>
    <t>Гильза кабельная медная ГМ 6</t>
  </si>
  <si>
    <t>101-3914</t>
  </si>
  <si>
    <t>ФССЦ (2010) ч.1, раздел01, поз.3914</t>
  </si>
  <si>
    <t>Дюбели распорные полипропиленовые</t>
  </si>
  <si>
    <t>999-9950</t>
  </si>
  <si>
    <t>ФССЦ (2010) ч.9, раздел99, поз.9950</t>
  </si>
  <si>
    <t>Масса оборудования</t>
  </si>
  <si>
    <t>1 т</t>
  </si>
  <si>
    <t>101-0625</t>
  </si>
  <si>
    <t>ФССЦ (2010) ч.1, раздел01, поз.0625</t>
  </si>
  <si>
    <t>Натр едкий (сода каустическая) технический, марки ТД</t>
  </si>
  <si>
    <t>101-2285</t>
  </si>
  <si>
    <t>ФССЦ (2010) ч.1, раздел01, поз.2285</t>
  </si>
  <si>
    <t>Кислота серная аккумуляторная, сорт высший</t>
  </si>
  <si>
    <t>411-0006</t>
  </si>
  <si>
    <t>ФССЦ (2010) ч.4, раздел11, поз.0006</t>
  </si>
  <si>
    <t>Вода дистиллированная</t>
  </si>
  <si>
    <t>506-1329</t>
  </si>
  <si>
    <t>ФССЦ (2010) ч.5, раздел06, поз.1329</t>
  </si>
  <si>
    <t>Алюминиевые сплавы литейные в чушках марки АК5М2</t>
  </si>
  <si>
    <t>2-0023</t>
  </si>
  <si>
    <t>Инженер по наладке и испытаниям III категории</t>
  </si>
  <si>
    <t>3-0021</t>
  </si>
  <si>
    <t>Техник по наладке и испытаниям I категории</t>
  </si>
  <si>
    <t>999-0005</t>
  </si>
  <si>
    <t>ФССЦ, сб.999,поз.0005</t>
  </si>
  <si>
    <t>Поправка: Сб.№пнр 5, п.1.5.3.2  Наименование:  При выполнении одним звеном (бригадой)  испытаний. регулировки и наладки оборудования на предприятии-изготовителе (учтенных в отпускной цене оборудования) и пусконаладочных работ на месте его дальнейшей эксплуатации</t>
  </si>
  <si>
    <t>{\rtf1\ansi\ansicpg1251\deff0{\fonttbl{\f0\fnil\fcharset204 MS Sans Serif;}{\f1\fswiss\fcharset0 Tahoma;}{\f2\fswiss\fcharset204 Tahoma;}{\f3\fnil MS Sans Serif;}}  \viewkind4\uc1\pard\lang1049\f0\fs16\'c4\'eb\'ff \'f1\'e1\'ee\'f0\'ed\'e8\'ea\'ee\'e2  \'d4\'c5\'d0 \'e8  \'d4\'c5\'d0\'ec\'f0 :  \par  \f1\'b7\tab\f2\'c7\'ed\'e0\'f7\'e5\'ed\'e8\'e5 \{_\'cc\'c4\'d1\'f0\'e5\'ec_\'cd\'d0\}= 0,90 -  \'ef\'f0\'e8 \'f0\'e5\'ec\'ee\'ed\'f2\'e5 \'e7\'e4\'e0\'ed\'e8\'e9 \'e6\'e8\'eb\'ee\'e3\'ee \'e8 \'e3\'f0\'e0\'e6\'e4\'e0\'ed\'f1\'ea\'ee\'e3\'ee \'ed\'e0\'e7\'ed\'e0\'f7\'e5\'ed\'e8\'e9 ( 0,90 \'ea \'cd\'d0) ;  \par  \f1\'b7\tab\f2\'c7\'ed\'e0\'f7\'e5\'ed\'e8\'e5 \lang1033\f1\{\lang1049\f2 _\'cc\'c4\'d1\'f0\'e5\'ec_\'cd\'d0\}=\lang1033\f1  \lang1049\f2 1,00  - \'ef\'f0\'e8 \'f1\'f2\'f0\'ee\'e8\'f2\'e5\'eb\'fc\'f1\'f2\'e2\'e5  \'e8 \'f0\'e5\'ea\'ee\'ed\'f1\'f2\'f0\'f3\'ea\'f6\'e8\'e8  \'ee\'e1\'fa\'e5\'ea\'f2\'ee\'e2 \'e2\'f1\'e5\'f5 \'ed\'e0\'e7\'ed\'e0\'f7\'e5\'ed\'e8\'e9\f3   \par }</t>
  </si>
  <si>
    <t>{\rtf1\ansi\ansicpg1251\deff0{\fonttbl{\f0\fnil\fcharset204 MS Sans Serif;}{\f1\fswiss\fcharset0 Tahoma;}{\f2\fswiss\fcharset204 Tahoma;}{\f3\fnil MS Sans Serif;}}  \viewkind4\uc1\pard\lang1049\f0\fs16\'c4\'eb\'ff \'f1\'e1\'ee\'f0\'ed\'e8\'ea\'ee\'e2  \'d4\'c5\'d0 \'e8  \'d4\'c5\'d0\'ec\'f0 :  \par   \f1\'b7\tab\f2\'c7\'ed\'e0\'f7\'e5\'ed\'e8\'e5 \{_\'cc\'c4\'d1\'f0\'e5\'ec_\'d1\'cf\} = 0.85  -  \'ef\'f0\'e8 \'f0\'e5\'ec\'ee\'ed\'f2\'e5 \'e7\'e4\'e0\'ed\'e8\'e9 \'e2\'f1\'e5\'f5 \'ed\'e0\'e7\'ed\'e0\'f7\'e5\'ed\'e8\'e9 ( 0,85 \'ea \'d1\'cf);  \par   \f1\'b7\tab\f2\'c7\'ed\'e0\'f7\'e5\'ed\'e8\'e5 \{_\'cc\'c4\'d1\'f0\'e5\'ec_\'d1\'cf\}\lang1033\f1  \lang1049\f2 = 1,00 -  \'ef\'f0\'e8 \'f1\'f2\'f0\'ee\'e8\'f2\'e5\'eb\'fc\'f1\'f2\'e2\'e5  \'e8 \'f0\'e5\'ea\'ee\'ed\'f1\'f2\'f0\'f3\'ea\'f6\'e8\'e8  \'ee\'e1\'fa\'e5\'ea\'f2\'ee\'e2 \'e2\'f1\'e5\'f5 \'ed\'e0\'e7\'ed\'e0\'f7\'e5\'ed\'e8\'e9\f3   \par }</t>
  </si>
  <si>
    <t>{\rtf1\ansi\deff0{\fonttbl{\f0\fswiss\fcharset204 Tahoma;}{\f1\fswiss\fcharset0 Tahoma;}{\f2\fnil MS Sans Serif;}}  \viewkind4\uc1\pard\lang1049\f0\fs16 (_\'d2\'c5\'ca)  \par      \par  \lang1033\f1\{\lang1049\f0\'c2\'ea\'eb.\lang1033\f1\}\lang1049\f0     - \'cf\'f0\'e8 \'f0\'e0\'f1\'f7\'e5\'f2\'e5 \'e2 \'f2\'e5\'ea\'f3\'f9\'e5\'ec (\'ef\'f0\'ee\'e3\'ed\'ee\'e7\'ed\'ee\'ec) \'f3\'f0\'ee\'e2\'ed\'e5 \'f6\'e5\'ed , \'ef\'ee\'f1\'f2\'f0\'ee\'f7\'ed\'e0\'ff \'e8\'ed\'e4\'e5\'ea\'f1\'e0\'f6\'e8\'ff \'f0\'e0\'f1\'e5\'ed\'ee\'ea \'ef\'ee \'f1\'f2\'e0\'f2\'fc\'ff\'ec \'e7\'e0\'f2\'f0\'e0\'f2  \par  \lang1033\f1\{\lang1049\f0\'c2\'fb\'ea\'eb\lang1033\f1\}   - \lang1049\f0\'cf\'f0\'e8 \'f0\'e0\'f1\'f7\'e5\'f2\'e5 \'e2 \'e1\'e0\'e7\'e8\'f1\'ed\'ee\'ec ( 1/01/2000\'e3.) \'f3\'f0\'ee\'e2\'ed\'e5 \'f6\'e5\'ed, \'e8\'ed\'e4\'e5\'ea\'f1\'e0\'f6\'e8\'ff \'ef\'ee \'e8\'f2\'ee\'e3\'e0\'ec \'f1\'ec\'e5\'f2\'fb/\'ee\'e1\'fa\'e5\'ea\'f2\'e0    \f2   \par }</t>
  </si>
  <si>
    <t>{\rtf1\ansi\ansicpg1251\deff0{\fonttbl{\f0\fnil\fcharset204 MS Sans Serif;}{\f1\fswiss\fcharset0 Tahoma;}{\f2\fswiss\fcharset204 Tahoma;}{\f3\fnil MS Sans Serif;}}  \viewkind4\uc1\pard\lang1049\f0\fs16\'c4\'eb\'ff \'ed\'ee\'f0\'ec \'cd\'d0 \'f1 1.01.2011 \'e3\'ee\'e4\'e0:  \par  \f1\'b7\tab\{_\f2\'d2\'c5\'ca_\'cd\'d0\f1\} = 0.\f2 85\f1  \f2  \f1 - \f2  \'ca\'ee\'fd\'f4\'f4\'e8\'f6\'e8\'e5\'ed\'f2   \'f3\'f7\'e8\'f2\'fb\'e2\'e0\'fe\'f9\'e8\'e9 \'e8\'e7\'ec\'e5\'ed\'e5\'ed\'e8\'e5 \'ed\'ee\'f0\'ec\'fb \'f1\'f2\'f0\'e0\'f5\'ee\'e2\'fb\'f5 \'e2\'e7\'ed\'ee\'f1\'ee\'e2 \'f1  1.01.1 - (\'ef\'f0\'e8 \'f0\'e0\'f1\'f7\'e5\'f2\'e5 \'e2 \'f2\'e5\'ea\'f3\'f9\'e5\'ec \'f3\'f0\'ee\'e2\'ed\'e5 \'f6\'e5\'ed  \'e8\'ed\'e4\'e5\'ea\'f1\'e0\'ec\'e8 \'ef\'ee \'f1\'f2\'e0\'f2\'fc\'ff\'ec \'e7\'e0\'f2\'f0\'e0\'f2 )  \par  \f1\'b7\tab\{_\f2\'d2\'c5\'ca_\'cd\'d0\f1\} = 1,00  -  \f2\'ef\'f0\'e8 \'f0\'e0\'f1\'f7\'e5\'f2 \'e2 \'f2\'e5\'ea\'f3\'f9\'e5\'ec \'f3\'f0\'ee\'e2\'ed\'e5 \'f6\'e5\'ed \'e8 \'ef\'f0\'e8 \'f3\'ef\'f0\'ee\'f9\'e5\'ed\'ed\'ee\'e9 \'f1\'e8\'f1\'f2\'e5\'ec\'e5\f3   \par }</t>
  </si>
  <si>
    <t>{\rtf1\ansi\ansicpg1251\deff0{\fonttbl{\f0\fnil\fcharset204 MS Sans Serif;}{\f1\fswiss\fcharset0 Tahoma;}{\f2\fswiss\fcharset204 Tahoma;}{\f3\fnil MS Sans Serif;}}  \viewkind4\uc1\pard\lang1049\f0\fs16\'c4\'eb\'ff \'ed\'ee\'f0\'ec \'d1\'cf \'f1 1.01.2011 \'e3\'ee\'e4\'e0:  \par  \f1\'b7\tab\{_\f2\'d2\'c5\'ca_\'d1\'cf\f1\} = 0.\f2 80\f1  \f2  \f1 - \f2  \'ca\'ee\'fd\'f4\'f4\'e8\'f6\'e8\'e5\'ed\'f2   \'f3\'f7\'e8\'f2\'fb\'e2\'e0\'fe\'f9\'e8\'e9 \'e8\'e7\'ec\'e5\'ed\'e5\'ed\'e8\'e5 \'ed\'ee\'f0\'ec\'fb \'f1\'f2\'f0\'e0\'f5\'ee\'e2\'fb\'f5 \'e2\'e7\'ed\'ee\'f1\'ee\'e2 \'f1  1.01.11 - (\'ef\'f0\'e8 \'f0\'e0\'f1\'f7\'e5\'f2\'e5 \'e2 \'f2\'e5\'ea\'f3\'f9\'e5\'ec \'f3\'f0\'ee\'e2\'ed\'e5 \'f6\'e5\'ed  \'e8\'ed\'e4\'e5\'ea\'f1\'e0\'ec\'e8 \'ef\'ee \'f1\'f2\'e0\'f2\'fc\'ff\'ec \'e7\'e0\'f2\'f0\'e0\'f2 )  \par  \f1\'b7\tab\{_\f2\'d2\'c5\'ca_\'d1\'cf\f1\} = 1,00  -  \f2\'e1\'e5\'e7 \'f3\'f7\'e5\'f2\'e0 \f3   \par }</t>
  </si>
  <si>
    <t>{\rtf1\ansi\ansicpg1252\deff0{\fonttbl{\f0\fswiss\fcharset0 Tahoma;}{\f1\fswiss\fcharset204 Tahoma;}{\f2\fnil MS Sans Serif;}}  \viewkind4\uc1\pard\lang1033\f0\fs16\{\f1\'ce\'ca\'d0\'f2\'e5\'ea_\'cd\'d0_\'d1\'cf\f0\}\lang1049\f1  -  (\'e2\'ea\'eb)     -    \'ed\'ee\'f0\'ec\'fb \'cd\'d0 \'e8 \'d1\'cf \'ee\'ea\'f0\'f3\'e3\'eb\'ff\'fe\'f2\'f1\'ff \'e4\'ee \'f6\'e5\'eb\'fb\'f5  \par                        ( \'e2\'fb\'ea\'eb.) -   \'ed\'ee\'f0\'ec\'fb \'cd\'d0 \'e8 \'d1\'cf \'ee\'ea\'f0\'f3\'e3\'eb\'ff\'fe\'f2\'ff \'e4\'ee \'e4\'e2\'f3\'f5 \'e7\'ed\'e0\'ea\'ee\'e2\'ee\'e2 \'ef\'ee\'f1\'eb\'e5 \'e7\'e0\'ef\'ff\'f2\'ee\'e9\f2   \par }</t>
  </si>
  <si>
    <t>{\rtf1\ansi\deff0{\fonttbl{\f0\fnil\fcharset204 MS Sans Serif;}{\f1\fswiss\fcharset0 Tahoma;}{\f2\fswiss\fcharset204 Tahoma;}{\f3\fnil MS Sans Serif;}}  \viewkind4\uc1\pard\lang1049\f0\fs16\'c4\'eb\'ff \'f1\'e1\'ee\'f0\'ed\'e8\'ea\'ee\'e2 \'d4\'c5\'d0 ( \'ef\'f0\'e8 \'ef\'f0\'ee\'e8\'e7\'e2\'ee\'e4\'f1\'f2\'e2\'e5 \'f0\'e0\'e1\'ee\'f2 \'ed\'e0 \'f2\'e5\'f5\'ed\'e8\'f7\'e5\'f1\'ea\'e8 \'f1\'eb\'ee\'e6\'ed\'fb\'f5 \'ee\'e1\'fa\'e5\'ea\'f2\'e0\'f5 ):  \par  \f1\'b7\tab  \{ \f2\'d1\'cb\'c6 \} - (\'e2\'ea\'eb.)    - \'f0\'e0\'e1\'ee\'f2\'e0 \'ed\'e0 \'f1\'eb\'ee\'e6\'ed\'fb\'f5 \'ee\'e1\'fa\'e5\'ea\'f2\'e0\'f5  (\'ea=1,2 \'ea \'cd\'d0)           \par  \f1\'b7\tab  \{ \f2\'d1\'cb\'c6 \} - (\'e2\'fb\'ea\'eb.) - \'f0\'e0\'e1\'ee\'f2\'e0 \'ed\'e0 \'ee\'e1\'fb\'f7\'ed\'fb\'f5 \'ee\'e1\'fa\'e5\'ea\'f2\'e0\'f5\f3   \par }</t>
  </si>
  <si>
    <t>{\rtf1\ansi\ansicpg1251\deff0{\fonttbl{\f0\fnil\fcharset204 MS Sans Serif;}{\f1\fswiss\fcharset0 Tahoma;}{\f2\fswiss\fcharset204 Tahoma;}{\f3\fnil MS Sans Serif;}}  \viewkind4\uc1\pard\lang1049\f0\fs16\'c4\'eb\'ff \'e2\'f1\'e5\'f5  \'f0\'e0\'f1\'f6\'e5\'ed\'ee\'ea. (  \'ef\'f0\'e8 \'ef\'f0\'e8\'ec\'e5\'ed\'e5\'ed\'e8\'e8 \'f3\'ef\'f0\'ee\'f9\'e5\'ed\'ed\'ee\'e9 \'f1\'e8\'f1\'f2\'e5\'ec\'fb \'ed\'e0\'eb\'ee\'e3\'ee\'ee\'e1\'eb\'ee\'e6\'e5\'ed\'e8\'ff)  \par  \f1\'b7\tab\{\f2\'d3\'cf\'d0\} - ( \'e2\'ea\'eb.)    -  \'ef\'f0\'e8 \'f3\'ef\'f0\'ee\'f9\'e5\'ed\'ed\'ee\'e9 \'f1\'e8\'f1\'f2\'e5\'ec\'e5   ;  \'ea = 0,9 \'ea \'d1\'cf ( \'ea= 0,7 \'ea \'cd\'d0 \'ee\'f2\'ec\'e5\'ed\'e5\'ed \'f1 1.01.11)  \par  \f1\'b7\tab\{\f2\'d3\'cf\'d0\} - ( \'e2\'fb\'ea\'eb.) -  \'ef\'f0\'e8  \'ee\'e1\'fb\'f7\'ed\'ee\'e9 \'f1\'e8\'f1\'f2\'e5\'ec\'e5 \'ed\'e0\'eb\'ee\'e3\'ee\'ee\'e1\'eb\'ee\'e6\'e5\'ed\'e8\'ff \f3   \par }</t>
  </si>
  <si>
    <t>{\rtf1\ansi\ansicpg1251\deff0{\fonttbl{\f0\fnil\fcharset204 MS Sans Serif;}{\f1\fswiss\fcharset0 Tahoma;}{\f2\fswiss\fcharset204 Tahoma;}{\f3\fnil MS Sans Serif;}}  \viewkind4\uc1\pard\lang1049\f0\fs16\'c4\'eb\'ff \'ed\'ee\'f0\'ec \'cd\'d0 \'f1 1.01.2011 \'e3\'ee\'e4\'e0 \'ef\'f0\'e8 \'f3\'ef\'f0\'ee\'f9\'e5\'ed\'ed\'ee\'ec \'ed\'e0\'eb\'ee\'e3\'ee\'ee\'e1\'eb\'ee\'e6\'e5\'ed\'e8\'e8: \'e5\'f1\'eb\'e8 \lang1033\f1\{\lang1049\f2\'d3\'cf\'d0\lang1033\f1\}\lang1049\f2  - \'e2\'ea\'eb.\f0   \par  \f1\'b7\tab\{\f2\'d3\'cf\'d0\'f2\'e5\'ea_\'cd\'d0\lang1033\f1\}\lang1049  = 0.\f2 94\f1  \f2  \f1 - \f2  \'cf\'f0\'e8 \'f3\'ef\'f0\'ee\'f9\'e5\'ed\'ed\'ee\'ec \'ed\'e0\'eb\'ee\'e3\'ee\'ee\'e1\'eb\'ee\'e6\'e5\'ed\'e8\'e8 \'e2 \'f2\'e5\'ea\'f3\'f9\'e5\'ec \'f3\'f0\'ee\'e2\'ed\'e5 \'f6\'e5\'ed   \par  \f1\'b7\tab\f2  \f3   \par }</t>
  </si>
  <si>
    <t>{\rtf1\ansi\deff0{\fonttbl{\f0\fnil\fcharset204 MS Sans Serif;}{\f1\fswiss\fcharset0 Tahoma;}{\f2\fswiss\fcharset204 Tahoma;}{\f3\fnil MS Sans Serif;}}  \viewkind4\uc1\pard\lang1049\f0\fs16\'c4\'eb\'ff \'e2\'f1\'e5\'f5  \'f0\'e0\'f1\'f6\'e5\'ed\'ee\'ea. (  \'ef\'f0\'e8 \'f5\'ee\'e7\'ff\'e9\'f1\'f2\'e2\'e5\'ed\'ed\'ee\'ec \'f1\'ef\'ee\'f1\'ee\'e1\'e5 \'ef\'f0\'ee\'e8\'e7\'e2\'ee\'e4\'f1\'f2\'e2\'e0 \'f0\'e0\'e1\'ee\'f2):  \par  \f1\'b7\tab\{\f2\'d5\'ce\'c7\} - ( \'e2\'ea\'eb.)    -  \'ef\'f0\'e8  \'f5\'ee\'e7. \'f1\'ef\'ee\'f1\'ee\'e1\'e5 (\'ea=0,6 \'ea \'cd\'d0 )  \par  \f1\'b7\tab\{\f2\'d5\'ce\'c7\} - ( \'e2\'fb\'ea\'eb.) -  \'ef\'f0\'e8 \'ee\'e1\'fb\'f7\'ed\'ee\'ec \'f1\'ef\'ee\'f1\'ee\'e1\'e5 \'ef\'f0\'ee\'e8\'e7\'e2\'ee\'e4\'f1\'f2\'e2\'e0 \'f0\'e0\'e1\'ee\'f2\f3   \par }</t>
  </si>
  <si>
    <t>{\rtf1\ansi\ansicpg1251\deff0{\fonttbl{\f0\fnil\fcharset204 MS Sans Serif;}{\f1\fswiss\fcharset0 Tahoma;}{\f2\fswiss\fcharset204 Tahoma;}{\f3\fnil MS Sans Serif;}}  \viewkind4\uc1\pard\lang1049\f0\fs16\'c4\'eb\'ff \'f1\'e1\'ee\'f0\'ed\'e8\'ea\'ee\'e2 \'d4\'c5\'d0\'ec 08;10;11 :  \par    \f1\'b7\tab\{\f2\'ec\'c0\'c2\'c8\'c0\} -  (\'e2\'ea\'eb.)     -  \'ef\'f0\'ee\'e8\'e7\'e2\'ee\'e4\'f1\'f2\'e2\'ee \'ec\'ee\'ed\'f2\'e0\'e6\'ed\'fb\'f5  \'f0\'e0\'e1\'ee\'f2\'fb \'ef\'ee \'e4\'e8\'f1\'ef\'e5\'f2\'f7\'e5\'f0\'e8\'e7\'e0\'f6\'e8\'e8 \'f3\'ef\'f0\'e0\'e2\'eb\'e5\'ed\'e8\'ff  \'e4\'e2\'e8\'e6\'e5\'ed\'e8\'e5\'ec \'e0\'e2\'e8\'e0\'f2\'f0\'e0\'ed\'f1\'ef\'ee\'f0\'f2\'ed\'ee\'ec (\'cd\'d0=95%, \'d1\'cf=55%) ;  \par    \f1\'b7 \f2        \f1     \{\f2\'ec\'c0\'c2\'c8\'c0\} -  (\'e2\'fb\'ea\'eb. ) -  \'ef\'f0\'e8 \'ef\'f0\'ee\'e8\'e7\'e2\'ee\'e4\'f1\'f2\'e2\'e5 \'f0\'e0\'e1\'ee\'f2 \'ed\'e0 \'ef\'f0\'ee\'f7\'e8\'f5 \'ee\'e1\'fa\'e5\'ea\'f2\'e0\'f5 , \'ea\'f0\'ee\'ec\'e5 \'c0\'dd\'d1\f3   \par }</t>
  </si>
  <si>
    <t>{\rtf1\ansi\ansicpg1251\deff0{\fonttbl{\f0\fnil\fcharset204 MS Sans Serif;}{\f1\fswiss\fcharset0 Tahoma;}{\f2\fswiss\fcharset204 Tahoma;}{\f3\fnil MS Sans Serif;}}  \viewkind4\uc1\pard\lang1049\f0\fs16\'c4\'eb\'ff \'f1\'e1\'ee\'f0\'ed\'e8\'ea\'e0 \'d4\'c5\'d0\'ec -39  \'e8 \'d4\'c5\'d0\'cc-08  ( \'ef\'f0\'e8 \'f0\'e0\'e1\'ee\'f2\'e0\'f5 \'ef\'ee \'ea\'ee\'ed\'f2\'f0\'ee\'eb\'fe \'f1\'e2\'e0\'f0\'ed\'fb\'f5 \'f1\'ee\'e5\'e4\'e8\'ed\'e5\'ed\'e8\'e9) :  \par  \tab  \{\'ec\'c0\'dd\'d1\} - ( \'e2\'ea\'eb.)  - \lang1033\f1    \lang1049\f0  \'ef\'f0\'e8 \'e2\'fb\'ef\'ee\'eb\'ed\'e5\'ed\'e8\'e8 \'f0\'e0\'e1\'ee\'f2 \'ef\'ee \'ed\'e0 \'c0\'dd\'d1  (H\'d0=101%; \'d1\'cf= 68%;   \par          \f1\tab  \{\f2\'ec\'c0\'dd\'d1\} - (\'e2\'fb\'ea\'eb.) -  \'ef\'f0\'e8 \'e2\'fb\'ef\'ee\'eb\'ed\'e5\'ed\'e8\'e8 \'f0\'e0\'e1\'ee\'f2  \'ed\'e0 \'ee\'e1\'fb\'f7\'ed\'fb\'f5 \'ee\'e1\'fa\'e5\'ea\'f2\'e0\'f5\f3   \par }</t>
  </si>
  <si>
    <t>"СОГЛАСОВАНО"</t>
  </si>
  <si>
    <t>"УТВЕРЖДАЮ"</t>
  </si>
  <si>
    <t>(Наименование стройки)</t>
  </si>
  <si>
    <t xml:space="preserve">Номер заказа  </t>
  </si>
  <si>
    <t xml:space="preserve">ЛОКАЛЬНАЯ СМЕТА №  </t>
  </si>
  <si>
    <t xml:space="preserve">  на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</si>
  <si>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</si>
  <si>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</si>
  <si>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</si>
  <si>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</si>
  <si>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тыс.руб</t>
  </si>
  <si>
    <t>Нормативная трудоемкость</t>
  </si>
  <si>
    <t>Средства на оплату труда</t>
  </si>
  <si>
    <t>Составлен(а) в ценах Февраль 2012 г.</t>
  </si>
  <si>
    <t>№</t>
  </si>
  <si>
    <t>п/п</t>
  </si>
  <si>
    <t>Шифр</t>
  </si>
  <si>
    <t>расценки</t>
  </si>
  <si>
    <t>и коды</t>
  </si>
  <si>
    <t>ресурса</t>
  </si>
  <si>
    <t>Наименование работ и затрат</t>
  </si>
  <si>
    <t>Единица</t>
  </si>
  <si>
    <t>изме-</t>
  </si>
  <si>
    <t>рения</t>
  </si>
  <si>
    <t>Кол-во</t>
  </si>
  <si>
    <t>единиц</t>
  </si>
  <si>
    <t>Цена</t>
  </si>
  <si>
    <t>за ед.</t>
  </si>
  <si>
    <t>изм.</t>
  </si>
  <si>
    <t>Руб.</t>
  </si>
  <si>
    <t>Попра-</t>
  </si>
  <si>
    <t>вочные</t>
  </si>
  <si>
    <t>коэффи-</t>
  </si>
  <si>
    <t>циенты</t>
  </si>
  <si>
    <t>Стои-</t>
  </si>
  <si>
    <t>мость</t>
  </si>
  <si>
    <t>в ценах</t>
  </si>
  <si>
    <t>2001 г.</t>
  </si>
  <si>
    <t>Пункт</t>
  </si>
  <si>
    <t>коэфф.</t>
  </si>
  <si>
    <t>пере-</t>
  </si>
  <si>
    <t>счета</t>
  </si>
  <si>
    <t>Коэффи-</t>
  </si>
  <si>
    <t>мость в</t>
  </si>
  <si>
    <t>текущих</t>
  </si>
  <si>
    <t>ценах</t>
  </si>
  <si>
    <t>ЗТР</t>
  </si>
  <si>
    <t>всего</t>
  </si>
  <si>
    <t>чел.-час</t>
  </si>
  <si>
    <t xml:space="preserve">Локальная смета  </t>
  </si>
  <si>
    <t xml:space="preserve">Раздел  </t>
  </si>
  <si>
    <t>Материальные ресурсы</t>
  </si>
  <si>
    <t>Итого по разделу</t>
  </si>
  <si>
    <t>Зарплата</t>
  </si>
  <si>
    <t>в т.ч. зарплата машинистов</t>
  </si>
  <si>
    <t>Накладные расходы от ФОТ</t>
  </si>
  <si>
    <t>%</t>
  </si>
  <si>
    <t>Затраты труда</t>
  </si>
  <si>
    <t>чел-ч</t>
  </si>
  <si>
    <r>
      <t xml:space="preserve">п01-10-001-1
</t>
    </r>
    <r>
      <rPr>
        <i/>
        <sz val="8"/>
        <rFont val="Arial"/>
        <family val="2"/>
        <charset val="204"/>
      </rPr>
      <t>Поправка: Сб.№пнр 5, п.1.5.3.2</t>
    </r>
  </si>
  <si>
    <r>
      <t xml:space="preserve">п01-10-002-1
</t>
    </r>
    <r>
      <rPr>
        <i/>
        <sz val="8"/>
        <rFont val="Arial"/>
        <family val="2"/>
        <charset val="204"/>
      </rPr>
      <t>Поправка: Сб.№пнр 5, п.1.5.3.2</t>
    </r>
  </si>
  <si>
    <t>Итого по смете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</si>
  <si>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</si>
  <si>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</si>
  <si>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</si>
  <si>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</si>
  <si>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</si>
  <si>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</si>
  <si>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 xml:space="preserve">Инвестор </t>
  </si>
  <si>
    <t>по ОКПО</t>
  </si>
  <si>
    <t xml:space="preserve">Заказчик </t>
  </si>
  <si>
    <t xml:space="preserve">Подрядчик </t>
  </si>
  <si>
    <t xml:space="preserve">Стройка </t>
  </si>
  <si>
    <t xml:space="preserve">Объект </t>
  </si>
  <si>
    <t>Вид деятельности по ОКДП</t>
  </si>
  <si>
    <t>Договор подряда (контракт)</t>
  </si>
  <si>
    <t>номер</t>
  </si>
  <si>
    <t>дата</t>
  </si>
  <si>
    <t>Номер документа</t>
  </si>
  <si>
    <t>Дата составления</t>
  </si>
  <si>
    <t>Отчетный период</t>
  </si>
  <si>
    <t>с</t>
  </si>
  <si>
    <t>по</t>
  </si>
  <si>
    <t>AKT ВЫПОЛНЕННЫХ РАБОТ</t>
  </si>
  <si>
    <t xml:space="preserve">Составлен(а) в ценах 2001 г. с учетом коэффициентов пересчета к базисной стоимости СМР в текущий уровень цен базисно-индексным методом </t>
  </si>
  <si>
    <t>г.</t>
  </si>
  <si>
    <t>ПОДРЯДЧИК</t>
  </si>
  <si>
    <t>[должность,подпись(инициалы,фамилия)]</t>
  </si>
  <si>
    <t>ЗАКАЗЧИК</t>
  </si>
  <si>
    <t>Унифицированная форма № КС-3</t>
  </si>
  <si>
    <t>Коды</t>
  </si>
  <si>
    <t>организация, адрес, телефон, факс</t>
  </si>
  <si>
    <t xml:space="preserve">Заказчик (генподрядчик) </t>
  </si>
  <si>
    <t xml:space="preserve">Подрядчик (субподрядчик) </t>
  </si>
  <si>
    <t>наименование, адрес</t>
  </si>
  <si>
    <t>Вид деятельности  по ОКДП</t>
  </si>
  <si>
    <t xml:space="preserve">Договор подряда (контракт) </t>
  </si>
  <si>
    <t>Вид операции</t>
  </si>
  <si>
    <t>СПРАВКА</t>
  </si>
  <si>
    <t>СТОИМОСТИ ВЫПОЛНЕННЫХ РАБОТ И ЗАТРАТ</t>
  </si>
  <si>
    <t>№ п/п</t>
  </si>
  <si>
    <t>Наименование пусковых комплексов, объектов, видов работ, оборудования, затрат</t>
  </si>
  <si>
    <t>Стоимость выполненных работ и затрат</t>
  </si>
  <si>
    <t>с начала проведения работ</t>
  </si>
  <si>
    <t>с начала года по отчетный период включительно</t>
  </si>
  <si>
    <t>в том числе за отчетный месяц</t>
  </si>
  <si>
    <t>Всего работ и затрат, включаемых в стоимость</t>
  </si>
  <si>
    <t>В том числе:</t>
  </si>
  <si>
    <t xml:space="preserve">Сумма НДС </t>
  </si>
  <si>
    <t>должность</t>
  </si>
  <si>
    <t>подпись</t>
  </si>
  <si>
    <t>расшифровка подпись</t>
  </si>
  <si>
    <t>МП</t>
  </si>
  <si>
    <t>Возвратная сумма при УНС на материалы (письмо № НЗ-6292/10 от 6.10.2003)</t>
  </si>
  <si>
    <t>"_____"________________20____ г.</t>
  </si>
  <si>
    <t>---</t>
  </si>
  <si>
    <t xml:space="preserve">Всего </t>
  </si>
  <si>
    <t>монтаж системы видеонаблюдения</t>
  </si>
  <si>
    <t>G951A  Монитор 19" TFT Benq, 1440*900, 5ms, 250cd/m2, 1000:1, DCR 50,000:1, D-sub  цена 4418,4/1,18/2,45</t>
  </si>
  <si>
    <t>Компенсация НДС при упрощенной системе налогообложения:</t>
  </si>
  <si>
    <t>За материалы (согласно письму № НЗ-6292/10 от 6.10.2003)</t>
  </si>
  <si>
    <t>За ЭММ без ЗП машинистов (согласно письму № НЗ-6292/10 от 6.10.2003)</t>
  </si>
  <si>
    <t>За накладные расходы (согласно письму № НЗ-6292/10 от 6.10.2003)</t>
  </si>
  <si>
    <t>Итого компенсация НДС при упрощенной системе налогообложения</t>
  </si>
  <si>
    <t>Всего с компенсацией НДС при упрощенной системе налогообложения:</t>
  </si>
  <si>
    <t>Из сметной прибыли (согласно письму № НЗ-6292/10 от 6.10.2003)</t>
  </si>
  <si>
    <t xml:space="preserve">Система видеонаблюдения </t>
  </si>
</sst>
</file>

<file path=xl/styles.xml><?xml version="1.0" encoding="utf-8"?>
<styleSheet xmlns="http://schemas.openxmlformats.org/spreadsheetml/2006/main">
  <numFmts count="2">
    <numFmt numFmtId="180" formatCode="#,##0.00;[Red]\-\ #,##0.00"/>
    <numFmt numFmtId="181" formatCode="mmmm"/>
  </numFmts>
  <fonts count="22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9"/>
      <name val="Times New Roman"/>
      <family val="1"/>
      <charset val="204"/>
    </font>
    <font>
      <sz val="16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0" fillId="0" borderId="0" xfId="0" applyFont="1"/>
    <xf numFmtId="0" fontId="4" fillId="0" borderId="0" xfId="0" applyFont="1" applyAlignment="1">
      <alignment horizontal="center"/>
    </xf>
    <xf numFmtId="180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justify" vertical="top" wrapText="1"/>
    </xf>
    <xf numFmtId="0" fontId="15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80" fontId="0" fillId="0" borderId="0" xfId="0" applyNumberFormat="1"/>
    <xf numFmtId="0" fontId="10" fillId="0" borderId="1" xfId="0" applyFont="1" applyBorder="1"/>
    <xf numFmtId="180" fontId="10" fillId="0" borderId="1" xfId="0" applyNumberFormat="1" applyFont="1" applyBorder="1"/>
    <xf numFmtId="0" fontId="10" fillId="0" borderId="1" xfId="0" applyFont="1" applyBorder="1" applyAlignment="1">
      <alignment wrapText="1"/>
    </xf>
    <xf numFmtId="180" fontId="13" fillId="0" borderId="0" xfId="0" applyNumberFormat="1" applyFont="1"/>
    <xf numFmtId="0" fontId="13" fillId="0" borderId="0" xfId="0" applyFont="1"/>
    <xf numFmtId="180" fontId="10" fillId="0" borderId="0" xfId="0" applyNumberFormat="1" applyFont="1" applyAlignment="1">
      <alignment horizontal="right"/>
    </xf>
    <xf numFmtId="0" fontId="9" fillId="0" borderId="0" xfId="0" applyFont="1"/>
    <xf numFmtId="0" fontId="14" fillId="0" borderId="0" xfId="0" applyFont="1"/>
    <xf numFmtId="0" fontId="10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10" fillId="0" borderId="9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81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" xfId="0" applyFont="1" applyBorder="1"/>
    <xf numFmtId="0" fontId="18" fillId="0" borderId="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4" fontId="18" fillId="0" borderId="0" xfId="0" applyNumberFormat="1" applyFont="1"/>
    <xf numFmtId="0" fontId="19" fillId="0" borderId="2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21" fillId="0" borderId="0" xfId="0" applyFont="1"/>
    <xf numFmtId="0" fontId="18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19" fillId="0" borderId="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" xfId="0" applyFont="1" applyBorder="1"/>
    <xf numFmtId="0" fontId="7" fillId="0" borderId="8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2" xfId="0" applyFont="1" applyBorder="1" applyAlignment="1">
      <alignment horizontal="right"/>
    </xf>
    <xf numFmtId="0" fontId="20" fillId="0" borderId="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2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14" fontId="19" fillId="0" borderId="2" xfId="0" applyNumberFormat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19" fillId="0" borderId="6" xfId="0" applyFont="1" applyBorder="1"/>
    <xf numFmtId="0" fontId="19" fillId="0" borderId="11" xfId="0" applyFont="1" applyBorder="1"/>
    <xf numFmtId="0" fontId="19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4" fontId="19" fillId="0" borderId="6" xfId="0" applyNumberFormat="1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14" fontId="19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/>
    </xf>
    <xf numFmtId="0" fontId="19" fillId="0" borderId="2" xfId="0" applyFont="1" applyBorder="1" applyAlignment="1">
      <alignment horizontal="justify" vertical="top" wrapText="1" shrinkToFit="1"/>
    </xf>
    <xf numFmtId="0" fontId="19" fillId="0" borderId="8" xfId="0" applyFont="1" applyBorder="1" applyAlignment="1">
      <alignment horizontal="justify" vertical="top" wrapText="1" shrinkToFit="1"/>
    </xf>
    <xf numFmtId="180" fontId="19" fillId="0" borderId="2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6" xfId="0" applyFont="1" applyBorder="1" applyAlignment="1">
      <alignment horizontal="justify" vertical="top" wrapText="1" shrinkToFit="1"/>
    </xf>
    <xf numFmtId="0" fontId="19" fillId="0" borderId="9" xfId="0" applyFont="1" applyBorder="1" applyAlignment="1">
      <alignment horizontal="justify" vertical="top" wrapText="1" shrinkToFit="1"/>
    </xf>
    <xf numFmtId="0" fontId="19" fillId="0" borderId="10" xfId="0" applyFont="1" applyBorder="1" applyAlignment="1">
      <alignment horizontal="justify" vertical="top" wrapText="1" shrinkToFit="1"/>
    </xf>
    <xf numFmtId="0" fontId="19" fillId="0" borderId="0" xfId="0" applyFont="1" applyAlignment="1">
      <alignment horizontal="right" vertical="center" wrapText="1" shrinkToFit="1"/>
    </xf>
    <xf numFmtId="180" fontId="19" fillId="0" borderId="2" xfId="0" quotePrefix="1" applyNumberFormat="1" applyFont="1" applyBorder="1" applyAlignment="1">
      <alignment horizontal="right" vertical="center" wrapText="1" shrinkToFit="1"/>
    </xf>
    <xf numFmtId="0" fontId="19" fillId="0" borderId="10" xfId="0" applyFont="1" applyBorder="1" applyAlignment="1">
      <alignment horizontal="right" vertical="center" wrapText="1" shrinkToFit="1"/>
    </xf>
    <xf numFmtId="180" fontId="19" fillId="0" borderId="6" xfId="0" applyNumberFormat="1" applyFont="1" applyBorder="1" applyAlignment="1">
      <alignment horizontal="right" vertical="center" wrapText="1" shrinkToFit="1"/>
    </xf>
    <xf numFmtId="0" fontId="19" fillId="0" borderId="11" xfId="0" applyFont="1" applyBorder="1" applyAlignment="1">
      <alignment horizontal="right" vertical="center" wrapText="1" shrinkToFit="1"/>
    </xf>
    <xf numFmtId="0" fontId="19" fillId="0" borderId="0" xfId="0" applyFont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left" wrapText="1"/>
    </xf>
    <xf numFmtId="18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180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5" fillId="0" borderId="0" xfId="0" applyFont="1"/>
    <xf numFmtId="0" fontId="1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0" fillId="0" borderId="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10" fillId="0" borderId="1" xfId="0" applyFont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180" fontId="10" fillId="0" borderId="0" xfId="0" applyNumberFormat="1" applyFont="1"/>
    <xf numFmtId="0" fontId="10" fillId="0" borderId="0" xfId="0" applyFont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zoomScaleNormal="100" workbookViewId="0">
      <selection activeCell="C58" sqref="C58"/>
    </sheetView>
  </sheetViews>
  <sheetFormatPr defaultRowHeight="12.75"/>
  <cols>
    <col min="1" max="1" width="5.7109375" style="52" customWidth="1"/>
    <col min="2" max="2" width="22.7109375" style="52" customWidth="1"/>
    <col min="3" max="9" width="9.140625" style="52"/>
    <col min="10" max="11" width="11.140625" style="52" customWidth="1"/>
    <col min="12" max="12" width="9.140625" style="52"/>
  </cols>
  <sheetData>
    <row r="1" spans="1:12">
      <c r="A1" s="65" t="str">
        <f>Source!B1</f>
        <v>Smeta.ru  (495) 974-1589</v>
      </c>
      <c r="B1" s="65"/>
      <c r="C1" s="65"/>
      <c r="D1" s="65"/>
      <c r="H1" s="66" t="s">
        <v>543</v>
      </c>
      <c r="I1" s="66"/>
      <c r="J1" s="66"/>
      <c r="K1" s="66"/>
      <c r="L1" s="66"/>
    </row>
    <row r="2" spans="1:12">
      <c r="H2" s="66" t="s">
        <v>517</v>
      </c>
      <c r="I2" s="66"/>
      <c r="J2" s="66"/>
      <c r="K2" s="66"/>
      <c r="L2" s="66"/>
    </row>
    <row r="3" spans="1:12">
      <c r="H3" s="66" t="s">
        <v>518</v>
      </c>
      <c r="I3" s="66"/>
      <c r="J3" s="66"/>
      <c r="K3" s="66"/>
      <c r="L3" s="66"/>
    </row>
    <row r="4" spans="1:12" ht="15.75">
      <c r="A4" s="53"/>
      <c r="B4" s="53"/>
      <c r="C4" s="53"/>
      <c r="D4" s="53"/>
      <c r="E4" s="53"/>
      <c r="F4" s="53"/>
      <c r="G4" s="53"/>
      <c r="H4" s="53"/>
      <c r="I4" s="53"/>
      <c r="J4" s="53"/>
      <c r="K4" s="67" t="s">
        <v>544</v>
      </c>
      <c r="L4" s="68"/>
    </row>
    <row r="5" spans="1:12" ht="15.75">
      <c r="A5" s="53"/>
      <c r="B5" s="53"/>
      <c r="C5" s="53"/>
      <c r="D5" s="53"/>
      <c r="E5" s="53"/>
      <c r="F5" s="53"/>
      <c r="G5" s="53"/>
      <c r="H5" s="53"/>
      <c r="I5" s="69" t="s">
        <v>520</v>
      </c>
      <c r="J5" s="69"/>
      <c r="K5" s="67">
        <v>322001</v>
      </c>
      <c r="L5" s="68"/>
    </row>
    <row r="6" spans="1:12" ht="15.75">
      <c r="A6" s="69" t="s">
        <v>522</v>
      </c>
      <c r="B6" s="69"/>
      <c r="C6" s="70"/>
      <c r="D6" s="70"/>
      <c r="E6" s="70"/>
      <c r="F6" s="70"/>
      <c r="G6" s="70"/>
      <c r="H6" s="70"/>
      <c r="I6" s="70"/>
      <c r="J6" s="55" t="s">
        <v>523</v>
      </c>
      <c r="K6" s="67"/>
      <c r="L6" s="68"/>
    </row>
    <row r="7" spans="1:12">
      <c r="C7" s="71" t="s">
        <v>545</v>
      </c>
      <c r="D7" s="71"/>
      <c r="E7" s="71"/>
      <c r="F7" s="71"/>
      <c r="G7" s="71"/>
      <c r="H7" s="71"/>
      <c r="I7" s="71"/>
      <c r="K7" s="57"/>
      <c r="L7" s="58"/>
    </row>
    <row r="8" spans="1:12" ht="15.75">
      <c r="A8" s="69" t="s">
        <v>546</v>
      </c>
      <c r="B8" s="69"/>
      <c r="C8" s="70"/>
      <c r="D8" s="70"/>
      <c r="E8" s="70"/>
      <c r="F8" s="70"/>
      <c r="G8" s="70"/>
      <c r="H8" s="70"/>
      <c r="I8" s="56"/>
      <c r="J8" s="55" t="s">
        <v>523</v>
      </c>
      <c r="K8" s="72"/>
      <c r="L8" s="73"/>
    </row>
    <row r="9" spans="1:12">
      <c r="C9" s="71" t="s">
        <v>545</v>
      </c>
      <c r="D9" s="71"/>
      <c r="E9" s="71"/>
      <c r="F9" s="71"/>
      <c r="G9" s="71"/>
      <c r="H9" s="71"/>
      <c r="I9" s="71"/>
      <c r="K9" s="57"/>
      <c r="L9" s="58"/>
    </row>
    <row r="10" spans="1:12" ht="15.75">
      <c r="A10" s="69" t="s">
        <v>547</v>
      </c>
      <c r="B10" s="69"/>
      <c r="C10" s="70"/>
      <c r="D10" s="70"/>
      <c r="E10" s="70"/>
      <c r="F10" s="70"/>
      <c r="G10" s="70"/>
      <c r="H10" s="70"/>
      <c r="I10" s="70"/>
      <c r="J10" s="55" t="s">
        <v>523</v>
      </c>
      <c r="K10" s="72"/>
      <c r="L10" s="73"/>
    </row>
    <row r="11" spans="1:12">
      <c r="C11" s="71" t="s">
        <v>545</v>
      </c>
      <c r="D11" s="71"/>
      <c r="E11" s="71"/>
      <c r="F11" s="71"/>
      <c r="G11" s="71"/>
      <c r="H11" s="71"/>
      <c r="I11" s="71"/>
      <c r="K11" s="57"/>
      <c r="L11" s="58"/>
    </row>
    <row r="12" spans="1:12" ht="15.75">
      <c r="A12" s="69" t="s">
        <v>526</v>
      </c>
      <c r="B12" s="69"/>
      <c r="C12" s="70"/>
      <c r="D12" s="70"/>
      <c r="E12" s="70"/>
      <c r="F12" s="70"/>
      <c r="G12" s="70"/>
      <c r="H12" s="70"/>
      <c r="I12" s="70"/>
      <c r="J12" s="55" t="s">
        <v>523</v>
      </c>
      <c r="K12" s="72"/>
      <c r="L12" s="73"/>
    </row>
    <row r="13" spans="1:12" ht="15">
      <c r="C13" s="71" t="s">
        <v>548</v>
      </c>
      <c r="D13" s="71"/>
      <c r="E13" s="71"/>
      <c r="F13" s="71"/>
      <c r="G13" s="71"/>
      <c r="H13" s="74" t="s">
        <v>549</v>
      </c>
      <c r="I13" s="74"/>
      <c r="J13" s="75"/>
      <c r="K13" s="76"/>
      <c r="L13" s="77"/>
    </row>
    <row r="14" spans="1:12" ht="15.75">
      <c r="A14" s="53"/>
      <c r="B14" s="53"/>
      <c r="C14" s="53"/>
      <c r="D14" s="53"/>
      <c r="E14" s="69" t="s">
        <v>550</v>
      </c>
      <c r="F14" s="69"/>
      <c r="G14" s="69"/>
      <c r="H14" s="69"/>
      <c r="I14" s="78" t="s">
        <v>530</v>
      </c>
      <c r="J14" s="79"/>
      <c r="K14" s="67"/>
      <c r="L14" s="68"/>
    </row>
    <row r="15" spans="1:12" ht="15.75">
      <c r="A15" s="53"/>
      <c r="B15" s="53"/>
      <c r="C15" s="53"/>
      <c r="D15" s="53"/>
      <c r="E15" s="53"/>
      <c r="F15" s="53"/>
      <c r="G15" s="53"/>
      <c r="H15" s="53"/>
      <c r="I15" s="80" t="s">
        <v>531</v>
      </c>
      <c r="J15" s="81"/>
      <c r="K15" s="82"/>
      <c r="L15" s="83"/>
    </row>
    <row r="16" spans="1:12" ht="15.75">
      <c r="A16" s="53"/>
      <c r="B16" s="53"/>
      <c r="C16" s="53"/>
      <c r="D16" s="53"/>
      <c r="E16" s="53"/>
      <c r="F16" s="53"/>
      <c r="G16" s="53"/>
      <c r="H16" s="53"/>
      <c r="I16" s="79" t="s">
        <v>551</v>
      </c>
      <c r="J16" s="79"/>
      <c r="K16" s="84"/>
      <c r="L16" s="85"/>
    </row>
    <row r="19" spans="1:12" ht="15.75">
      <c r="C19" s="86" t="s">
        <v>532</v>
      </c>
      <c r="D19" s="87"/>
      <c r="E19" s="86" t="s">
        <v>533</v>
      </c>
      <c r="F19" s="90"/>
      <c r="I19" s="86" t="s">
        <v>534</v>
      </c>
      <c r="J19" s="87"/>
      <c r="K19" s="87"/>
      <c r="L19" s="90"/>
    </row>
    <row r="20" spans="1:12" ht="15.75">
      <c r="C20" s="88"/>
      <c r="D20" s="89"/>
      <c r="E20" s="88"/>
      <c r="F20" s="91"/>
      <c r="I20" s="92" t="s">
        <v>535</v>
      </c>
      <c r="J20" s="93"/>
      <c r="K20" s="92" t="s">
        <v>536</v>
      </c>
      <c r="L20" s="94"/>
    </row>
    <row r="21" spans="1:12" ht="15.75">
      <c r="C21" s="95"/>
      <c r="D21" s="96"/>
      <c r="E21" s="97"/>
      <c r="F21" s="98"/>
      <c r="G21" s="59"/>
      <c r="H21" s="59"/>
      <c r="I21" s="97"/>
      <c r="J21" s="99"/>
      <c r="K21" s="97"/>
      <c r="L21" s="98"/>
    </row>
    <row r="24" spans="1:12" ht="18.75">
      <c r="A24" s="100" t="s">
        <v>552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</row>
    <row r="25" spans="1:12" ht="18.75">
      <c r="A25" s="100" t="s">
        <v>553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</row>
    <row r="28" spans="1:12" ht="15.75">
      <c r="A28" s="101" t="s">
        <v>554</v>
      </c>
      <c r="B28" s="101" t="s">
        <v>555</v>
      </c>
      <c r="C28" s="103"/>
      <c r="D28" s="103"/>
      <c r="E28" s="103"/>
      <c r="F28" s="101" t="s">
        <v>519</v>
      </c>
      <c r="G28" s="101" t="s">
        <v>556</v>
      </c>
      <c r="H28" s="103"/>
      <c r="I28" s="103"/>
      <c r="J28" s="103"/>
      <c r="K28" s="103"/>
      <c r="L28" s="105"/>
    </row>
    <row r="29" spans="1:12">
      <c r="A29" s="102"/>
      <c r="B29" s="102"/>
      <c r="C29" s="104"/>
      <c r="D29" s="104"/>
      <c r="E29" s="104"/>
      <c r="F29" s="102"/>
      <c r="G29" s="101" t="s">
        <v>557</v>
      </c>
      <c r="H29" s="103"/>
      <c r="I29" s="101" t="s">
        <v>558</v>
      </c>
      <c r="J29" s="103"/>
      <c r="K29" s="101" t="s">
        <v>559</v>
      </c>
      <c r="L29" s="105"/>
    </row>
    <row r="30" spans="1:12">
      <c r="A30" s="102"/>
      <c r="B30" s="102"/>
      <c r="C30" s="104"/>
      <c r="D30" s="104"/>
      <c r="E30" s="104"/>
      <c r="F30" s="102"/>
      <c r="G30" s="102"/>
      <c r="H30" s="104"/>
      <c r="I30" s="102"/>
      <c r="J30" s="104"/>
      <c r="K30" s="102"/>
      <c r="L30" s="106"/>
    </row>
    <row r="31" spans="1:12">
      <c r="A31" s="102"/>
      <c r="B31" s="102"/>
      <c r="C31" s="104"/>
      <c r="D31" s="104"/>
      <c r="E31" s="104"/>
      <c r="F31" s="102"/>
      <c r="G31" s="102"/>
      <c r="H31" s="104"/>
      <c r="I31" s="102"/>
      <c r="J31" s="104"/>
      <c r="K31" s="102"/>
      <c r="L31" s="106"/>
    </row>
    <row r="32" spans="1:12">
      <c r="A32" s="102"/>
      <c r="B32" s="102"/>
      <c r="C32" s="104"/>
      <c r="D32" s="104"/>
      <c r="E32" s="104"/>
      <c r="F32" s="102"/>
      <c r="G32" s="102"/>
      <c r="H32" s="104"/>
      <c r="I32" s="102"/>
      <c r="J32" s="104"/>
      <c r="K32" s="102"/>
      <c r="L32" s="106"/>
    </row>
    <row r="33" spans="1:12" ht="15.75">
      <c r="A33" s="54">
        <v>1</v>
      </c>
      <c r="B33" s="67">
        <v>2</v>
      </c>
      <c r="C33" s="107"/>
      <c r="D33" s="107"/>
      <c r="E33" s="107"/>
      <c r="F33" s="54">
        <v>3</v>
      </c>
      <c r="G33" s="67">
        <v>4</v>
      </c>
      <c r="H33" s="107"/>
      <c r="I33" s="67">
        <v>5</v>
      </c>
      <c r="J33" s="107"/>
      <c r="K33" s="67">
        <v>6</v>
      </c>
      <c r="L33" s="68"/>
    </row>
    <row r="34" spans="1:12" ht="15.75">
      <c r="A34" s="60"/>
      <c r="B34" s="108" t="s">
        <v>560</v>
      </c>
      <c r="C34" s="109"/>
      <c r="D34" s="109"/>
      <c r="E34" s="109"/>
      <c r="F34" s="61"/>
      <c r="G34" s="110">
        <v>99580.21</v>
      </c>
      <c r="H34" s="111"/>
      <c r="I34" s="110">
        <v>99580.21</v>
      </c>
      <c r="J34" s="111"/>
      <c r="K34" s="110">
        <v>99580.21</v>
      </c>
      <c r="L34" s="111"/>
    </row>
    <row r="35" spans="1:12" ht="15.75">
      <c r="A35" s="62"/>
      <c r="B35" s="112" t="s">
        <v>561</v>
      </c>
      <c r="C35" s="113"/>
      <c r="D35" s="113"/>
      <c r="E35" s="113"/>
      <c r="F35" s="113"/>
      <c r="G35" s="113"/>
      <c r="H35" s="113"/>
      <c r="I35" s="113"/>
      <c r="J35" s="113"/>
      <c r="K35" s="109"/>
      <c r="L35" s="114"/>
    </row>
    <row r="36" spans="1:12" ht="15.75">
      <c r="A36" s="79" t="s">
        <v>94</v>
      </c>
      <c r="B36" s="79"/>
      <c r="C36" s="79"/>
      <c r="D36" s="79"/>
      <c r="E36" s="79"/>
      <c r="F36" s="79"/>
      <c r="G36" s="79"/>
      <c r="H36" s="79"/>
      <c r="I36" s="79"/>
      <c r="J36" s="111"/>
      <c r="K36" s="110">
        <v>99580.21</v>
      </c>
      <c r="L36" s="111"/>
    </row>
    <row r="37" spans="1:12" ht="15.75">
      <c r="A37" s="115" t="s">
        <v>562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6" t="s">
        <v>569</v>
      </c>
      <c r="L37" s="117"/>
    </row>
    <row r="38" spans="1:12" ht="15.75">
      <c r="A38" s="115" t="s">
        <v>570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8">
        <v>99580.21</v>
      </c>
      <c r="L38" s="119"/>
    </row>
    <row r="42" spans="1:12" ht="15.75">
      <c r="A42" s="120" t="s">
        <v>546</v>
      </c>
      <c r="B42" s="120"/>
      <c r="C42" s="121"/>
      <c r="D42" s="121"/>
      <c r="E42" s="121"/>
      <c r="F42" s="53"/>
      <c r="G42" s="121"/>
      <c r="H42" s="121"/>
      <c r="I42" s="53"/>
      <c r="J42" s="121"/>
      <c r="K42" s="121"/>
      <c r="L42" s="121"/>
    </row>
    <row r="43" spans="1:12">
      <c r="A43" s="63"/>
      <c r="B43" s="63"/>
      <c r="C43" s="122" t="s">
        <v>563</v>
      </c>
      <c r="D43" s="122"/>
      <c r="E43" s="122"/>
      <c r="F43" s="63"/>
      <c r="G43" s="122" t="s">
        <v>564</v>
      </c>
      <c r="H43" s="122"/>
      <c r="I43" s="63"/>
      <c r="J43" s="122" t="s">
        <v>565</v>
      </c>
      <c r="K43" s="122"/>
      <c r="L43" s="122"/>
    </row>
    <row r="45" spans="1:12">
      <c r="A45" s="64" t="s">
        <v>566</v>
      </c>
    </row>
    <row r="49" spans="1:12" ht="15.75">
      <c r="A49" s="120" t="s">
        <v>547</v>
      </c>
      <c r="B49" s="120"/>
      <c r="C49" s="121"/>
      <c r="D49" s="121"/>
      <c r="E49" s="121"/>
      <c r="F49" s="53"/>
      <c r="G49" s="121"/>
      <c r="H49" s="121"/>
      <c r="I49" s="53"/>
      <c r="J49" s="121"/>
      <c r="K49" s="121"/>
      <c r="L49" s="121"/>
    </row>
    <row r="50" spans="1:12">
      <c r="A50" s="63"/>
      <c r="B50" s="63"/>
      <c r="C50" s="122" t="s">
        <v>563</v>
      </c>
      <c r="D50" s="122"/>
      <c r="E50" s="122"/>
      <c r="F50" s="63"/>
      <c r="G50" s="122" t="s">
        <v>564</v>
      </c>
      <c r="H50" s="122"/>
      <c r="I50" s="63"/>
      <c r="J50" s="122" t="s">
        <v>565</v>
      </c>
      <c r="K50" s="122"/>
      <c r="L50" s="122"/>
    </row>
    <row r="52" spans="1:12">
      <c r="A52" s="64" t="s">
        <v>566</v>
      </c>
    </row>
  </sheetData>
  <mergeCells count="79">
    <mergeCell ref="A49:B49"/>
    <mergeCell ref="C49:E49"/>
    <mergeCell ref="G49:H49"/>
    <mergeCell ref="J49:L49"/>
    <mergeCell ref="C50:E50"/>
    <mergeCell ref="G50:H50"/>
    <mergeCell ref="J50:L50"/>
    <mergeCell ref="A42:B42"/>
    <mergeCell ref="C42:E42"/>
    <mergeCell ref="G42:H42"/>
    <mergeCell ref="J42:L42"/>
    <mergeCell ref="C43:E43"/>
    <mergeCell ref="G43:H43"/>
    <mergeCell ref="J43:L43"/>
    <mergeCell ref="B35:L35"/>
    <mergeCell ref="A36:J36"/>
    <mergeCell ref="K36:L36"/>
    <mergeCell ref="A37:J37"/>
    <mergeCell ref="K37:L37"/>
    <mergeCell ref="A38:J38"/>
    <mergeCell ref="K38:L38"/>
    <mergeCell ref="B33:E33"/>
    <mergeCell ref="G33:H33"/>
    <mergeCell ref="I33:J33"/>
    <mergeCell ref="K33:L33"/>
    <mergeCell ref="B34:E34"/>
    <mergeCell ref="G34:H34"/>
    <mergeCell ref="I34:J34"/>
    <mergeCell ref="K34:L34"/>
    <mergeCell ref="A28:A32"/>
    <mergeCell ref="B28:E32"/>
    <mergeCell ref="F28:F32"/>
    <mergeCell ref="G28:L28"/>
    <mergeCell ref="G29:H32"/>
    <mergeCell ref="I29:J32"/>
    <mergeCell ref="K29:L32"/>
    <mergeCell ref="C21:D21"/>
    <mergeCell ref="E21:F21"/>
    <mergeCell ref="I21:J21"/>
    <mergeCell ref="K21:L21"/>
    <mergeCell ref="A24:L24"/>
    <mergeCell ref="A25:L25"/>
    <mergeCell ref="I15:J15"/>
    <mergeCell ref="K15:L15"/>
    <mergeCell ref="I16:J16"/>
    <mergeCell ref="K16:L16"/>
    <mergeCell ref="C19:D20"/>
    <mergeCell ref="E19:F20"/>
    <mergeCell ref="I19:L19"/>
    <mergeCell ref="I20:J20"/>
    <mergeCell ref="K20:L20"/>
    <mergeCell ref="C13:G13"/>
    <mergeCell ref="H13:J13"/>
    <mergeCell ref="K13:L13"/>
    <mergeCell ref="E14:H14"/>
    <mergeCell ref="I14:J14"/>
    <mergeCell ref="K14:L14"/>
    <mergeCell ref="C9:I9"/>
    <mergeCell ref="A10:B10"/>
    <mergeCell ref="C10:I10"/>
    <mergeCell ref="K10:L10"/>
    <mergeCell ref="C11:I11"/>
    <mergeCell ref="A12:B12"/>
    <mergeCell ref="C12:I12"/>
    <mergeCell ref="K12:L12"/>
    <mergeCell ref="A6:B6"/>
    <mergeCell ref="C6:I6"/>
    <mergeCell ref="K6:L6"/>
    <mergeCell ref="C7:I7"/>
    <mergeCell ref="A8:B8"/>
    <mergeCell ref="C8:H8"/>
    <mergeCell ref="K8:L8"/>
    <mergeCell ref="A1:D1"/>
    <mergeCell ref="H1:L1"/>
    <mergeCell ref="H2:L2"/>
    <mergeCell ref="H3:L3"/>
    <mergeCell ref="K4:L4"/>
    <mergeCell ref="I5:J5"/>
    <mergeCell ref="K5:L5"/>
  </mergeCells>
  <pageMargins left="0.22055118110236199" right="0.196850393700787" top="0.29370078740157501" bottom="0.39370078740157499" header="0.11811023622047198" footer="0.11811023622047198"/>
  <pageSetup paperSize="9" scale="80" orientation="portrait" verticalDpi="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28"/>
  <sheetViews>
    <sheetView tabSelected="1" topLeftCell="A16" zoomScale="90" zoomScaleNormal="90" workbookViewId="0">
      <selection activeCell="D31" sqref="D31:L31"/>
    </sheetView>
  </sheetViews>
  <sheetFormatPr defaultRowHeight="12.75"/>
  <cols>
    <col min="1" max="1" width="5.7109375" customWidth="1"/>
    <col min="2" max="2" width="12.140625" customWidth="1"/>
    <col min="3" max="3" width="34.7109375" customWidth="1"/>
    <col min="4" max="4" width="10.7109375" customWidth="1"/>
    <col min="6" max="6" width="10.140625" bestFit="1" customWidth="1"/>
    <col min="7" max="7" width="11.28515625" customWidth="1"/>
    <col min="8" max="8" width="10.140625" bestFit="1" customWidth="1"/>
    <col min="10" max="10" width="10.140625" customWidth="1"/>
    <col min="11" max="11" width="13.7109375" customWidth="1"/>
    <col min="12" max="12" width="10.7109375" customWidth="1"/>
    <col min="13" max="25" width="0" hidden="1" customWidth="1"/>
    <col min="30" max="30" width="89.42578125" hidden="1" customWidth="1"/>
    <col min="31" max="31" width="0" hidden="1" customWidth="1"/>
  </cols>
  <sheetData>
    <row r="1" spans="1:30">
      <c r="A1" s="153" t="str">
        <f>Source!B1</f>
        <v>Smeta.ru  (495) 974-1589</v>
      </c>
      <c r="B1" s="153"/>
      <c r="C1" s="153"/>
      <c r="D1" s="153"/>
      <c r="H1" s="154" t="s">
        <v>516</v>
      </c>
      <c r="I1" s="154"/>
      <c r="J1" s="154"/>
      <c r="K1" s="154"/>
      <c r="L1" s="154"/>
    </row>
    <row r="2" spans="1:30">
      <c r="H2" s="154" t="s">
        <v>517</v>
      </c>
      <c r="I2" s="154"/>
      <c r="J2" s="154"/>
      <c r="K2" s="154"/>
      <c r="L2" s="154"/>
    </row>
    <row r="3" spans="1:30">
      <c r="H3" s="154" t="s">
        <v>518</v>
      </c>
      <c r="I3" s="154"/>
      <c r="J3" s="154"/>
      <c r="K3" s="154"/>
      <c r="L3" s="154"/>
    </row>
    <row r="5" spans="1:30" s="13" customFormat="1" ht="15">
      <c r="K5" s="149" t="s">
        <v>519</v>
      </c>
      <c r="L5" s="150"/>
    </row>
    <row r="6" spans="1:30" s="13" customFormat="1" ht="15">
      <c r="J6" s="16" t="s">
        <v>520</v>
      </c>
      <c r="K6" s="155" t="s">
        <v>521</v>
      </c>
      <c r="L6" s="156"/>
    </row>
    <row r="7" spans="1:30" s="13" customFormat="1" ht="15">
      <c r="A7" s="126" t="s">
        <v>522</v>
      </c>
      <c r="B7" s="126"/>
      <c r="C7" s="152"/>
      <c r="D7" s="152"/>
      <c r="E7" s="152"/>
      <c r="F7" s="152"/>
      <c r="G7" s="152"/>
      <c r="H7" s="152"/>
      <c r="I7" s="152"/>
      <c r="J7" s="16" t="s">
        <v>523</v>
      </c>
      <c r="K7" s="149"/>
      <c r="L7" s="150"/>
      <c r="AD7" s="35"/>
    </row>
    <row r="8" spans="1:30" s="13" customFormat="1" ht="15">
      <c r="A8" s="126" t="s">
        <v>524</v>
      </c>
      <c r="B8" s="126"/>
      <c r="C8" s="148" t="str">
        <f>IF(Source!CG12&lt;&gt;"",Source!CG12," ")</f>
        <v xml:space="preserve"> </v>
      </c>
      <c r="D8" s="148"/>
      <c r="E8" s="148"/>
      <c r="F8" s="148"/>
      <c r="G8" s="148"/>
      <c r="H8" s="148"/>
      <c r="I8" s="148"/>
      <c r="J8" s="16" t="s">
        <v>523</v>
      </c>
      <c r="K8" s="149"/>
      <c r="L8" s="150"/>
      <c r="AD8" s="44" t="str">
        <f>IF(Source!CG12&lt;&gt;"",Source!CG12," ")</f>
        <v xml:space="preserve"> </v>
      </c>
    </row>
    <row r="9" spans="1:30" s="13" customFormat="1" ht="15">
      <c r="A9" s="126" t="s">
        <v>525</v>
      </c>
      <c r="B9" s="126"/>
      <c r="C9" s="148" t="str">
        <f>IF(Source!CH12&lt;&gt;"",Source!CH12," ")</f>
        <v xml:space="preserve"> </v>
      </c>
      <c r="D9" s="148"/>
      <c r="E9" s="148"/>
      <c r="F9" s="148"/>
      <c r="G9" s="148"/>
      <c r="H9" s="148"/>
      <c r="I9" s="148"/>
      <c r="J9" s="16" t="s">
        <v>523</v>
      </c>
      <c r="K9" s="149"/>
      <c r="L9" s="150"/>
      <c r="AD9" s="44" t="str">
        <f>IF(Source!CH12&lt;&gt;"",Source!CH12," ")</f>
        <v xml:space="preserve"> </v>
      </c>
    </row>
    <row r="10" spans="1:30" s="13" customFormat="1" ht="15">
      <c r="A10" s="126" t="s">
        <v>526</v>
      </c>
      <c r="B10" s="126"/>
      <c r="C10" s="148"/>
      <c r="D10" s="148"/>
      <c r="E10" s="148"/>
      <c r="F10" s="148"/>
      <c r="G10" s="148"/>
      <c r="H10" s="148"/>
      <c r="I10" s="148"/>
      <c r="K10" s="149"/>
      <c r="L10" s="150"/>
      <c r="AD10" s="44" t="str">
        <f>IF(Source!G4&lt;&gt;"",Source!G4,IF(Source!F4&lt;&gt;"",Source!F4,IF(Source!G5&lt;&gt;"",Source!G5,IF(Source!F5&lt;&gt;"",Source!F5,IF(Source!G6&lt;&gt;"",Source!G6,IF(Source!F6&lt;&gt;"",Source!F6,IF(Source!G12&lt;&gt;"",Source!G12, " ")))))))</f>
        <v>монтаж системы видеонаблюдения</v>
      </c>
    </row>
    <row r="11" spans="1:30" s="13" customFormat="1" ht="15">
      <c r="A11" s="126" t="s">
        <v>527</v>
      </c>
      <c r="B11" s="126"/>
      <c r="C11" s="148"/>
      <c r="D11" s="148"/>
      <c r="E11" s="148"/>
      <c r="F11" s="148"/>
      <c r="G11" s="148"/>
      <c r="H11" s="148"/>
      <c r="I11" s="148"/>
      <c r="K11" s="149"/>
      <c r="L11" s="150"/>
      <c r="AD11" s="44" t="str">
        <f>IF(Source!F12&lt;&gt;"",Source!F12,IF(Source!E12&lt;&gt;"",Source!E12," "))</f>
        <v>Новый объект</v>
      </c>
    </row>
    <row r="12" spans="1:30" s="13" customFormat="1" ht="15">
      <c r="F12" s="151" t="s">
        <v>528</v>
      </c>
      <c r="G12" s="151"/>
      <c r="H12" s="151"/>
      <c r="I12" s="151"/>
      <c r="K12" s="149"/>
      <c r="L12" s="150"/>
    </row>
    <row r="13" spans="1:30" s="13" customFormat="1" ht="15">
      <c r="F13" s="126" t="s">
        <v>529</v>
      </c>
      <c r="G13" s="126"/>
      <c r="H13" s="126"/>
      <c r="I13" s="126"/>
      <c r="J13" s="18" t="s">
        <v>530</v>
      </c>
      <c r="K13" s="149"/>
      <c r="L13" s="150"/>
    </row>
    <row r="14" spans="1:30" s="13" customFormat="1" ht="15">
      <c r="J14" s="23" t="s">
        <v>531</v>
      </c>
      <c r="K14" s="139"/>
      <c r="L14" s="140"/>
    </row>
    <row r="15" spans="1:30">
      <c r="K15" s="42"/>
      <c r="L15" s="42"/>
    </row>
    <row r="17" spans="1:30" ht="38.25" customHeight="1">
      <c r="F17" s="141" t="s">
        <v>532</v>
      </c>
      <c r="G17" s="142"/>
      <c r="H17" s="141" t="s">
        <v>533</v>
      </c>
      <c r="I17" s="146"/>
      <c r="K17" s="141" t="s">
        <v>534</v>
      </c>
      <c r="L17" s="146"/>
    </row>
    <row r="18" spans="1:30" ht="15">
      <c r="F18" s="143"/>
      <c r="G18" s="144"/>
      <c r="H18" s="143"/>
      <c r="I18" s="147"/>
      <c r="K18" s="47" t="s">
        <v>535</v>
      </c>
      <c r="L18" s="48" t="s">
        <v>536</v>
      </c>
    </row>
    <row r="19" spans="1:30" ht="15">
      <c r="F19" s="139"/>
      <c r="G19" s="145"/>
      <c r="H19" s="139"/>
      <c r="I19" s="140"/>
      <c r="J19" s="42"/>
      <c r="K19" s="45"/>
      <c r="L19" s="46"/>
    </row>
    <row r="22" spans="1:30" s="40" customFormat="1" ht="18">
      <c r="A22" s="135" t="s">
        <v>537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</row>
    <row r="24" spans="1:30" s="5" customFormat="1" ht="11.25">
      <c r="A24" s="136" t="s">
        <v>538</v>
      </c>
      <c r="B24" s="136"/>
      <c r="C24" s="136"/>
      <c r="D24" s="136"/>
      <c r="E24" s="136"/>
      <c r="F24" s="136"/>
      <c r="G24" s="136"/>
      <c r="H24" s="136"/>
      <c r="I24" s="136"/>
      <c r="J24" s="49">
        <f>IF(AND(Source!P12&lt;&gt;0,Source!Q12&lt;&gt;0),DATE(Source!P12,Source!Q12,1),IF(Source!AF12=0,"",IF(Source!AN12=0,"",DATE(Source!AF12,Source!AN12,1))))</f>
        <v>40940</v>
      </c>
      <c r="K24" s="50">
        <f>IF(AND(Source!P12&lt;&gt;0,Source!Q12&lt;&gt;0),Source!P12,IF(Source!AF12=0,"",Source!AF12))</f>
        <v>2012</v>
      </c>
      <c r="L24" s="51" t="s">
        <v>539</v>
      </c>
    </row>
    <row r="25" spans="1:30" ht="15">
      <c r="A25" s="17"/>
      <c r="B25" s="17"/>
      <c r="C25" s="17"/>
      <c r="D25" s="17"/>
      <c r="E25" s="17"/>
      <c r="F25" s="18" t="s">
        <v>480</v>
      </c>
      <c r="G25" s="18" t="s">
        <v>484</v>
      </c>
      <c r="H25" s="18" t="s">
        <v>488</v>
      </c>
      <c r="I25" s="18" t="s">
        <v>492</v>
      </c>
      <c r="J25" s="18" t="s">
        <v>496</v>
      </c>
      <c r="K25" s="18" t="s">
        <v>488</v>
      </c>
      <c r="L25" s="19" t="s">
        <v>500</v>
      </c>
    </row>
    <row r="26" spans="1:30" ht="15">
      <c r="A26" s="20" t="s">
        <v>468</v>
      </c>
      <c r="B26" s="20" t="s">
        <v>470</v>
      </c>
      <c r="C26" s="21"/>
      <c r="D26" s="20" t="s">
        <v>475</v>
      </c>
      <c r="E26" s="20" t="s">
        <v>478</v>
      </c>
      <c r="F26" s="20" t="s">
        <v>481</v>
      </c>
      <c r="G26" s="20" t="s">
        <v>485</v>
      </c>
      <c r="H26" s="20" t="s">
        <v>489</v>
      </c>
      <c r="I26" s="20" t="s">
        <v>493</v>
      </c>
      <c r="J26" s="20" t="s">
        <v>487</v>
      </c>
      <c r="K26" s="20" t="s">
        <v>497</v>
      </c>
      <c r="L26" s="22" t="s">
        <v>501</v>
      </c>
    </row>
    <row r="27" spans="1:30" ht="15">
      <c r="A27" s="20" t="s">
        <v>469</v>
      </c>
      <c r="B27" s="20" t="s">
        <v>471</v>
      </c>
      <c r="C27" s="20" t="s">
        <v>474</v>
      </c>
      <c r="D27" s="20" t="s">
        <v>476</v>
      </c>
      <c r="E27" s="20" t="s">
        <v>479</v>
      </c>
      <c r="F27" s="20" t="s">
        <v>482</v>
      </c>
      <c r="G27" s="20" t="s">
        <v>486</v>
      </c>
      <c r="H27" s="20" t="s">
        <v>490</v>
      </c>
      <c r="I27" s="20" t="s">
        <v>494</v>
      </c>
      <c r="J27" s="20" t="s">
        <v>494</v>
      </c>
      <c r="K27" s="20" t="s">
        <v>498</v>
      </c>
      <c r="L27" s="22" t="s">
        <v>502</v>
      </c>
    </row>
    <row r="28" spans="1:30" ht="15">
      <c r="A28" s="21"/>
      <c r="B28" s="20" t="s">
        <v>472</v>
      </c>
      <c r="C28" s="21"/>
      <c r="D28" s="20" t="s">
        <v>477</v>
      </c>
      <c r="E28" s="21"/>
      <c r="F28" s="20" t="s">
        <v>483</v>
      </c>
      <c r="G28" s="20" t="s">
        <v>487</v>
      </c>
      <c r="H28" s="20" t="s">
        <v>491</v>
      </c>
      <c r="I28" s="20" t="s">
        <v>495</v>
      </c>
      <c r="J28" s="20" t="s">
        <v>495</v>
      </c>
      <c r="K28" s="20" t="s">
        <v>499</v>
      </c>
      <c r="L28" s="22"/>
    </row>
    <row r="29" spans="1:30" ht="15">
      <c r="A29" s="21"/>
      <c r="B29" s="20" t="s">
        <v>473</v>
      </c>
      <c r="C29" s="21"/>
      <c r="D29" s="21"/>
      <c r="E29" s="21"/>
      <c r="F29" s="21"/>
      <c r="G29" s="20"/>
      <c r="H29" s="20"/>
      <c r="I29" s="20"/>
      <c r="J29" s="20"/>
      <c r="K29" s="20"/>
      <c r="L29" s="22"/>
    </row>
    <row r="30" spans="1:30" ht="15">
      <c r="A30" s="23">
        <v>1</v>
      </c>
      <c r="B30" s="23">
        <v>2</v>
      </c>
      <c r="C30" s="23">
        <v>3</v>
      </c>
      <c r="D30" s="23">
        <v>4</v>
      </c>
      <c r="E30" s="23">
        <v>5</v>
      </c>
      <c r="F30" s="23">
        <v>6</v>
      </c>
      <c r="G30" s="23">
        <v>7</v>
      </c>
      <c r="H30" s="23">
        <v>8</v>
      </c>
      <c r="I30" s="23">
        <v>9</v>
      </c>
      <c r="J30" s="23">
        <v>10</v>
      </c>
      <c r="K30" s="23">
        <v>11</v>
      </c>
      <c r="L30" s="24">
        <v>12</v>
      </c>
    </row>
    <row r="31" spans="1:30" ht="18">
      <c r="C31" s="25" t="s">
        <v>503</v>
      </c>
      <c r="D31" s="137" t="str">
        <f>IF(Source!C12="1", Source!F20, Source!G20)</f>
        <v xml:space="preserve">Система видеонаблюдения </v>
      </c>
      <c r="E31" s="138"/>
      <c r="F31" s="138"/>
      <c r="G31" s="138"/>
      <c r="H31" s="138"/>
      <c r="I31" s="138"/>
      <c r="J31" s="138"/>
      <c r="K31" s="138"/>
      <c r="L31" s="138"/>
      <c r="AD31" s="26" t="str">
        <f>IF(Source!C12="1", Source!F20, Source!G20)</f>
        <v xml:space="preserve">Система видеонаблюдения </v>
      </c>
    </row>
    <row r="33" spans="1:30" ht="18">
      <c r="C33" s="25" t="s">
        <v>504</v>
      </c>
      <c r="D33" s="130" t="str">
        <f>IF(Source!C12="1", Source!F24, Source!G24)</f>
        <v>1. Оборудование и материалы неучтённые ценниками</v>
      </c>
      <c r="E33" s="131"/>
      <c r="F33" s="131"/>
      <c r="G33" s="131"/>
      <c r="H33" s="131"/>
      <c r="I33" s="131"/>
      <c r="J33" s="131"/>
      <c r="K33" s="131"/>
      <c r="L33" s="131"/>
      <c r="AD33" s="27" t="str">
        <f>IF(Source!C12="1", Source!F24, Source!G24)</f>
        <v>1. Оборудование и материалы неучтённые ценниками</v>
      </c>
    </row>
    <row r="35" spans="1:30" ht="60">
      <c r="A35" s="28" t="str">
        <f>Source!E28</f>
        <v>1</v>
      </c>
      <c r="B35" s="28" t="str">
        <f>Source!F28</f>
        <v>цена поставщика</v>
      </c>
      <c r="C35" s="29" t="str">
        <f>Source!G28</f>
        <v>AI-D283   Видеорегистратор 8-и канальный цифровой Acumen цена 12 486,40/1,18/2,45</v>
      </c>
      <c r="D35" s="30" t="str">
        <f>Source!H28</f>
        <v>шт.</v>
      </c>
      <c r="E35" s="13">
        <f>ROUND(Source!I28,6)</f>
        <v>1</v>
      </c>
      <c r="F35" s="15">
        <f>IF( Source!AK28 &lt;&gt;0, Source!AK28, Source!AL28 + Source!AM28 + Source!AO28)</f>
        <v>0</v>
      </c>
      <c r="G35" s="13"/>
      <c r="H35" s="13"/>
      <c r="I35" s="31" t="str">
        <f>IF( Source!BO28 &lt;&gt;"", Source!BO28, "" )</f>
        <v/>
      </c>
      <c r="J35" s="13"/>
      <c r="K35" s="13"/>
      <c r="L35" s="13"/>
    </row>
    <row r="36" spans="1:30" ht="15">
      <c r="A36" s="33"/>
      <c r="B36" s="33"/>
      <c r="C36" s="33" t="s">
        <v>505</v>
      </c>
      <c r="D36" s="33"/>
      <c r="E36" s="33"/>
      <c r="F36" s="34">
        <f>Source!AC28</f>
        <v>4319.0590000000002</v>
      </c>
      <c r="G36" s="33"/>
      <c r="H36" s="34">
        <f>ROUND((Source!CQ28/IF(Source!BC28&lt;&gt; 0, Source!BC28,1) * Source!I28), 2)</f>
        <v>4319.0600000000004</v>
      </c>
      <c r="I36" s="33"/>
      <c r="J36" s="33">
        <f>Source!BC28</f>
        <v>2.4500000000000002</v>
      </c>
      <c r="K36" s="34">
        <f>Source!P28</f>
        <v>10581.69</v>
      </c>
      <c r="L36" s="33"/>
    </row>
    <row r="37" spans="1:30" ht="15.75">
      <c r="A37" s="13"/>
      <c r="B37" s="13"/>
      <c r="C37" s="13"/>
      <c r="D37" s="13"/>
      <c r="E37" s="13"/>
      <c r="F37" s="13"/>
      <c r="G37" s="13"/>
      <c r="H37" s="36">
        <f>ROUND((Source!CT28/IF(Source!BA28 &lt;&gt;0, Source!BA28, 1) * Source!I28), 2)+ROUND((Source!CR28 / IF(Source!BB28 &lt;&gt;0, Source!BB28, 1) * Source!I28), 2)+ H36</f>
        <v>4319.0600000000004</v>
      </c>
      <c r="I37" s="37"/>
      <c r="J37" s="37"/>
      <c r="K37" s="36">
        <f>Source!S28+Source!Q28+K36</f>
        <v>10581.69</v>
      </c>
      <c r="L37" s="36">
        <f>Source!U28</f>
        <v>0</v>
      </c>
      <c r="M37" s="32">
        <f>H37</f>
        <v>4319.0600000000004</v>
      </c>
      <c r="N37">
        <f>ROUND((Source!CT28/IF(Source!BA28&lt;&gt; 0, Source!BA28,1) * Source!I28), 2)</f>
        <v>0</v>
      </c>
      <c r="O37">
        <f>IF( Source!BI28 = 1,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P37">
        <f>IF( Source!BI28 = 2,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Q37">
        <f>IF( Source!BI28 = 3,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4319.0590000000002</v>
      </c>
      <c r="R37">
        <f>IF( Source!BI28 = 4,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S37">
        <f>IF( Source!BI28 = 1, Source!O28 + Source!X28 + Source!Y28, 0 )</f>
        <v>0</v>
      </c>
      <c r="T37">
        <f>IF( Source!BI28 = 2, Source!O28 + Source!X28 + Source!Y28, 0 )</f>
        <v>0</v>
      </c>
      <c r="U37">
        <f>IF( Source!BI28 = 3, Source!O28 + Source!X28 + Source!Y28, 0 )</f>
        <v>10581.69</v>
      </c>
      <c r="V37">
        <f>IF( Source!BI28 = 4, Source!O28 + Source!X28 + Source!Y28, 0 )</f>
        <v>0</v>
      </c>
      <c r="W37">
        <f>ROUND((Source!CS28/IF(Source!BS28&lt;&gt; 0, Source!BS28,1) * Source!I28), 2)</f>
        <v>0</v>
      </c>
    </row>
    <row r="38" spans="1:30" ht="90">
      <c r="A38" s="28" t="str">
        <f>Source!E29</f>
        <v>2</v>
      </c>
      <c r="B38" s="28" t="str">
        <f>Source!F29</f>
        <v>цена поставщика</v>
      </c>
      <c r="C38" s="29" t="str">
        <f>Source!G29</f>
        <v>MBK-8152цДВ  Уличная цветная видеокамера МВК с вариофокальным АРД-объективом, День/Ночь 550тел.,2,8-11мм  цена7624,8/1,18/2,45</v>
      </c>
      <c r="D38" s="30" t="str">
        <f>Source!H29</f>
        <v/>
      </c>
      <c r="E38" s="13">
        <f>ROUND(Source!I29,6)</f>
        <v>1</v>
      </c>
      <c r="F38" s="15">
        <f>IF( Source!AK29 &lt;&gt;0, Source!AK29, Source!AL29 + Source!AM29 + Source!AO29)</f>
        <v>0</v>
      </c>
      <c r="G38" s="13"/>
      <c r="H38" s="13"/>
      <c r="I38" s="31" t="str">
        <f>IF( Source!BO29 &lt;&gt;"", Source!BO29, "" )</f>
        <v/>
      </c>
      <c r="J38" s="13"/>
      <c r="K38" s="13"/>
      <c r="L38" s="13"/>
    </row>
    <row r="39" spans="1:30" ht="15">
      <c r="A39" s="33"/>
      <c r="B39" s="33"/>
      <c r="C39" s="33" t="s">
        <v>505</v>
      </c>
      <c r="D39" s="33"/>
      <c r="E39" s="33"/>
      <c r="F39" s="34">
        <f>Source!AC29</f>
        <v>2637.4259999999999</v>
      </c>
      <c r="G39" s="33"/>
      <c r="H39" s="34">
        <f>ROUND((Source!CQ29/IF(Source!BC29&lt;&gt; 0, Source!BC29,1) * Source!I29), 2)</f>
        <v>2637.43</v>
      </c>
      <c r="I39" s="33"/>
      <c r="J39" s="33">
        <f>Source!BC29</f>
        <v>2.4500000000000002</v>
      </c>
      <c r="K39" s="34">
        <f>Source!P29</f>
        <v>6461.69</v>
      </c>
      <c r="L39" s="33"/>
    </row>
    <row r="40" spans="1:30" ht="15.75">
      <c r="A40" s="13"/>
      <c r="B40" s="13"/>
      <c r="C40" s="13"/>
      <c r="D40" s="13"/>
      <c r="E40" s="13"/>
      <c r="F40" s="13"/>
      <c r="G40" s="13"/>
      <c r="H40" s="36">
        <f>ROUND((Source!CT29/IF(Source!BA29 &lt;&gt;0, Source!BA29, 1) * Source!I29), 2)+ROUND((Source!CR29 / IF(Source!BB29 &lt;&gt;0, Source!BB29, 1) * Source!I29), 2)+ H39</f>
        <v>2637.43</v>
      </c>
      <c r="I40" s="37"/>
      <c r="J40" s="37"/>
      <c r="K40" s="36">
        <f>Source!S29+Source!Q29+K39</f>
        <v>6461.69</v>
      </c>
      <c r="L40" s="36">
        <f>Source!U29</f>
        <v>0</v>
      </c>
      <c r="M40" s="32">
        <f>H40</f>
        <v>2637.43</v>
      </c>
      <c r="N40">
        <f>ROUND((Source!CT29/IF(Source!BA29&lt;&gt; 0, Source!BA29,1) * Source!I29), 2)</f>
        <v>0</v>
      </c>
      <c r="O40">
        <f>IF( Source!BI29 = 1,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P40">
        <f>IF( Source!BI29 = 2,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Q40">
        <f>IF( Source!BI29 = 3,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2637.4259999999999</v>
      </c>
      <c r="R40">
        <f>IF( Source!BI29 = 4,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S40">
        <f>IF( Source!BI29 = 1, Source!O29 + Source!X29 + Source!Y29, 0 )</f>
        <v>0</v>
      </c>
      <c r="T40">
        <f>IF( Source!BI29 = 2, Source!O29 + Source!X29 + Source!Y29, 0 )</f>
        <v>0</v>
      </c>
      <c r="U40">
        <f>IF( Source!BI29 = 3, Source!O29 + Source!X29 + Source!Y29, 0 )</f>
        <v>6461.69</v>
      </c>
      <c r="V40">
        <f>IF( Source!BI29 = 4, Source!O29 + Source!X29 + Source!Y29, 0 )</f>
        <v>0</v>
      </c>
      <c r="W40">
        <f>ROUND((Source!CS29/IF(Source!BS29&lt;&gt; 0, Source!BS29,1) * Source!I29), 2)</f>
        <v>0</v>
      </c>
    </row>
    <row r="41" spans="1:30" ht="75">
      <c r="A41" s="28" t="str">
        <f>Source!E30</f>
        <v>3</v>
      </c>
      <c r="B41" s="28" t="str">
        <f>Source!F30</f>
        <v>цена поставщика</v>
      </c>
      <c r="C41" s="29" t="str">
        <f>Source!G30</f>
        <v>AI-DC55  Камера купольная Acumen квариофокальная цветная 480твл, 0,15Люкс 13,8мм-9,5мм цена 4892,4/1,18/2,45</v>
      </c>
      <c r="D41" s="30" t="str">
        <f>Source!H30</f>
        <v>шт.</v>
      </c>
      <c r="E41" s="13">
        <f>ROUND(Source!I30,6)</f>
        <v>3</v>
      </c>
      <c r="F41" s="15">
        <f>IF( Source!AK30 &lt;&gt;0, Source!AK30, Source!AL30 + Source!AM30 + Source!AO30)</f>
        <v>0</v>
      </c>
      <c r="G41" s="13"/>
      <c r="H41" s="13"/>
      <c r="I41" s="31" t="str">
        <f>IF( Source!BO30 &lt;&gt;"", Source!BO30, "" )</f>
        <v/>
      </c>
      <c r="J41" s="13"/>
      <c r="K41" s="13"/>
      <c r="L41" s="13"/>
    </row>
    <row r="42" spans="1:30" ht="15">
      <c r="A42" s="33"/>
      <c r="B42" s="33"/>
      <c r="C42" s="33" t="s">
        <v>505</v>
      </c>
      <c r="D42" s="33"/>
      <c r="E42" s="33"/>
      <c r="F42" s="34">
        <f>Source!AC30</f>
        <v>1692.2860000000001</v>
      </c>
      <c r="G42" s="33"/>
      <c r="H42" s="34">
        <f>ROUND((Source!CQ30/IF(Source!BC30&lt;&gt; 0, Source!BC30,1) * Source!I30), 2)</f>
        <v>5076.8599999999997</v>
      </c>
      <c r="I42" s="33"/>
      <c r="J42" s="33">
        <f>Source!BC30</f>
        <v>2.4500000000000002</v>
      </c>
      <c r="K42" s="34">
        <f>Source!P30</f>
        <v>12438.3</v>
      </c>
      <c r="L42" s="33"/>
    </row>
    <row r="43" spans="1:30" ht="15.75">
      <c r="A43" s="13"/>
      <c r="B43" s="13"/>
      <c r="C43" s="13"/>
      <c r="D43" s="13"/>
      <c r="E43" s="13"/>
      <c r="F43" s="13"/>
      <c r="G43" s="13"/>
      <c r="H43" s="36">
        <f>ROUND((Source!CT30/IF(Source!BA30 &lt;&gt;0, Source!BA30, 1) * Source!I30), 2)+ROUND((Source!CR30 / IF(Source!BB30 &lt;&gt;0, Source!BB30, 1) * Source!I30), 2)+ H42</f>
        <v>5076.8599999999997</v>
      </c>
      <c r="I43" s="37"/>
      <c r="J43" s="37"/>
      <c r="K43" s="36">
        <f>Source!S30+Source!Q30+K42</f>
        <v>12438.3</v>
      </c>
      <c r="L43" s="36">
        <f>Source!U30</f>
        <v>0</v>
      </c>
      <c r="M43" s="32">
        <f>H43</f>
        <v>5076.8599999999997</v>
      </c>
      <c r="N43">
        <f>ROUND((Source!CT30/IF(Source!BA30&lt;&gt; 0, Source!BA30,1) * Source!I30), 2)</f>
        <v>0</v>
      </c>
      <c r="O43">
        <f>IF( Source!BI30 = 1,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P43">
        <f>IF( Source!BI30 = 2,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Q43">
        <f>IF( Source!BI30 = 3,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5076.8580000000011</v>
      </c>
      <c r="R43">
        <f>IF( Source!BI30 = 4,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S43">
        <f>IF( Source!BI30 = 1, Source!O30 + Source!X30 + Source!Y30, 0 )</f>
        <v>0</v>
      </c>
      <c r="T43">
        <f>IF( Source!BI30 = 2, Source!O30 + Source!X30 + Source!Y30, 0 )</f>
        <v>0</v>
      </c>
      <c r="U43">
        <f>IF( Source!BI30 = 3, Source!O30 + Source!X30 + Source!Y30, 0 )</f>
        <v>12438.3</v>
      </c>
      <c r="V43">
        <f>IF( Source!BI30 = 4, Source!O30 + Source!X30 + Source!Y30, 0 )</f>
        <v>0</v>
      </c>
      <c r="W43">
        <f>ROUND((Source!CS30/IF(Source!BS30&lt;&gt; 0, Source!BS30,1) * Source!I30), 2)</f>
        <v>0</v>
      </c>
    </row>
    <row r="44" spans="1:30" ht="60">
      <c r="A44" s="28" t="str">
        <f>Source!E31</f>
        <v>4</v>
      </c>
      <c r="B44" s="28" t="str">
        <f>Source!F31</f>
        <v>цена поставщика</v>
      </c>
      <c r="C44" s="29" t="str">
        <f>Source!G31</f>
        <v>G951A  Монитор 19" TFT Benq, 1440*900, 5ms, 250cd/m2, 1000:1, DCR 50,000:1, D-sub  цена 4418,4/1,18/2,45</v>
      </c>
      <c r="D44" s="30" t="str">
        <f>Source!H31</f>
        <v>шт.</v>
      </c>
      <c r="E44" s="13">
        <f>ROUND(Source!I31,6)</f>
        <v>1</v>
      </c>
      <c r="F44" s="15">
        <f>IF( Source!AK31 &lt;&gt;0, Source!AK31, Source!AL31 + Source!AM31 + Source!AO31)</f>
        <v>0</v>
      </c>
      <c r="G44" s="13"/>
      <c r="H44" s="13"/>
      <c r="I44" s="31" t="str">
        <f>IF( Source!BO31 &lt;&gt;"", Source!BO31, "" )</f>
        <v/>
      </c>
      <c r="J44" s="13"/>
      <c r="K44" s="13"/>
      <c r="L44" s="13"/>
    </row>
    <row r="45" spans="1:30" ht="15">
      <c r="A45" s="33"/>
      <c r="B45" s="33"/>
      <c r="C45" s="33" t="s">
        <v>505</v>
      </c>
      <c r="D45" s="33"/>
      <c r="E45" s="33"/>
      <c r="F45" s="34">
        <f>Source!AC31</f>
        <v>1528.329</v>
      </c>
      <c r="G45" s="33"/>
      <c r="H45" s="34">
        <f>ROUND((Source!CQ31/IF(Source!BC31&lt;&gt; 0, Source!BC31,1) * Source!I31), 2)</f>
        <v>1528.33</v>
      </c>
      <c r="I45" s="33"/>
      <c r="J45" s="33">
        <f>Source!BC31</f>
        <v>2.4500000000000002</v>
      </c>
      <c r="K45" s="34">
        <f>Source!P31</f>
        <v>3744.41</v>
      </c>
      <c r="L45" s="33"/>
    </row>
    <row r="46" spans="1:30" ht="15.75">
      <c r="A46" s="13"/>
      <c r="B46" s="13"/>
      <c r="C46" s="13"/>
      <c r="D46" s="13"/>
      <c r="E46" s="13"/>
      <c r="F46" s="13"/>
      <c r="G46" s="13"/>
      <c r="H46" s="36">
        <f>ROUND((Source!CT31/IF(Source!BA31 &lt;&gt;0, Source!BA31, 1) * Source!I31), 2)+ROUND((Source!CR31 / IF(Source!BB31 &lt;&gt;0, Source!BB31, 1) * Source!I31), 2)+ H45</f>
        <v>1528.33</v>
      </c>
      <c r="I46" s="37"/>
      <c r="J46" s="37"/>
      <c r="K46" s="36">
        <f>Source!S31+Source!Q31+K45</f>
        <v>3744.41</v>
      </c>
      <c r="L46" s="36">
        <f>Source!U31</f>
        <v>0</v>
      </c>
      <c r="M46" s="32">
        <f>H46</f>
        <v>1528.33</v>
      </c>
      <c r="N46">
        <f>ROUND((Source!CT31/IF(Source!BA31&lt;&gt; 0, Source!BA31,1) * Source!I31), 2)</f>
        <v>0</v>
      </c>
      <c r="O46">
        <f>IF( Source!BI31 = 1,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P46">
        <f>IF( Source!BI31 = 2,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Q46">
        <f>IF( Source!BI31 = 3,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1528.329</v>
      </c>
      <c r="R46">
        <f>IF( Source!BI31 = 4,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S46">
        <f>IF( Source!BI31 = 1, Source!O31 + Source!X31 + Source!Y31, 0 )</f>
        <v>0</v>
      </c>
      <c r="T46">
        <f>IF( Source!BI31 = 2, Source!O31 + Source!X31 + Source!Y31, 0 )</f>
        <v>0</v>
      </c>
      <c r="U46">
        <f>IF( Source!BI31 = 3, Source!O31 + Source!X31 + Source!Y31, 0 )</f>
        <v>3744.41</v>
      </c>
      <c r="V46">
        <f>IF( Source!BI31 = 4, Source!O31 + Source!X31 + Source!Y31, 0 )</f>
        <v>0</v>
      </c>
      <c r="W46">
        <f>ROUND((Source!CS31/IF(Source!BS31&lt;&gt; 0, Source!BS31,1) * Source!I31), 2)</f>
        <v>0</v>
      </c>
    </row>
    <row r="47" spans="1:30" ht="60">
      <c r="A47" s="28" t="str">
        <f>Source!E32</f>
        <v>5</v>
      </c>
      <c r="B47" s="28" t="str">
        <f>Source!F32</f>
        <v>цена поставщика</v>
      </c>
      <c r="C47" s="29" t="str">
        <f>Source!G32</f>
        <v>ST2000DM001   Жёсткий диск 2Tb Seagate SATA-III  Barracuda 7200rpm, 64Mb  цена 4681,2/1,18/2,45</v>
      </c>
      <c r="D47" s="30" t="str">
        <f>Source!H32</f>
        <v>шт.</v>
      </c>
      <c r="E47" s="13">
        <f>ROUND(Source!I32,6)</f>
        <v>1</v>
      </c>
      <c r="F47" s="15">
        <f>IF( Source!AK32 &lt;&gt;0, Source!AK32, Source!AL32 + Source!AM32 + Source!AO32)</f>
        <v>0</v>
      </c>
      <c r="G47" s="13"/>
      <c r="H47" s="13"/>
      <c r="I47" s="31" t="str">
        <f>IF( Source!BO32 &lt;&gt;"", Source!BO32, "" )</f>
        <v/>
      </c>
      <c r="J47" s="13"/>
      <c r="K47" s="13"/>
      <c r="L47" s="13"/>
    </row>
    <row r="48" spans="1:30" ht="15">
      <c r="A48" s="33"/>
      <c r="B48" s="33"/>
      <c r="C48" s="33" t="s">
        <v>505</v>
      </c>
      <c r="D48" s="33"/>
      <c r="E48" s="33"/>
      <c r="F48" s="34">
        <f>Source!AC32</f>
        <v>1619.232</v>
      </c>
      <c r="G48" s="33"/>
      <c r="H48" s="34">
        <f>ROUND((Source!CQ32/IF(Source!BC32&lt;&gt; 0, Source!BC32,1) * Source!I32), 2)</f>
        <v>1619.23</v>
      </c>
      <c r="I48" s="33"/>
      <c r="J48" s="33">
        <f>Source!BC32</f>
        <v>2.4500000000000002</v>
      </c>
      <c r="K48" s="34">
        <f>Source!P32</f>
        <v>3967.12</v>
      </c>
      <c r="L48" s="33"/>
    </row>
    <row r="49" spans="1:23" ht="15.75">
      <c r="A49" s="13"/>
      <c r="B49" s="13"/>
      <c r="C49" s="13"/>
      <c r="D49" s="13"/>
      <c r="E49" s="13"/>
      <c r="F49" s="13"/>
      <c r="G49" s="13"/>
      <c r="H49" s="36">
        <f>ROUND((Source!CT32/IF(Source!BA32 &lt;&gt;0, Source!BA32, 1) * Source!I32), 2)+ROUND((Source!CR32 / IF(Source!BB32 &lt;&gt;0, Source!BB32, 1) * Source!I32), 2)+ H48</f>
        <v>1619.23</v>
      </c>
      <c r="I49" s="37"/>
      <c r="J49" s="37"/>
      <c r="K49" s="36">
        <f>Source!S32+Source!Q32+K48</f>
        <v>3967.12</v>
      </c>
      <c r="L49" s="36">
        <f>Source!U32</f>
        <v>0</v>
      </c>
      <c r="M49" s="32">
        <f>H49</f>
        <v>1619.23</v>
      </c>
      <c r="N49">
        <f>ROUND((Source!CT32/IF(Source!BA32&lt;&gt; 0, Source!BA32,1) * Source!I32), 2)</f>
        <v>0</v>
      </c>
      <c r="O49">
        <f>IF( Source!BI32 = 1,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P49">
        <f>IF( Source!BI32 = 2,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Q49">
        <f>IF( Source!BI32 = 3,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1619.232</v>
      </c>
      <c r="R49">
        <f>IF( Source!BI32 = 4,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S49">
        <f>IF( Source!BI32 = 1, Source!O32 + Source!X32 + Source!Y32, 0 )</f>
        <v>0</v>
      </c>
      <c r="T49">
        <f>IF( Source!BI32 = 2, Source!O32 + Source!X32 + Source!Y32, 0 )</f>
        <v>0</v>
      </c>
      <c r="U49">
        <f>IF( Source!BI32 = 3, Source!O32 + Source!X32 + Source!Y32, 0 )</f>
        <v>3967.12</v>
      </c>
      <c r="V49">
        <f>IF( Source!BI32 = 4, Source!O32 + Source!X32 + Source!Y32, 0 )</f>
        <v>0</v>
      </c>
      <c r="W49">
        <f>ROUND((Source!CS32/IF(Source!BS32&lt;&gt; 0, Source!BS32,1) * Source!I32), 2)</f>
        <v>0</v>
      </c>
    </row>
    <row r="50" spans="1:23" ht="60">
      <c r="A50" s="28" t="str">
        <f>Source!E33</f>
        <v>6</v>
      </c>
      <c r="B50" s="28" t="str">
        <f>Source!F33</f>
        <v>цена поставщика</v>
      </c>
      <c r="C50" s="29" t="str">
        <f>Source!G33</f>
        <v>СКАТ Источник бесперебойного питания СКАТ-1200И7 (ГОСТ Р53325-2009) 12В,4А  цена 3735,36/1,18/2,78</v>
      </c>
      <c r="D50" s="30" t="str">
        <f>Source!H33</f>
        <v>шт.</v>
      </c>
      <c r="E50" s="13">
        <f>ROUND(Source!I33,6)</f>
        <v>1</v>
      </c>
      <c r="F50" s="15">
        <f>IF( Source!AK33 &lt;&gt;0, Source!AK33, Source!AL33 + Source!AM33 + Source!AO33)</f>
        <v>0</v>
      </c>
      <c r="G50" s="13"/>
      <c r="H50" s="13"/>
      <c r="I50" s="31" t="str">
        <f>IF( Source!BO33 &lt;&gt;"", Source!BO33, "" )</f>
        <v/>
      </c>
      <c r="J50" s="13"/>
      <c r="K50" s="13"/>
      <c r="L50" s="13"/>
    </row>
    <row r="51" spans="1:23" ht="15">
      <c r="A51" s="33"/>
      <c r="B51" s="33"/>
      <c r="C51" s="33" t="s">
        <v>505</v>
      </c>
      <c r="D51" s="33"/>
      <c r="E51" s="33"/>
      <c r="F51" s="34">
        <f>Source!AC33</f>
        <v>1138.69</v>
      </c>
      <c r="G51" s="33"/>
      <c r="H51" s="34">
        <f>ROUND((Source!CQ33/IF(Source!BC33&lt;&gt; 0, Source!BC33,1) * Source!I33), 2)</f>
        <v>1138.69</v>
      </c>
      <c r="I51" s="33"/>
      <c r="J51" s="33">
        <f>Source!BC33</f>
        <v>2.78</v>
      </c>
      <c r="K51" s="34">
        <f>Source!P33</f>
        <v>3165.56</v>
      </c>
      <c r="L51" s="33"/>
    </row>
    <row r="52" spans="1:23" ht="15.75">
      <c r="A52" s="13"/>
      <c r="B52" s="13"/>
      <c r="C52" s="13"/>
      <c r="D52" s="13"/>
      <c r="E52" s="13"/>
      <c r="F52" s="13"/>
      <c r="G52" s="13"/>
      <c r="H52" s="36">
        <f>ROUND((Source!CT33/IF(Source!BA33 &lt;&gt;0, Source!BA33, 1) * Source!I33), 2)+ROUND((Source!CR33 / IF(Source!BB33 &lt;&gt;0, Source!BB33, 1) * Source!I33), 2)+ H51</f>
        <v>1138.69</v>
      </c>
      <c r="I52" s="37"/>
      <c r="J52" s="37"/>
      <c r="K52" s="36">
        <f>Source!S33+Source!Q33+K51</f>
        <v>3165.56</v>
      </c>
      <c r="L52" s="36">
        <f>Source!U33</f>
        <v>0</v>
      </c>
      <c r="M52" s="32">
        <f>H52</f>
        <v>1138.69</v>
      </c>
      <c r="N52">
        <f>ROUND((Source!CT33/IF(Source!BA33&lt;&gt; 0, Source!BA33,1) * Source!I33), 2)</f>
        <v>0</v>
      </c>
      <c r="O52">
        <f>IF( Source!BI33 = 1,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P52">
        <f>IF( Source!BI33 = 2,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Q52">
        <f>IF( Source!BI33 = 3,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1138.69</v>
      </c>
      <c r="R52">
        <f>IF( Source!BI33 = 4,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S52">
        <f>IF( Source!BI33 = 1, Source!O33 + Source!X33 + Source!Y33, 0 )</f>
        <v>0</v>
      </c>
      <c r="T52">
        <f>IF( Source!BI33 = 2, Source!O33 + Source!X33 + Source!Y33, 0 )</f>
        <v>0</v>
      </c>
      <c r="U52">
        <f>IF( Source!BI33 = 3, Source!O33 + Source!X33 + Source!Y33, 0 )</f>
        <v>3165.56</v>
      </c>
      <c r="V52">
        <f>IF( Source!BI33 = 4, Source!O33 + Source!X33 + Source!Y33, 0 )</f>
        <v>0</v>
      </c>
      <c r="W52">
        <f>ROUND((Source!CS33/IF(Source!BS33&lt;&gt; 0, Source!BS33,1) * Source!I33), 2)</f>
        <v>0</v>
      </c>
    </row>
    <row r="53" spans="1:23" ht="45">
      <c r="A53" s="28" t="str">
        <f>Source!E34</f>
        <v>7</v>
      </c>
      <c r="B53" s="28" t="str">
        <f>Source!F34</f>
        <v>цена поставщика</v>
      </c>
      <c r="C53" s="29" t="str">
        <f>Source!G34</f>
        <v>АКБ-12   Аккумулятор 12А/ч  цена 1032,00/1,18/2,78</v>
      </c>
      <c r="D53" s="30" t="str">
        <f>Source!H34</f>
        <v>шт.</v>
      </c>
      <c r="E53" s="13">
        <f>ROUND(Source!I34,6)</f>
        <v>1</v>
      </c>
      <c r="F53" s="15">
        <f>IF( Source!AK34 &lt;&gt;0, Source!AK34, Source!AL34 + Source!AM34 + Source!AO34)</f>
        <v>0</v>
      </c>
      <c r="G53" s="13"/>
      <c r="H53" s="13"/>
      <c r="I53" s="31" t="str">
        <f>IF( Source!BO34 &lt;&gt;"", Source!BO34, "" )</f>
        <v/>
      </c>
      <c r="J53" s="13"/>
      <c r="K53" s="13"/>
      <c r="L53" s="13"/>
    </row>
    <row r="54" spans="1:23" ht="15">
      <c r="A54" s="33"/>
      <c r="B54" s="33"/>
      <c r="C54" s="33" t="s">
        <v>505</v>
      </c>
      <c r="D54" s="33"/>
      <c r="E54" s="33"/>
      <c r="F54" s="34">
        <f>Source!AC34</f>
        <v>314.596</v>
      </c>
      <c r="G54" s="33"/>
      <c r="H54" s="34">
        <f>ROUND((Source!CQ34/IF(Source!BC34&lt;&gt; 0, Source!BC34,1) * Source!I34), 2)</f>
        <v>314.60000000000002</v>
      </c>
      <c r="I54" s="33"/>
      <c r="J54" s="33">
        <f>Source!BC34</f>
        <v>2.78</v>
      </c>
      <c r="K54" s="34">
        <f>Source!P34</f>
        <v>874.58</v>
      </c>
      <c r="L54" s="33"/>
    </row>
    <row r="55" spans="1:23" ht="15.75">
      <c r="A55" s="13"/>
      <c r="B55" s="13"/>
      <c r="C55" s="13"/>
      <c r="D55" s="13"/>
      <c r="E55" s="13"/>
      <c r="F55" s="13"/>
      <c r="G55" s="13"/>
      <c r="H55" s="36">
        <f>ROUND((Source!CT34/IF(Source!BA34 &lt;&gt;0, Source!BA34, 1) * Source!I34), 2)+ROUND((Source!CR34 / IF(Source!BB34 &lt;&gt;0, Source!BB34, 1) * Source!I34), 2)+ H54</f>
        <v>314.60000000000002</v>
      </c>
      <c r="I55" s="37"/>
      <c r="J55" s="37"/>
      <c r="K55" s="36">
        <f>Source!S34+Source!Q34+K54</f>
        <v>874.58</v>
      </c>
      <c r="L55" s="36">
        <f>Source!U34</f>
        <v>0</v>
      </c>
      <c r="M55" s="32">
        <f>H55</f>
        <v>314.60000000000002</v>
      </c>
      <c r="N55">
        <f>ROUND((Source!CT34/IF(Source!BA34&lt;&gt; 0, Source!BA34,1) * Source!I34), 2)</f>
        <v>0</v>
      </c>
      <c r="O55">
        <f>IF( Source!BI34 = 1,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P55">
        <f>IF( Source!BI34 = 2,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Q55">
        <f>IF( Source!BI34 = 3,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314.596</v>
      </c>
      <c r="R55">
        <f>IF( Source!BI34 = 4,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S55">
        <f>IF( Source!BI34 = 1, Source!O34 + Source!X34 + Source!Y34, 0 )</f>
        <v>0</v>
      </c>
      <c r="T55">
        <f>IF( Source!BI34 = 2, Source!O34 + Source!X34 + Source!Y34, 0 )</f>
        <v>0</v>
      </c>
      <c r="U55">
        <f>IF( Source!BI34 = 3, Source!O34 + Source!X34 + Source!Y34, 0 )</f>
        <v>874.58</v>
      </c>
      <c r="V55">
        <f>IF( Source!BI34 = 4, Source!O34 + Source!X34 + Source!Y34, 0 )</f>
        <v>0</v>
      </c>
      <c r="W55">
        <f>ROUND((Source!CS34/IF(Source!BS34&lt;&gt; 0, Source!BS34,1) * Source!I34), 2)</f>
        <v>0</v>
      </c>
    </row>
    <row r="56" spans="1:23" ht="45">
      <c r="A56" s="28" t="str">
        <f>Source!E35</f>
        <v>8</v>
      </c>
      <c r="B56" s="28" t="str">
        <f>Source!F35</f>
        <v>цена поставщика</v>
      </c>
      <c r="C56" s="29" t="str">
        <f>Source!G35</f>
        <v>910-001246   Мышь Logitech Optical B 110 USB OEM цена 199,2/1,18/2,45</v>
      </c>
      <c r="D56" s="30" t="str">
        <f>Source!H35</f>
        <v>шт.</v>
      </c>
      <c r="E56" s="13">
        <f>ROUND(Source!I35,6)</f>
        <v>1</v>
      </c>
      <c r="F56" s="15">
        <f>IF( Source!AK35 &lt;&gt;0, Source!AK35, Source!AL35 + Source!AM35 + Source!AO35)</f>
        <v>0</v>
      </c>
      <c r="G56" s="13"/>
      <c r="H56" s="13"/>
      <c r="I56" s="31" t="str">
        <f>IF( Source!BO35 &lt;&gt;"", Source!BO35, "" )</f>
        <v/>
      </c>
      <c r="J56" s="13"/>
      <c r="K56" s="13"/>
      <c r="L56" s="13"/>
    </row>
    <row r="57" spans="1:23" ht="15">
      <c r="A57" s="33"/>
      <c r="B57" s="33"/>
      <c r="C57" s="33" t="s">
        <v>505</v>
      </c>
      <c r="D57" s="33"/>
      <c r="E57" s="33"/>
      <c r="F57" s="34">
        <f>Source!AC35</f>
        <v>68.903000000000006</v>
      </c>
      <c r="G57" s="33"/>
      <c r="H57" s="34">
        <f>ROUND((Source!CQ35/IF(Source!BC35&lt;&gt; 0, Source!BC35,1) * Source!I35), 2)</f>
        <v>68.900000000000006</v>
      </c>
      <c r="I57" s="33"/>
      <c r="J57" s="33">
        <f>Source!BC35</f>
        <v>2.4500000000000002</v>
      </c>
      <c r="K57" s="34">
        <f>Source!P35</f>
        <v>168.81</v>
      </c>
      <c r="L57" s="33"/>
    </row>
    <row r="58" spans="1:23" ht="15.75">
      <c r="A58" s="13"/>
      <c r="B58" s="13"/>
      <c r="C58" s="13"/>
      <c r="D58" s="13"/>
      <c r="E58" s="13"/>
      <c r="F58" s="13"/>
      <c r="G58" s="13"/>
      <c r="H58" s="36">
        <f>ROUND((Source!CT35/IF(Source!BA35 &lt;&gt;0, Source!BA35, 1) * Source!I35), 2)+ROUND((Source!CR35 / IF(Source!BB35 &lt;&gt;0, Source!BB35, 1) * Source!I35), 2)+ H57</f>
        <v>68.900000000000006</v>
      </c>
      <c r="I58" s="37"/>
      <c r="J58" s="37"/>
      <c r="K58" s="36">
        <f>Source!S35+Source!Q35+K57</f>
        <v>168.81</v>
      </c>
      <c r="L58" s="36">
        <f>Source!U35</f>
        <v>0</v>
      </c>
      <c r="M58" s="32">
        <f>H58</f>
        <v>68.900000000000006</v>
      </c>
      <c r="N58">
        <f>ROUND((Source!CT35/IF(Source!BA35&lt;&gt; 0, Source!BA35,1) * Source!I35), 2)</f>
        <v>0</v>
      </c>
      <c r="O58">
        <f>IF( Source!BI35 = 1,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P58">
        <f>IF( Source!BI35 = 2,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Q58">
        <f>IF( Source!BI35 = 3,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68.903000000000006</v>
      </c>
      <c r="R58">
        <f>IF( Source!BI35 = 4,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S58">
        <f>IF( Source!BI35 = 1, Source!O35 + Source!X35 + Source!Y35, 0 )</f>
        <v>0</v>
      </c>
      <c r="T58">
        <f>IF( Source!BI35 = 2, Source!O35 + Source!X35 + Source!Y35, 0 )</f>
        <v>0</v>
      </c>
      <c r="U58">
        <f>IF( Source!BI35 = 3, Source!O35 + Source!X35 + Source!Y35, 0 )</f>
        <v>168.81</v>
      </c>
      <c r="V58">
        <f>IF( Source!BI35 = 4, Source!O35 + Source!X35 + Source!Y35, 0 )</f>
        <v>0</v>
      </c>
      <c r="W58">
        <f>ROUND((Source!CS35/IF(Source!BS35&lt;&gt; 0, Source!BS35,1) * Source!I35), 2)</f>
        <v>0</v>
      </c>
    </row>
    <row r="59" spans="1:23" ht="75">
      <c r="A59" s="28" t="str">
        <f>Source!E36</f>
        <v>9</v>
      </c>
      <c r="B59" s="28" t="str">
        <f>Source!F36</f>
        <v>цена поставщика</v>
      </c>
      <c r="C59" s="29" t="str">
        <f>Source!G36</f>
        <v>Кабель КВК 2П 2*0,75 (белый) высокочастотный комбинированный для систем видеонаблюдения  цена 30,24/1,18/3,53</v>
      </c>
      <c r="D59" s="30" t="str">
        <f>Source!H36</f>
        <v>м</v>
      </c>
      <c r="E59" s="13">
        <f>ROUND(Source!I36,6)</f>
        <v>100</v>
      </c>
      <c r="F59" s="15">
        <f>IF( Source!AK36 &lt;&gt;0, Source!AK36, Source!AL36 + Source!AM36 + Source!AO36)</f>
        <v>0</v>
      </c>
      <c r="G59" s="13"/>
      <c r="H59" s="13"/>
      <c r="I59" s="31" t="str">
        <f>IF( Source!BO36 &lt;&gt;"", Source!BO36, "" )</f>
        <v/>
      </c>
      <c r="J59" s="13"/>
      <c r="K59" s="13"/>
      <c r="L59" s="13"/>
    </row>
    <row r="60" spans="1:23" ht="15">
      <c r="A60" s="33"/>
      <c r="B60" s="33"/>
      <c r="C60" s="33" t="s">
        <v>505</v>
      </c>
      <c r="D60" s="33"/>
      <c r="E60" s="33"/>
      <c r="F60" s="34">
        <f>Source!AC36</f>
        <v>25.626999999999999</v>
      </c>
      <c r="G60" s="33"/>
      <c r="H60" s="34">
        <f>ROUND((Source!CQ36/IF(Source!BC36&lt;&gt; 0, Source!BC36,1) * Source!I36), 2)</f>
        <v>2562.6999999999998</v>
      </c>
      <c r="I60" s="33"/>
      <c r="J60" s="33">
        <f>Source!BC36</f>
        <v>3.53</v>
      </c>
      <c r="K60" s="34">
        <f>Source!P36</f>
        <v>9046.33</v>
      </c>
      <c r="L60" s="33"/>
    </row>
    <row r="61" spans="1:23" ht="15.75">
      <c r="A61" s="13"/>
      <c r="B61" s="13"/>
      <c r="C61" s="13"/>
      <c r="D61" s="13"/>
      <c r="E61" s="13"/>
      <c r="F61" s="13"/>
      <c r="G61" s="13"/>
      <c r="H61" s="36">
        <f>ROUND((Source!CT36/IF(Source!BA36 &lt;&gt;0, Source!BA36, 1) * Source!I36), 2)+ROUND((Source!CR36 / IF(Source!BB36 &lt;&gt;0, Source!BB36, 1) * Source!I36), 2)+ H60</f>
        <v>2562.6999999999998</v>
      </c>
      <c r="I61" s="37"/>
      <c r="J61" s="37"/>
      <c r="K61" s="36">
        <f>Source!S36+Source!Q36+K60</f>
        <v>9046.33</v>
      </c>
      <c r="L61" s="36">
        <f>Source!U36</f>
        <v>0</v>
      </c>
      <c r="M61" s="32">
        <f>H61</f>
        <v>2562.6999999999998</v>
      </c>
      <c r="N61">
        <f>ROUND((Source!CT36/IF(Source!BA36&lt;&gt; 0, Source!BA36,1) * Source!I36), 2)</f>
        <v>0</v>
      </c>
      <c r="O61">
        <f>IF( Source!BI36 = 1,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P61">
        <f>IF( Source!BI36 = 2,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Q61">
        <f>IF( Source!BI36 = 3,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R61">
        <f>IF( Source!BI36 = 4,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2562.6999999999998</v>
      </c>
      <c r="S61">
        <f>IF( Source!BI36 = 1, Source!O36 + Source!X36 + Source!Y36, 0 )</f>
        <v>0</v>
      </c>
      <c r="T61">
        <f>IF( Source!BI36 = 2, Source!O36 + Source!X36 + Source!Y36, 0 )</f>
        <v>0</v>
      </c>
      <c r="U61">
        <f>IF( Source!BI36 = 3, Source!O36 + Source!X36 + Source!Y36, 0 )</f>
        <v>0</v>
      </c>
      <c r="V61">
        <f>IF( Source!BI36 = 4, Source!O36 + Source!X36 + Source!Y36, 0 )</f>
        <v>9046.33</v>
      </c>
      <c r="W61">
        <f>ROUND((Source!CS36/IF(Source!BS36&lt;&gt; 0, Source!BS36,1) * Source!I36), 2)</f>
        <v>0</v>
      </c>
    </row>
    <row r="62" spans="1:23" ht="45">
      <c r="A62" s="28" t="str">
        <f>Source!E37</f>
        <v>10</v>
      </c>
      <c r="B62" s="28" t="str">
        <f>Source!F37</f>
        <v>цена поставщика</v>
      </c>
      <c r="C62" s="29" t="str">
        <f>Source!G37</f>
        <v>Кабель-канал 40*16 DeGross в полит.упак.короб цена 26,53/1,18/2,63</v>
      </c>
      <c r="D62" s="30" t="str">
        <f>Source!H37</f>
        <v>м</v>
      </c>
      <c r="E62" s="13">
        <f>ROUND(Source!I37,6)</f>
        <v>100</v>
      </c>
      <c r="F62" s="15">
        <f>IF( Source!AK37 &lt;&gt;0, Source!AK37, Source!AL37 + Source!AM37 + Source!AO37)</f>
        <v>0</v>
      </c>
      <c r="G62" s="13"/>
      <c r="H62" s="13"/>
      <c r="I62" s="31" t="str">
        <f>IF( Source!BO37 &lt;&gt;"", Source!BO37, "" )</f>
        <v/>
      </c>
      <c r="J62" s="13"/>
      <c r="K62" s="13"/>
      <c r="L62" s="13"/>
    </row>
    <row r="63" spans="1:23" ht="15">
      <c r="A63" s="33"/>
      <c r="B63" s="33"/>
      <c r="C63" s="33" t="s">
        <v>505</v>
      </c>
      <c r="D63" s="33"/>
      <c r="E63" s="33"/>
      <c r="F63" s="34">
        <f>Source!AC37</f>
        <v>8.5489999999999995</v>
      </c>
      <c r="G63" s="33"/>
      <c r="H63" s="34">
        <f>ROUND((Source!CQ37/IF(Source!BC37&lt;&gt; 0, Source!BC37,1) * Source!I37), 2)</f>
        <v>854.9</v>
      </c>
      <c r="I63" s="33"/>
      <c r="J63" s="33">
        <f>Source!BC37</f>
        <v>2.63</v>
      </c>
      <c r="K63" s="34">
        <f>Source!P37</f>
        <v>2248.39</v>
      </c>
      <c r="L63" s="33"/>
    </row>
    <row r="64" spans="1:23" ht="15.75">
      <c r="A64" s="13"/>
      <c r="B64" s="13"/>
      <c r="C64" s="13"/>
      <c r="D64" s="13"/>
      <c r="E64" s="13"/>
      <c r="F64" s="13"/>
      <c r="G64" s="13"/>
      <c r="H64" s="36">
        <f>ROUND((Source!CT37/IF(Source!BA37 &lt;&gt;0, Source!BA37, 1) * Source!I37), 2)+ROUND((Source!CR37 / IF(Source!BB37 &lt;&gt;0, Source!BB37, 1) * Source!I37), 2)+ H63</f>
        <v>854.9</v>
      </c>
      <c r="I64" s="37"/>
      <c r="J64" s="37"/>
      <c r="K64" s="36">
        <f>Source!S37+Source!Q37+K63</f>
        <v>2248.39</v>
      </c>
      <c r="L64" s="36">
        <f>Source!U37</f>
        <v>0</v>
      </c>
      <c r="M64" s="32">
        <f>H64</f>
        <v>854.9</v>
      </c>
      <c r="N64">
        <f>ROUND((Source!CT37/IF(Source!BA37&lt;&gt; 0, Source!BA37,1) * Source!I37), 2)</f>
        <v>0</v>
      </c>
      <c r="O64">
        <f>IF( Source!BI37 = 1,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P64">
        <f>IF( Source!BI37 = 2,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Q64">
        <f>IF( Source!BI37 = 3,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R64">
        <f>IF( Source!BI37 = 4,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854.9</v>
      </c>
      <c r="S64">
        <f>IF( Source!BI37 = 1, Source!O37 + Source!X37 + Source!Y37, 0 )</f>
        <v>0</v>
      </c>
      <c r="T64">
        <f>IF( Source!BI37 = 2, Source!O37 + Source!X37 + Source!Y37, 0 )</f>
        <v>0</v>
      </c>
      <c r="U64">
        <f>IF( Source!BI37 = 3, Source!O37 + Source!X37 + Source!Y37, 0 )</f>
        <v>0</v>
      </c>
      <c r="V64">
        <f>IF( Source!BI37 = 4, Source!O37 + Source!X37 + Source!Y37, 0 )</f>
        <v>2248.39</v>
      </c>
      <c r="W64">
        <f>ROUND((Source!CS37/IF(Source!BS37&lt;&gt; 0, Source!BS37,1) * Source!I37), 2)</f>
        <v>0</v>
      </c>
    </row>
    <row r="65" spans="1:23" ht="45">
      <c r="A65" s="28" t="str">
        <f>Source!E38</f>
        <v>11</v>
      </c>
      <c r="B65" s="28" t="str">
        <f>Source!F38</f>
        <v>цена поставщика</v>
      </c>
      <c r="C65" s="29" t="str">
        <f>Source!G38</f>
        <v>Гофра 16мм лёгкого типа ПВХ с протяжкой, серый цена 6,0/1,18/2,51</v>
      </c>
      <c r="D65" s="30" t="str">
        <f>Source!H38</f>
        <v>м</v>
      </c>
      <c r="E65" s="13">
        <f>ROUND(Source!I38,6)</f>
        <v>10</v>
      </c>
      <c r="F65" s="15">
        <f>IF( Source!AK38 &lt;&gt;0, Source!AK38, Source!AL38 + Source!AM38 + Source!AO38)</f>
        <v>0</v>
      </c>
      <c r="G65" s="13"/>
      <c r="H65" s="13"/>
      <c r="I65" s="31" t="str">
        <f>IF( Source!BO38 &lt;&gt;"", Source!BO38, "" )</f>
        <v/>
      </c>
      <c r="J65" s="13"/>
      <c r="K65" s="13"/>
      <c r="L65" s="13"/>
    </row>
    <row r="66" spans="1:23" ht="15">
      <c r="A66" s="33"/>
      <c r="B66" s="33"/>
      <c r="C66" s="33" t="s">
        <v>505</v>
      </c>
      <c r="D66" s="33"/>
      <c r="E66" s="33"/>
      <c r="F66" s="34">
        <f>Source!AC38</f>
        <v>5.085</v>
      </c>
      <c r="G66" s="33"/>
      <c r="H66" s="34">
        <f>ROUND((Source!CQ38/IF(Source!BC38&lt;&gt; 0, Source!BC38,1) * Source!I38), 2)</f>
        <v>50.85</v>
      </c>
      <c r="I66" s="33"/>
      <c r="J66" s="33">
        <f>Source!BC38</f>
        <v>2.5099999999999998</v>
      </c>
      <c r="K66" s="34">
        <f>Source!P38</f>
        <v>127.63</v>
      </c>
      <c r="L66" s="33"/>
    </row>
    <row r="67" spans="1:23" ht="15.75">
      <c r="A67" s="13"/>
      <c r="B67" s="13"/>
      <c r="C67" s="13"/>
      <c r="D67" s="13"/>
      <c r="E67" s="13"/>
      <c r="F67" s="13"/>
      <c r="G67" s="13"/>
      <c r="H67" s="36">
        <f>ROUND((Source!CT38/IF(Source!BA38 &lt;&gt;0, Source!BA38, 1) * Source!I38), 2)+ROUND((Source!CR38 / IF(Source!BB38 &lt;&gt;0, Source!BB38, 1) * Source!I38), 2)+ H66</f>
        <v>50.85</v>
      </c>
      <c r="I67" s="37"/>
      <c r="J67" s="37"/>
      <c r="K67" s="36">
        <f>Source!S38+Source!Q38+K66</f>
        <v>127.63</v>
      </c>
      <c r="L67" s="36">
        <f>Source!U38</f>
        <v>0</v>
      </c>
      <c r="M67" s="32">
        <f>H67</f>
        <v>50.85</v>
      </c>
      <c r="N67">
        <f>ROUND((Source!CT38/IF(Source!BA38&lt;&gt; 0, Source!BA38,1) * Source!I38), 2)</f>
        <v>0</v>
      </c>
      <c r="O67">
        <f>IF( Source!BI38 = 1,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P67">
        <f>IF( Source!BI38 = 2,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Q67">
        <f>IF( Source!BI38 = 3,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R67">
        <f>IF( Source!BI38 = 4,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50.85</v>
      </c>
      <c r="S67">
        <f>IF( Source!BI38 = 1, Source!O38 + Source!X38 + Source!Y38, 0 )</f>
        <v>0</v>
      </c>
      <c r="T67">
        <f>IF( Source!BI38 = 2, Source!O38 + Source!X38 + Source!Y38, 0 )</f>
        <v>0</v>
      </c>
      <c r="U67">
        <f>IF( Source!BI38 = 3, Source!O38 + Source!X38 + Source!Y38, 0 )</f>
        <v>0</v>
      </c>
      <c r="V67">
        <f>IF( Source!BI38 = 4, Source!O38 + Source!X38 + Source!Y38, 0 )</f>
        <v>127.63</v>
      </c>
      <c r="W67">
        <f>ROUND((Source!CS38/IF(Source!BS38&lt;&gt; 0, Source!BS38,1) * Source!I38), 2)</f>
        <v>0</v>
      </c>
    </row>
    <row r="68" spans="1:23" ht="45">
      <c r="A68" s="28" t="str">
        <f>Source!E39</f>
        <v>12</v>
      </c>
      <c r="B68" s="28" t="str">
        <f>Source!F39</f>
        <v>цена поставщика</v>
      </c>
      <c r="C68" s="29" t="str">
        <f>Source!G39</f>
        <v>049-012 Разъём питания для камер цена 24/1,18/5,52</v>
      </c>
      <c r="D68" s="30" t="str">
        <f>Source!H39</f>
        <v>шт.</v>
      </c>
      <c r="E68" s="13">
        <f>ROUND(Source!I39,6)</f>
        <v>4</v>
      </c>
      <c r="F68" s="15">
        <f>IF( Source!AK39 &lt;&gt;0, Source!AK39, Source!AL39 + Source!AM39 + Source!AO39)</f>
        <v>0</v>
      </c>
      <c r="G68" s="13"/>
      <c r="H68" s="13"/>
      <c r="I68" s="31" t="str">
        <f>IF( Source!BO39 &lt;&gt;"", Source!BO39, "" )</f>
        <v/>
      </c>
      <c r="J68" s="13"/>
      <c r="K68" s="13"/>
      <c r="L68" s="13"/>
    </row>
    <row r="69" spans="1:23" ht="15">
      <c r="A69" s="33"/>
      <c r="B69" s="33"/>
      <c r="C69" s="33" t="s">
        <v>505</v>
      </c>
      <c r="D69" s="33"/>
      <c r="E69" s="33"/>
      <c r="F69" s="34">
        <f>Source!AC39</f>
        <v>3.6850000000000001</v>
      </c>
      <c r="G69" s="33"/>
      <c r="H69" s="34">
        <f>ROUND((Source!CQ39/IF(Source!BC39&lt;&gt; 0, Source!BC39,1) * Source!I39), 2)</f>
        <v>14.74</v>
      </c>
      <c r="I69" s="33"/>
      <c r="J69" s="33">
        <f>Source!BC39</f>
        <v>5.52</v>
      </c>
      <c r="K69" s="34">
        <f>Source!P39</f>
        <v>81.36</v>
      </c>
      <c r="L69" s="33"/>
    </row>
    <row r="70" spans="1:23" ht="15.75">
      <c r="A70" s="13"/>
      <c r="B70" s="13"/>
      <c r="C70" s="13"/>
      <c r="D70" s="13"/>
      <c r="E70" s="13"/>
      <c r="F70" s="13"/>
      <c r="G70" s="13"/>
      <c r="H70" s="36">
        <f>ROUND((Source!CT39/IF(Source!BA39 &lt;&gt;0, Source!BA39, 1) * Source!I39), 2)+ROUND((Source!CR39 / IF(Source!BB39 &lt;&gt;0, Source!BB39, 1) * Source!I39), 2)+ H69</f>
        <v>14.74</v>
      </c>
      <c r="I70" s="37"/>
      <c r="J70" s="37"/>
      <c r="K70" s="36">
        <f>Source!S39+Source!Q39+K69</f>
        <v>81.36</v>
      </c>
      <c r="L70" s="36">
        <f>Source!U39</f>
        <v>0</v>
      </c>
      <c r="M70" s="32">
        <f>H70</f>
        <v>14.74</v>
      </c>
      <c r="N70">
        <f>ROUND((Source!CT39/IF(Source!BA39&lt;&gt; 0, Source!BA39,1) * Source!I39), 2)</f>
        <v>0</v>
      </c>
      <c r="O70">
        <f>IF( Source!BI39 = 1,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P70">
        <f>IF( Source!BI39 = 2,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Q70">
        <f>IF( Source!BI39 = 3,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R70">
        <f>IF( Source!BI39 = 4,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14.739999999999998</v>
      </c>
      <c r="S70">
        <f>IF( Source!BI39 = 1, Source!O39 + Source!X39 + Source!Y39, 0 )</f>
        <v>0</v>
      </c>
      <c r="T70">
        <f>IF( Source!BI39 = 2, Source!O39 + Source!X39 + Source!Y39, 0 )</f>
        <v>0</v>
      </c>
      <c r="U70">
        <f>IF( Source!BI39 = 3, Source!O39 + Source!X39 + Source!Y39, 0 )</f>
        <v>0</v>
      </c>
      <c r="V70">
        <f>IF( Source!BI39 = 4, Source!O39 + Source!X39 + Source!Y39, 0 )</f>
        <v>81.36</v>
      </c>
      <c r="W70">
        <f>ROUND((Source!CS39/IF(Source!BS39&lt;&gt; 0, Source!BS39,1) * Source!I39), 2)</f>
        <v>0</v>
      </c>
    </row>
    <row r="71" spans="1:23" ht="45">
      <c r="A71" s="28" t="str">
        <f>Source!E40</f>
        <v>13</v>
      </c>
      <c r="B71" s="28" t="str">
        <f>Source!F40</f>
        <v>цена поставщика</v>
      </c>
      <c r="C71" s="29" t="str">
        <f>Source!G40</f>
        <v>049-003  BNC разъём для RG-58(RG-59) под пайку цена 40,32/1,18/5,52</v>
      </c>
      <c r="D71" s="30" t="str">
        <f>Source!H40</f>
        <v>шт.</v>
      </c>
      <c r="E71" s="13">
        <f>ROUND(Source!I40,6)</f>
        <v>8</v>
      </c>
      <c r="F71" s="15">
        <f>IF( Source!AK40 &lt;&gt;0, Source!AK40, Source!AL40 + Source!AM40 + Source!AO40)</f>
        <v>0</v>
      </c>
      <c r="G71" s="13"/>
      <c r="H71" s="13"/>
      <c r="I71" s="31" t="str">
        <f>IF( Source!BO40 &lt;&gt;"", Source!BO40, "" )</f>
        <v/>
      </c>
      <c r="J71" s="13"/>
      <c r="K71" s="13"/>
      <c r="L71" s="13"/>
    </row>
    <row r="72" spans="1:23" ht="15">
      <c r="A72" s="33"/>
      <c r="B72" s="33"/>
      <c r="C72" s="33" t="s">
        <v>505</v>
      </c>
      <c r="D72" s="33"/>
      <c r="E72" s="33"/>
      <c r="F72" s="34">
        <f>Source!AC40</f>
        <v>6.19</v>
      </c>
      <c r="G72" s="33"/>
      <c r="H72" s="34">
        <f>ROUND((Source!CQ40/IF(Source!BC40&lt;&gt; 0, Source!BC40,1) * Source!I40), 2)</f>
        <v>49.52</v>
      </c>
      <c r="I72" s="33"/>
      <c r="J72" s="33">
        <f>Source!BC40</f>
        <v>5.52</v>
      </c>
      <c r="K72" s="34">
        <f>Source!P40</f>
        <v>273.35000000000002</v>
      </c>
      <c r="L72" s="33"/>
    </row>
    <row r="73" spans="1:23" ht="15.75">
      <c r="A73" s="13"/>
      <c r="B73" s="13"/>
      <c r="C73" s="13"/>
      <c r="D73" s="13"/>
      <c r="E73" s="13"/>
      <c r="F73" s="13"/>
      <c r="G73" s="13"/>
      <c r="H73" s="36">
        <f>ROUND((Source!CT40/IF(Source!BA40 &lt;&gt;0, Source!BA40, 1) * Source!I40), 2)+ROUND((Source!CR40 / IF(Source!BB40 &lt;&gt;0, Source!BB40, 1) * Source!I40), 2)+ H72</f>
        <v>49.52</v>
      </c>
      <c r="I73" s="37"/>
      <c r="J73" s="37"/>
      <c r="K73" s="36">
        <f>Source!S40+Source!Q40+K72</f>
        <v>273.35000000000002</v>
      </c>
      <c r="L73" s="36">
        <f>Source!U40</f>
        <v>0</v>
      </c>
      <c r="M73" s="32">
        <f>H73</f>
        <v>49.52</v>
      </c>
      <c r="N73">
        <f>ROUND((Source!CT40/IF(Source!BA40&lt;&gt; 0, Source!BA40,1) * Source!I40), 2)</f>
        <v>0</v>
      </c>
      <c r="O73">
        <f>IF( Source!BI40 = 1,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P73">
        <f>IF( Source!BI40 = 2,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Q73">
        <f>IF( Source!BI40 = 3,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R73">
        <f>IF( Source!BI40 = 4,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49.52</v>
      </c>
      <c r="S73">
        <f>IF( Source!BI40 = 1, Source!O40 + Source!X40 + Source!Y40, 0 )</f>
        <v>0</v>
      </c>
      <c r="T73">
        <f>IF( Source!BI40 = 2, Source!O40 + Source!X40 + Source!Y40, 0 )</f>
        <v>0</v>
      </c>
      <c r="U73">
        <f>IF( Source!BI40 = 3, Source!O40 + Source!X40 + Source!Y40, 0 )</f>
        <v>0</v>
      </c>
      <c r="V73">
        <f>IF( Source!BI40 = 4, Source!O40 + Source!X40 + Source!Y40, 0 )</f>
        <v>273.35000000000002</v>
      </c>
      <c r="W73">
        <f>ROUND((Source!CS40/IF(Source!BS40&lt;&gt; 0, Source!BS40,1) * Source!I40), 2)</f>
        <v>0</v>
      </c>
    </row>
    <row r="74" spans="1:23" ht="45">
      <c r="A74" s="28" t="str">
        <f>Source!E41</f>
        <v>14</v>
      </c>
      <c r="B74" s="28" t="str">
        <f>Source!F41</f>
        <v>цена поставщика</v>
      </c>
      <c r="C74" s="29" t="str">
        <f>Source!G41</f>
        <v>Коробка распаячная TYCO 100*100  цена 96,0/1,18/2,51</v>
      </c>
      <c r="D74" s="30" t="str">
        <f>Source!H41</f>
        <v/>
      </c>
      <c r="E74" s="13">
        <f>ROUND(Source!I41,6)</f>
        <v>4</v>
      </c>
      <c r="F74" s="15">
        <f>IF( Source!AK41 &lt;&gt;0, Source!AK41, Source!AL41 + Source!AM41 + Source!AO41)</f>
        <v>0</v>
      </c>
      <c r="G74" s="13"/>
      <c r="H74" s="13"/>
      <c r="I74" s="31" t="str">
        <f>IF( Source!BO41 &lt;&gt;"", Source!BO41, "" )</f>
        <v/>
      </c>
      <c r="J74" s="13"/>
      <c r="K74" s="13"/>
      <c r="L74" s="13"/>
    </row>
    <row r="75" spans="1:23" ht="15">
      <c r="A75" s="33"/>
      <c r="B75" s="33"/>
      <c r="C75" s="33" t="s">
        <v>505</v>
      </c>
      <c r="D75" s="33"/>
      <c r="E75" s="33"/>
      <c r="F75" s="34">
        <f>Source!AC41</f>
        <v>32.412999999999997</v>
      </c>
      <c r="G75" s="33"/>
      <c r="H75" s="34">
        <f>ROUND((Source!CQ41/IF(Source!BC41&lt;&gt; 0, Source!BC41,1) * Source!I41), 2)</f>
        <v>129.65</v>
      </c>
      <c r="I75" s="33"/>
      <c r="J75" s="33">
        <f>Source!BC41</f>
        <v>2.5099999999999998</v>
      </c>
      <c r="K75" s="34">
        <f>Source!P41</f>
        <v>325.43</v>
      </c>
      <c r="L75" s="33"/>
    </row>
    <row r="76" spans="1:23" ht="15.75">
      <c r="A76" s="13"/>
      <c r="B76" s="13"/>
      <c r="C76" s="13"/>
      <c r="D76" s="13"/>
      <c r="E76" s="13"/>
      <c r="F76" s="13"/>
      <c r="G76" s="13"/>
      <c r="H76" s="36">
        <f>ROUND((Source!CT41/IF(Source!BA41 &lt;&gt;0, Source!BA41, 1) * Source!I41), 2)+ROUND((Source!CR41 / IF(Source!BB41 &lt;&gt;0, Source!BB41, 1) * Source!I41), 2)+ H75</f>
        <v>129.65</v>
      </c>
      <c r="I76" s="37"/>
      <c r="J76" s="37"/>
      <c r="K76" s="36">
        <f>Source!S41+Source!Q41+K75</f>
        <v>325.43</v>
      </c>
      <c r="L76" s="36">
        <f>Source!U41</f>
        <v>0</v>
      </c>
      <c r="M76" s="32">
        <f>H76</f>
        <v>129.65</v>
      </c>
      <c r="N76">
        <f>ROUND((Source!CT41/IF(Source!BA41&lt;&gt; 0, Source!BA41,1) * Source!I41), 2)</f>
        <v>0</v>
      </c>
      <c r="O76">
        <f>IF( Source!BI41 = 1,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P76">
        <f>IF( Source!BI41 = 2,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Q76">
        <f>IF( Source!BI41 = 3,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R76">
        <f>IF( Source!BI41 = 4,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129.65199999999999</v>
      </c>
      <c r="S76">
        <f>IF( Source!BI41 = 1, Source!O41 + Source!X41 + Source!Y41, 0 )</f>
        <v>0</v>
      </c>
      <c r="T76">
        <f>IF( Source!BI41 = 2, Source!O41 + Source!X41 + Source!Y41, 0 )</f>
        <v>0</v>
      </c>
      <c r="U76">
        <f>IF( Source!BI41 = 3, Source!O41 + Source!X41 + Source!Y41, 0 )</f>
        <v>0</v>
      </c>
      <c r="V76">
        <f>IF( Source!BI41 = 4, Source!O41 + Source!X41 + Source!Y41, 0 )</f>
        <v>325.43</v>
      </c>
      <c r="W76">
        <f>ROUND((Source!CS41/IF(Source!BS41&lt;&gt; 0, Source!BS41,1) * Source!I41), 2)</f>
        <v>0</v>
      </c>
    </row>
    <row r="78" spans="1:23" s="37" customFormat="1" ht="15.75">
      <c r="C78" s="37" t="s">
        <v>94</v>
      </c>
      <c r="G78" s="128">
        <f>SUM(M35:M77)</f>
        <v>20365.460000000003</v>
      </c>
      <c r="H78" s="128"/>
      <c r="J78" s="128">
        <f>ROUND(Source!AB26+Source!AK26+Source!AL26+Source!AE26*0/100,2)</f>
        <v>53504.65</v>
      </c>
      <c r="K78" s="128"/>
      <c r="L78" s="36">
        <f>Source!AH26</f>
        <v>0</v>
      </c>
      <c r="N78" s="36">
        <f t="shared" ref="N78:W78" si="0">SUM(N35:N77)</f>
        <v>0</v>
      </c>
      <c r="O78" s="36">
        <f t="shared" si="0"/>
        <v>0</v>
      </c>
      <c r="P78" s="36">
        <f t="shared" si="0"/>
        <v>0</v>
      </c>
      <c r="Q78" s="36">
        <f t="shared" si="0"/>
        <v>16703.093000000001</v>
      </c>
      <c r="R78" s="36">
        <f t="shared" si="0"/>
        <v>3662.3619999999996</v>
      </c>
      <c r="S78" s="36">
        <f t="shared" si="0"/>
        <v>0</v>
      </c>
      <c r="T78" s="36">
        <f t="shared" si="0"/>
        <v>0</v>
      </c>
      <c r="U78" s="36">
        <f t="shared" si="0"/>
        <v>41402.159999999996</v>
      </c>
      <c r="V78" s="36">
        <f t="shared" si="0"/>
        <v>12102.49</v>
      </c>
      <c r="W78" s="37">
        <f t="shared" si="0"/>
        <v>0</v>
      </c>
    </row>
    <row r="81" spans="1:30" ht="18">
      <c r="C81" s="40" t="s">
        <v>506</v>
      </c>
      <c r="D81" s="130" t="str">
        <f>Source!G43</f>
        <v>1. Оборудование и материалы неучтённые ценниками</v>
      </c>
      <c r="E81" s="130"/>
      <c r="F81" s="130"/>
      <c r="G81" s="130"/>
      <c r="H81" s="130"/>
      <c r="I81" s="130"/>
      <c r="J81" s="130"/>
      <c r="K81" s="130"/>
    </row>
    <row r="82" spans="1:30" ht="18">
      <c r="C82" s="132" t="str">
        <f>Source!H45</f>
        <v>Прямые затраты</v>
      </c>
      <c r="D82" s="132"/>
      <c r="E82" s="132"/>
      <c r="F82" s="132"/>
      <c r="G82" s="132"/>
      <c r="H82" s="132"/>
      <c r="I82" s="132"/>
      <c r="J82" s="133">
        <f>Source!F45</f>
        <v>53504.65</v>
      </c>
      <c r="K82" s="134"/>
      <c r="L82" s="39"/>
    </row>
    <row r="83" spans="1:30" ht="18">
      <c r="C83" s="132" t="str">
        <f>Source!H46</f>
        <v>Стоимость материальных ресурсов</v>
      </c>
      <c r="D83" s="132"/>
      <c r="E83" s="132"/>
      <c r="F83" s="132"/>
      <c r="G83" s="132"/>
      <c r="H83" s="132"/>
      <c r="I83" s="132"/>
      <c r="J83" s="133">
        <f>Source!F46</f>
        <v>53504.65</v>
      </c>
      <c r="K83" s="134"/>
      <c r="L83" s="39"/>
    </row>
    <row r="84" spans="1:30" ht="18">
      <c r="C84" s="132" t="str">
        <f>Source!H58</f>
        <v>Итого</v>
      </c>
      <c r="D84" s="132"/>
      <c r="E84" s="132"/>
      <c r="F84" s="132"/>
      <c r="G84" s="132"/>
      <c r="H84" s="132"/>
      <c r="I84" s="132"/>
      <c r="J84" s="133">
        <f>Source!F58</f>
        <v>53504.65</v>
      </c>
      <c r="K84" s="134"/>
      <c r="L84" s="39"/>
    </row>
    <row r="85" spans="1:30" ht="18">
      <c r="C85" s="25" t="s">
        <v>504</v>
      </c>
      <c r="D85" s="130" t="str">
        <f>IF(Source!C12="1", Source!F60, Source!G60)</f>
        <v>2. Монтажные работы</v>
      </c>
      <c r="E85" s="131"/>
      <c r="F85" s="131"/>
      <c r="G85" s="131"/>
      <c r="H85" s="131"/>
      <c r="I85" s="131"/>
      <c r="J85" s="131"/>
      <c r="K85" s="131"/>
      <c r="L85" s="131"/>
      <c r="AD85" s="27" t="str">
        <f>IF(Source!C12="1", Source!F60, Source!G60)</f>
        <v>2. Монтажные работы</v>
      </c>
    </row>
    <row r="87" spans="1:30" ht="45">
      <c r="A87" s="28" t="str">
        <f>Source!E64</f>
        <v>15</v>
      </c>
      <c r="B87" s="28" t="str">
        <f>Source!F64</f>
        <v>м10-04-067-22</v>
      </c>
      <c r="C87" s="29" t="str">
        <f>Source!G64</f>
        <v>Аппаратура цветного телевидения. Камера телевизионная передающая</v>
      </c>
      <c r="D87" s="30" t="str">
        <f>Source!H64</f>
        <v>1шт.</v>
      </c>
      <c r="E87" s="13">
        <f>ROUND(Source!I64,6)</f>
        <v>1</v>
      </c>
      <c r="F87" s="15">
        <f>IF( Source!AK64 &lt;&gt;0, Source!AK64, Source!AL64 + Source!AM64 + Source!AO64)</f>
        <v>296.31</v>
      </c>
      <c r="G87" s="13"/>
      <c r="H87" s="13"/>
      <c r="I87" s="31" t="str">
        <f>IF( Source!BO64 &lt;&gt;"", Source!BO64, "" )</f>
        <v>м10-04-067-22</v>
      </c>
      <c r="J87" s="13"/>
      <c r="K87" s="13"/>
      <c r="L87" s="13"/>
    </row>
    <row r="88" spans="1:30" ht="15">
      <c r="A88" s="13"/>
      <c r="B88" s="13"/>
      <c r="C88" s="13" t="s">
        <v>507</v>
      </c>
      <c r="D88" s="13"/>
      <c r="E88" s="13"/>
      <c r="F88" s="15">
        <f>Source!AO64</f>
        <v>241.54000000000002</v>
      </c>
      <c r="G88" s="31" t="str">
        <f>Source!DG64</f>
        <v/>
      </c>
      <c r="H88" s="15">
        <f>ROUND((Source!CT64/IF(Source!BA64&lt;&gt; 0, Source!BA64,1) * Source!I64), 2)</f>
        <v>241.54</v>
      </c>
      <c r="I88" s="13"/>
      <c r="J88" s="13">
        <f>Source!BA64</f>
        <v>16.48</v>
      </c>
      <c r="K88" s="15">
        <f>Source!S64</f>
        <v>3980.58</v>
      </c>
      <c r="L88" s="13"/>
    </row>
    <row r="89" spans="1:30" ht="15">
      <c r="A89" s="13"/>
      <c r="B89" s="13"/>
      <c r="C89" s="13" t="s">
        <v>77</v>
      </c>
      <c r="D89" s="13"/>
      <c r="E89" s="13"/>
      <c r="F89" s="15">
        <f>Source!AM64</f>
        <v>2.7</v>
      </c>
      <c r="G89" s="31" t="str">
        <f>Source!DE64</f>
        <v/>
      </c>
      <c r="H89" s="15">
        <f>ROUND((Source!CR64/IF(Source!BB64&lt;&gt; 0, Source!BB64,1) * Source!I64), 2)</f>
        <v>2.7</v>
      </c>
      <c r="I89" s="13"/>
      <c r="J89" s="13">
        <f>Source!BB64</f>
        <v>5.14</v>
      </c>
      <c r="K89" s="15">
        <f>Source!Q64</f>
        <v>13.88</v>
      </c>
      <c r="L89" s="13"/>
    </row>
    <row r="90" spans="1:30" ht="15">
      <c r="A90" s="13"/>
      <c r="B90" s="13"/>
      <c r="C90" s="13" t="s">
        <v>508</v>
      </c>
      <c r="D90" s="13"/>
      <c r="E90" s="13"/>
      <c r="F90" s="15">
        <f>Source!AN64</f>
        <v>0.3</v>
      </c>
      <c r="G90" s="31" t="str">
        <f>Source!DF64</f>
        <v/>
      </c>
      <c r="H90" s="38">
        <f>ROUND((Source!CS64/IF(Source!BS64&lt;&gt; 0, Source!BS64,1) * Source!I64), 2)</f>
        <v>0.3</v>
      </c>
      <c r="I90" s="13"/>
      <c r="J90" s="13">
        <f>Source!BS64</f>
        <v>16.48</v>
      </c>
      <c r="K90" s="38">
        <f>Source!R64</f>
        <v>4.9400000000000004</v>
      </c>
      <c r="L90" s="13"/>
    </row>
    <row r="91" spans="1:30" ht="15">
      <c r="A91" s="13"/>
      <c r="B91" s="13"/>
      <c r="C91" s="13" t="s">
        <v>505</v>
      </c>
      <c r="D91" s="13"/>
      <c r="E91" s="13"/>
      <c r="F91" s="15">
        <f>Source!AL64</f>
        <v>52.07</v>
      </c>
      <c r="G91" s="31" t="str">
        <f>Source!DD64</f>
        <v/>
      </c>
      <c r="H91" s="15">
        <f>ROUND((Source!CQ64/IF(Source!BC64&lt;&gt; 0, Source!BC64,1) * Source!I64), 2)</f>
        <v>52.07</v>
      </c>
      <c r="I91" s="13"/>
      <c r="J91" s="13">
        <f>Source!BC64</f>
        <v>8.44</v>
      </c>
      <c r="K91" s="15">
        <f>Source!P64</f>
        <v>439.47</v>
      </c>
      <c r="L91" s="13"/>
    </row>
    <row r="92" spans="1:30" ht="15">
      <c r="A92" s="13"/>
      <c r="B92" s="13"/>
      <c r="C92" s="13" t="s">
        <v>509</v>
      </c>
      <c r="D92" s="16" t="s">
        <v>510</v>
      </c>
      <c r="E92" s="13"/>
      <c r="F92" s="15">
        <f>Source!BZ64</f>
        <v>92</v>
      </c>
      <c r="G92" s="13"/>
      <c r="H92" s="15">
        <f>X92</f>
        <v>222.49</v>
      </c>
      <c r="I92" s="13" t="str">
        <f>Source!FV64</f>
        <v>((*0.85))</v>
      </c>
      <c r="J92" s="15">
        <f>Source!AT64</f>
        <v>78</v>
      </c>
      <c r="K92" s="15">
        <f>Source!X64</f>
        <v>3108.71</v>
      </c>
      <c r="L92" s="13"/>
      <c r="X92">
        <f>ROUND((Source!FX64/100)*(ROUND((Source!CT64/IF(Source!BA64 &lt;&gt; 0, Source!BA64,1) * Source!I64), 2) + ROUND((Source!CS64/IF(Source!BS64 &lt;&gt; 0, Source!BS64, 1) * Source!I64), 2)), 2)</f>
        <v>222.49</v>
      </c>
    </row>
    <row r="93" spans="1:30" ht="15">
      <c r="A93" s="13"/>
      <c r="B93" s="13"/>
      <c r="C93" s="13" t="s">
        <v>93</v>
      </c>
      <c r="D93" s="16" t="s">
        <v>510</v>
      </c>
      <c r="E93" s="13"/>
      <c r="F93" s="15">
        <f>Source!CA64</f>
        <v>65</v>
      </c>
      <c r="G93" s="13"/>
      <c r="H93" s="15">
        <f>Y93</f>
        <v>157.19999999999999</v>
      </c>
      <c r="I93" s="13" t="str">
        <f>Source!FW64</f>
        <v>((*0.8))</v>
      </c>
      <c r="J93" s="15">
        <f>Source!AU64</f>
        <v>52</v>
      </c>
      <c r="K93" s="15">
        <f>Source!Y64</f>
        <v>2072.4699999999998</v>
      </c>
      <c r="L93" s="13"/>
      <c r="Y93">
        <f>ROUND((Source!FY64/100)*(ROUND((Source!CT64/IF(Source!BA64 &lt;&gt; 0, Source!BA64,1) * Source!I64), 2) + ROUND((Source!CS64/IF(Source!BS64 &lt;&gt; 0, Source!BS64, 1) * Source!I64), 2)), 2)</f>
        <v>157.19999999999999</v>
      </c>
    </row>
    <row r="94" spans="1:30" ht="15">
      <c r="A94" s="33"/>
      <c r="B94" s="33"/>
      <c r="C94" s="33" t="s">
        <v>511</v>
      </c>
      <c r="D94" s="41" t="s">
        <v>512</v>
      </c>
      <c r="E94" s="33">
        <f>Source!AQ64</f>
        <v>21.8</v>
      </c>
      <c r="F94" s="33"/>
      <c r="G94" s="35" t="str">
        <f>Source!DI64</f>
        <v/>
      </c>
      <c r="H94" s="33"/>
      <c r="I94" s="33"/>
      <c r="J94" s="33"/>
      <c r="K94" s="33"/>
      <c r="L94" s="34">
        <f>Source!U64</f>
        <v>21.8</v>
      </c>
    </row>
    <row r="95" spans="1:30" ht="15.75">
      <c r="A95" s="13"/>
      <c r="B95" s="13"/>
      <c r="C95" s="13"/>
      <c r="D95" s="13"/>
      <c r="E95" s="13"/>
      <c r="F95" s="13"/>
      <c r="G95" s="13"/>
      <c r="H95" s="36">
        <f>ROUND((Source!CT64/IF(Source!BA64 &lt;&gt;0, Source!BA64, 1) * Source!I64), 2)+ROUND((Source!CR64 / IF(Source!BB64 &lt;&gt;0, Source!BB64, 1) * Source!I64), 2)+ H91 + H92 + H93</f>
        <v>676</v>
      </c>
      <c r="I95" s="37"/>
      <c r="J95" s="37"/>
      <c r="K95" s="36">
        <f>Source!S64+Source!Q64+K91 + K92 + K93</f>
        <v>9615.11</v>
      </c>
      <c r="L95" s="36">
        <f>Source!U64</f>
        <v>21.8</v>
      </c>
      <c r="M95" s="32">
        <f>H95</f>
        <v>676</v>
      </c>
      <c r="N95">
        <f>ROUND((Source!CT64/IF(Source!BA64&lt;&gt; 0, Source!BA64,1) * Source!I64), 2)</f>
        <v>241.54</v>
      </c>
      <c r="O95">
        <f>IF( Source!BI64 = 1,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P95">
        <f>IF( Source!BI64 = 2,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675.99880000000007</v>
      </c>
      <c r="Q95">
        <f>IF( Source!BI64 = 3,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R95">
        <f>IF( Source!BI64 = 4,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S95">
        <f>IF( Source!BI64 = 1, Source!O64 + Source!X64 + Source!Y64, 0 )</f>
        <v>0</v>
      </c>
      <c r="T95">
        <f>IF( Source!BI64 = 2, Source!O64 + Source!X64 + Source!Y64, 0 )</f>
        <v>9615.11</v>
      </c>
      <c r="U95">
        <f>IF( Source!BI64 = 3, Source!O64 + Source!X64 + Source!Y64, 0 )</f>
        <v>0</v>
      </c>
      <c r="V95">
        <f>IF( Source!BI64 = 4, Source!O64 + Source!X64 + Source!Y64, 0 )</f>
        <v>0</v>
      </c>
      <c r="W95">
        <f>ROUND((Source!CS64/IF(Source!BS64&lt;&gt; 0, Source!BS64,1) * Source!I64), 2)</f>
        <v>0.3</v>
      </c>
    </row>
    <row r="96" spans="1:30" ht="45">
      <c r="A96" s="28" t="str">
        <f>Source!E65</f>
        <v>16</v>
      </c>
      <c r="B96" s="28" t="str">
        <f>Source!F65</f>
        <v>м10-09-001-2</v>
      </c>
      <c r="C96" s="29" t="str">
        <f>Source!G65</f>
        <v>Аппаратура телевизионная с 1 малогабаритной беструбочной камерой</v>
      </c>
      <c r="D96" s="30" t="str">
        <f>Source!H65</f>
        <v>1КОМПЛ.</v>
      </c>
      <c r="E96" s="13">
        <f>ROUND(Source!I65,6)</f>
        <v>3</v>
      </c>
      <c r="F96" s="15">
        <f>IF( Source!AK65 &lt;&gt;0, Source!AK65, Source!AL65 + Source!AM65 + Source!AO65)</f>
        <v>205.91</v>
      </c>
      <c r="G96" s="13"/>
      <c r="H96" s="13"/>
      <c r="I96" s="31" t="str">
        <f>IF( Source!BO65 &lt;&gt;"", Source!BO65, "" )</f>
        <v>м10-09-001-2</v>
      </c>
      <c r="J96" s="13"/>
      <c r="K96" s="13"/>
      <c r="L96" s="13"/>
    </row>
    <row r="97" spans="1:25" ht="15">
      <c r="A97" s="13"/>
      <c r="B97" s="13"/>
      <c r="C97" s="13" t="s">
        <v>507</v>
      </c>
      <c r="D97" s="13"/>
      <c r="E97" s="13"/>
      <c r="F97" s="15">
        <f>Source!AO65</f>
        <v>155.25</v>
      </c>
      <c r="G97" s="31" t="str">
        <f>Source!DG65</f>
        <v/>
      </c>
      <c r="H97" s="15">
        <f>ROUND((Source!CT65/IF(Source!BA65&lt;&gt; 0, Source!BA65,1) * Source!I65), 2)</f>
        <v>465.75</v>
      </c>
      <c r="I97" s="13"/>
      <c r="J97" s="13">
        <f>Source!BA65</f>
        <v>16.48</v>
      </c>
      <c r="K97" s="15">
        <f>Source!S65</f>
        <v>7675.56</v>
      </c>
      <c r="L97" s="13"/>
    </row>
    <row r="98" spans="1:25" ht="15">
      <c r="A98" s="13"/>
      <c r="B98" s="13"/>
      <c r="C98" s="13" t="s">
        <v>505</v>
      </c>
      <c r="D98" s="13"/>
      <c r="E98" s="13"/>
      <c r="F98" s="15">
        <f>Source!AL65</f>
        <v>50.660000000000004</v>
      </c>
      <c r="G98" s="31" t="str">
        <f>Source!DD65</f>
        <v/>
      </c>
      <c r="H98" s="15">
        <f>ROUND((Source!CQ65/IF(Source!BC65&lt;&gt; 0, Source!BC65,1) * Source!I65), 2)</f>
        <v>151.97999999999999</v>
      </c>
      <c r="I98" s="13"/>
      <c r="J98" s="13">
        <f>Source!BC65</f>
        <v>2.87</v>
      </c>
      <c r="K98" s="15">
        <f>Source!P65</f>
        <v>436.18</v>
      </c>
      <c r="L98" s="13"/>
    </row>
    <row r="99" spans="1:25" ht="15">
      <c r="A99" s="13"/>
      <c r="B99" s="13"/>
      <c r="C99" s="13" t="s">
        <v>509</v>
      </c>
      <c r="D99" s="16" t="s">
        <v>510</v>
      </c>
      <c r="E99" s="13"/>
      <c r="F99" s="15">
        <f>Source!BZ65</f>
        <v>80</v>
      </c>
      <c r="G99" s="13"/>
      <c r="H99" s="15">
        <f>X99</f>
        <v>372.6</v>
      </c>
      <c r="I99" s="13" t="str">
        <f>Source!FV65</f>
        <v>((*0.85))</v>
      </c>
      <c r="J99" s="15">
        <f>Source!AT65</f>
        <v>68</v>
      </c>
      <c r="K99" s="15">
        <f>Source!X65</f>
        <v>5219.38</v>
      </c>
      <c r="L99" s="13"/>
      <c r="X99">
        <f>ROUND((Source!FX65/100)*(ROUND((Source!CT65/IF(Source!BA65 &lt;&gt; 0, Source!BA65,1) * Source!I65), 2) + ROUND((Source!CS65/IF(Source!BS65 &lt;&gt; 0, Source!BS65, 1) * Source!I65), 2)), 2)</f>
        <v>372.6</v>
      </c>
    </row>
    <row r="100" spans="1:25" ht="15">
      <c r="A100" s="13"/>
      <c r="B100" s="13"/>
      <c r="C100" s="13" t="s">
        <v>93</v>
      </c>
      <c r="D100" s="16" t="s">
        <v>510</v>
      </c>
      <c r="E100" s="13"/>
      <c r="F100" s="15">
        <f>Source!CA65</f>
        <v>60</v>
      </c>
      <c r="G100" s="13"/>
      <c r="H100" s="15">
        <f>Y100</f>
        <v>279.45</v>
      </c>
      <c r="I100" s="13" t="str">
        <f>Source!FW65</f>
        <v>((*0.8))</v>
      </c>
      <c r="J100" s="15">
        <f>Source!AU65</f>
        <v>48</v>
      </c>
      <c r="K100" s="15">
        <f>Source!Y65</f>
        <v>3684.27</v>
      </c>
      <c r="L100" s="13"/>
      <c r="Y100">
        <f>ROUND((Source!FY65/100)*(ROUND((Source!CT65/IF(Source!BA65 &lt;&gt; 0, Source!BA65,1) * Source!I65), 2) + ROUND((Source!CS65/IF(Source!BS65 &lt;&gt; 0, Source!BS65, 1) * Source!I65), 2)), 2)</f>
        <v>279.45</v>
      </c>
    </row>
    <row r="101" spans="1:25" ht="15">
      <c r="A101" s="33"/>
      <c r="B101" s="33"/>
      <c r="C101" s="33" t="s">
        <v>511</v>
      </c>
      <c r="D101" s="41" t="s">
        <v>512</v>
      </c>
      <c r="E101" s="33">
        <f>Source!AQ65</f>
        <v>15</v>
      </c>
      <c r="F101" s="33"/>
      <c r="G101" s="35" t="str">
        <f>Source!DI65</f>
        <v/>
      </c>
      <c r="H101" s="33"/>
      <c r="I101" s="33"/>
      <c r="J101" s="33"/>
      <c r="K101" s="33"/>
      <c r="L101" s="34">
        <f>Source!U65</f>
        <v>45</v>
      </c>
    </row>
    <row r="102" spans="1:25" ht="15.75">
      <c r="A102" s="13"/>
      <c r="B102" s="13"/>
      <c r="C102" s="13"/>
      <c r="D102" s="13"/>
      <c r="E102" s="13"/>
      <c r="F102" s="13"/>
      <c r="G102" s="13"/>
      <c r="H102" s="36">
        <f>ROUND((Source!CT65/IF(Source!BA65 &lt;&gt;0, Source!BA65, 1) * Source!I65), 2)+ROUND((Source!CR65 / IF(Source!BB65 &lt;&gt;0, Source!BB65, 1) * Source!I65), 2)+ H98 + H99 + H100</f>
        <v>1269.78</v>
      </c>
      <c r="I102" s="37"/>
      <c r="J102" s="37"/>
      <c r="K102" s="36">
        <f>Source!S65+Source!Q65+K98 + K99 + K100</f>
        <v>17015.39</v>
      </c>
      <c r="L102" s="36">
        <f>Source!U65</f>
        <v>45</v>
      </c>
      <c r="M102" s="32">
        <f>H102</f>
        <v>1269.78</v>
      </c>
      <c r="N102">
        <f>ROUND((Source!CT65/IF(Source!BA65&lt;&gt; 0, Source!BA65,1) * Source!I65), 2)</f>
        <v>465.75</v>
      </c>
      <c r="O102">
        <f>IF( Source!BI65 = 1,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P102">
        <f>IF( Source!BI65 = 2,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1269.78</v>
      </c>
      <c r="Q102">
        <f>IF( Source!BI65 = 3,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R102">
        <f>IF( Source!BI65 = 4,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S102">
        <f>IF( Source!BI65 = 1, Source!O65 + Source!X65 + Source!Y65, 0 )</f>
        <v>0</v>
      </c>
      <c r="T102">
        <f>IF( Source!BI65 = 2, Source!O65 + Source!X65 + Source!Y65, 0 )</f>
        <v>17015.39</v>
      </c>
      <c r="U102">
        <f>IF( Source!BI65 = 3, Source!O65 + Source!X65 + Source!Y65, 0 )</f>
        <v>0</v>
      </c>
      <c r="V102">
        <f>IF( Source!BI65 = 4, Source!O65 + Source!X65 + Source!Y65, 0 )</f>
        <v>0</v>
      </c>
      <c r="W102">
        <f>ROUND((Source!CS65/IF(Source!BS65&lt;&gt; 0, Source!BS65,1) * Source!I65), 2)</f>
        <v>0</v>
      </c>
    </row>
    <row r="103" spans="1:25" ht="30">
      <c r="A103" s="28" t="str">
        <f>Source!E66</f>
        <v>17</v>
      </c>
      <c r="B103" s="28" t="str">
        <f>Source!F66</f>
        <v>м10-04-087-14</v>
      </c>
      <c r="C103" s="29" t="str">
        <f>Source!G66</f>
        <v>Устройство цифровой регистрации</v>
      </c>
      <c r="D103" s="30" t="str">
        <f>Source!H66</f>
        <v>устройство</v>
      </c>
      <c r="E103" s="13">
        <f>ROUND(Source!I66,6)</f>
        <v>1</v>
      </c>
      <c r="F103" s="15">
        <f>IF( Source!AK66 &lt;&gt;0, Source!AK66, Source!AL66 + Source!AM66 + Source!AO66)</f>
        <v>86.710000000000008</v>
      </c>
      <c r="G103" s="13"/>
      <c r="H103" s="13"/>
      <c r="I103" s="31" t="str">
        <f>IF( Source!BO66 &lt;&gt;"", Source!BO66, "" )</f>
        <v>м10-04-087-14</v>
      </c>
      <c r="J103" s="13"/>
      <c r="K103" s="13"/>
      <c r="L103" s="13"/>
    </row>
    <row r="104" spans="1:25" ht="15">
      <c r="A104" s="13"/>
      <c r="B104" s="13"/>
      <c r="C104" s="13" t="s">
        <v>507</v>
      </c>
      <c r="D104" s="13"/>
      <c r="E104" s="13"/>
      <c r="F104" s="15">
        <f>Source!AO66</f>
        <v>72.56</v>
      </c>
      <c r="G104" s="31" t="str">
        <f>Source!DG66</f>
        <v/>
      </c>
      <c r="H104" s="15">
        <f>ROUND((Source!CT66/IF(Source!BA66&lt;&gt; 0, Source!BA66,1) * Source!I66), 2)</f>
        <v>72.56</v>
      </c>
      <c r="I104" s="13"/>
      <c r="J104" s="13">
        <f>Source!BA66</f>
        <v>16.48</v>
      </c>
      <c r="K104" s="15">
        <f>Source!S66</f>
        <v>1195.79</v>
      </c>
      <c r="L104" s="13"/>
    </row>
    <row r="105" spans="1:25" ht="15">
      <c r="A105" s="13"/>
      <c r="B105" s="13"/>
      <c r="C105" s="13" t="s">
        <v>505</v>
      </c>
      <c r="D105" s="13"/>
      <c r="E105" s="13"/>
      <c r="F105" s="15">
        <f>Source!AL66</f>
        <v>14.15</v>
      </c>
      <c r="G105" s="31" t="str">
        <f>Source!DD66</f>
        <v/>
      </c>
      <c r="H105" s="15">
        <f>ROUND((Source!CQ66/IF(Source!BC66&lt;&gt; 0, Source!BC66,1) * Source!I66), 2)</f>
        <v>14.15</v>
      </c>
      <c r="I105" s="13"/>
      <c r="J105" s="13">
        <f>Source!BC66</f>
        <v>4.0599999999999996</v>
      </c>
      <c r="K105" s="15">
        <f>Source!P66</f>
        <v>57.45</v>
      </c>
      <c r="L105" s="13"/>
    </row>
    <row r="106" spans="1:25" ht="15">
      <c r="A106" s="13"/>
      <c r="B106" s="13"/>
      <c r="C106" s="13" t="s">
        <v>509</v>
      </c>
      <c r="D106" s="16" t="s">
        <v>510</v>
      </c>
      <c r="E106" s="13"/>
      <c r="F106" s="15">
        <f>Source!BZ66</f>
        <v>92</v>
      </c>
      <c r="G106" s="13"/>
      <c r="H106" s="15">
        <f>X106</f>
        <v>66.760000000000005</v>
      </c>
      <c r="I106" s="13" t="str">
        <f>Source!FV66</f>
        <v>((*0.85))</v>
      </c>
      <c r="J106" s="15">
        <f>Source!AT66</f>
        <v>78</v>
      </c>
      <c r="K106" s="15">
        <f>Source!X66</f>
        <v>932.72</v>
      </c>
      <c r="L106" s="13"/>
      <c r="X106">
        <f>ROUND((Source!FX66/100)*(ROUND((Source!CT66/IF(Source!BA66 &lt;&gt; 0, Source!BA66,1) * Source!I66), 2) + ROUND((Source!CS66/IF(Source!BS66 &lt;&gt; 0, Source!BS66, 1) * Source!I66), 2)), 2)</f>
        <v>66.760000000000005</v>
      </c>
    </row>
    <row r="107" spans="1:25" ht="15">
      <c r="A107" s="13"/>
      <c r="B107" s="13"/>
      <c r="C107" s="13" t="s">
        <v>93</v>
      </c>
      <c r="D107" s="16" t="s">
        <v>510</v>
      </c>
      <c r="E107" s="13"/>
      <c r="F107" s="15">
        <f>Source!CA66</f>
        <v>65</v>
      </c>
      <c r="G107" s="13"/>
      <c r="H107" s="15">
        <f>Y107</f>
        <v>47.16</v>
      </c>
      <c r="I107" s="13" t="str">
        <f>Source!FW66</f>
        <v>((*0.8))</v>
      </c>
      <c r="J107" s="15">
        <f>Source!AU66</f>
        <v>52</v>
      </c>
      <c r="K107" s="15">
        <f>Source!Y66</f>
        <v>621.80999999999995</v>
      </c>
      <c r="L107" s="13"/>
      <c r="Y107">
        <f>ROUND((Source!FY66/100)*(ROUND((Source!CT66/IF(Source!BA66 &lt;&gt; 0, Source!BA66,1) * Source!I66), 2) + ROUND((Source!CS66/IF(Source!BS66 &lt;&gt; 0, Source!BS66, 1) * Source!I66), 2)), 2)</f>
        <v>47.16</v>
      </c>
    </row>
    <row r="108" spans="1:25" ht="15">
      <c r="A108" s="33"/>
      <c r="B108" s="33"/>
      <c r="C108" s="33" t="s">
        <v>511</v>
      </c>
      <c r="D108" s="41" t="s">
        <v>512</v>
      </c>
      <c r="E108" s="33">
        <f>Source!AQ66</f>
        <v>8</v>
      </c>
      <c r="F108" s="33"/>
      <c r="G108" s="35" t="str">
        <f>Source!DI66</f>
        <v/>
      </c>
      <c r="H108" s="33"/>
      <c r="I108" s="33"/>
      <c r="J108" s="33"/>
      <c r="K108" s="33"/>
      <c r="L108" s="34">
        <f>Source!U66</f>
        <v>8</v>
      </c>
    </row>
    <row r="109" spans="1:25" ht="15.75">
      <c r="A109" s="13"/>
      <c r="B109" s="13"/>
      <c r="C109" s="13"/>
      <c r="D109" s="13"/>
      <c r="E109" s="13"/>
      <c r="F109" s="13"/>
      <c r="G109" s="13"/>
      <c r="H109" s="36">
        <f>ROUND((Source!CT66/IF(Source!BA66 &lt;&gt;0, Source!BA66, 1) * Source!I66), 2)+ROUND((Source!CR66 / IF(Source!BB66 &lt;&gt;0, Source!BB66, 1) * Source!I66), 2)+ H105 + H106 + H107</f>
        <v>200.63000000000002</v>
      </c>
      <c r="I109" s="37"/>
      <c r="J109" s="37"/>
      <c r="K109" s="36">
        <f>Source!S66+Source!Q66+K105 + K106 + K107</f>
        <v>2807.77</v>
      </c>
      <c r="L109" s="36">
        <f>Source!U66</f>
        <v>8</v>
      </c>
      <c r="M109" s="32">
        <f>H109</f>
        <v>200.63000000000002</v>
      </c>
      <c r="N109">
        <f>ROUND((Source!CT66/IF(Source!BA66&lt;&gt; 0, Source!BA66,1) * Source!I66), 2)</f>
        <v>72.56</v>
      </c>
      <c r="O109">
        <f>IF( Source!BI66 = 1,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P109">
        <f>IF( Source!BI66 = 2,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200.62920000000003</v>
      </c>
      <c r="Q109">
        <f>IF( Source!BI66 = 3,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R109">
        <f>IF( Source!BI66 = 4,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S109">
        <f>IF( Source!BI66 = 1, Source!O66 + Source!X66 + Source!Y66, 0 )</f>
        <v>0</v>
      </c>
      <c r="T109">
        <f>IF( Source!BI66 = 2, Source!O66 + Source!X66 + Source!Y66, 0 )</f>
        <v>2807.77</v>
      </c>
      <c r="U109">
        <f>IF( Source!BI66 = 3, Source!O66 + Source!X66 + Source!Y66, 0 )</f>
        <v>0</v>
      </c>
      <c r="V109">
        <f>IF( Source!BI66 = 4, Source!O66 + Source!X66 + Source!Y66, 0 )</f>
        <v>0</v>
      </c>
      <c r="W109">
        <f>ROUND((Source!CS66/IF(Source!BS66&lt;&gt; 0, Source!BS66,1) * Source!I66), 2)</f>
        <v>0</v>
      </c>
    </row>
    <row r="110" spans="1:25" ht="30">
      <c r="A110" s="28" t="str">
        <f>Source!E67</f>
        <v>18</v>
      </c>
      <c r="B110" s="28" t="str">
        <f>Source!F67</f>
        <v>м10-04-067-23</v>
      </c>
      <c r="C110" s="29" t="str">
        <f>Source!G67</f>
        <v>Устройство видеоконтрольное</v>
      </c>
      <c r="D110" s="30" t="str">
        <f>Source!H67</f>
        <v>шт.</v>
      </c>
      <c r="E110" s="13">
        <f>ROUND(Source!I67,6)</f>
        <v>1</v>
      </c>
      <c r="F110" s="15">
        <f>IF( Source!AK67 &lt;&gt;0, Source!AK67, Source!AL67 + Source!AM67 + Source!AO67)</f>
        <v>25.56</v>
      </c>
      <c r="G110" s="13"/>
      <c r="H110" s="13"/>
      <c r="I110" s="31" t="str">
        <f>IF( Source!BO67 &lt;&gt;"", Source!BO67, "" )</f>
        <v>м10-04-067-23</v>
      </c>
      <c r="J110" s="13"/>
      <c r="K110" s="13"/>
      <c r="L110" s="13"/>
    </row>
    <row r="111" spans="1:25" ht="15">
      <c r="A111" s="13"/>
      <c r="B111" s="13"/>
      <c r="C111" s="13" t="s">
        <v>507</v>
      </c>
      <c r="D111" s="13"/>
      <c r="E111" s="13"/>
      <c r="F111" s="15">
        <f>Source!AO67</f>
        <v>24.18</v>
      </c>
      <c r="G111" s="31" t="str">
        <f>Source!DG67</f>
        <v/>
      </c>
      <c r="H111" s="15">
        <f>ROUND((Source!CT67/IF(Source!BA67&lt;&gt; 0, Source!BA67,1) * Source!I67), 2)</f>
        <v>24.18</v>
      </c>
      <c r="I111" s="13"/>
      <c r="J111" s="13">
        <f>Source!BA67</f>
        <v>16.48</v>
      </c>
      <c r="K111" s="15">
        <f>Source!S67</f>
        <v>398.49</v>
      </c>
      <c r="L111" s="13"/>
    </row>
    <row r="112" spans="1:25" ht="15">
      <c r="A112" s="13"/>
      <c r="B112" s="13"/>
      <c r="C112" s="13" t="s">
        <v>77</v>
      </c>
      <c r="D112" s="13"/>
      <c r="E112" s="13"/>
      <c r="F112" s="15">
        <f>Source!AM67</f>
        <v>0.9</v>
      </c>
      <c r="G112" s="31" t="str">
        <f>Source!DE67</f>
        <v/>
      </c>
      <c r="H112" s="15">
        <f>ROUND((Source!CR67/IF(Source!BB67&lt;&gt; 0, Source!BB67,1) * Source!I67), 2)</f>
        <v>0.9</v>
      </c>
      <c r="I112" s="13"/>
      <c r="J112" s="13">
        <f>Source!BB67</f>
        <v>5.14</v>
      </c>
      <c r="K112" s="15">
        <f>Source!Q67</f>
        <v>4.63</v>
      </c>
      <c r="L112" s="13"/>
    </row>
    <row r="113" spans="1:25" ht="15">
      <c r="A113" s="13"/>
      <c r="B113" s="13"/>
      <c r="C113" s="13" t="s">
        <v>508</v>
      </c>
      <c r="D113" s="13"/>
      <c r="E113" s="13"/>
      <c r="F113" s="15">
        <f>Source!AN67</f>
        <v>0.1</v>
      </c>
      <c r="G113" s="31" t="str">
        <f>Source!DF67</f>
        <v/>
      </c>
      <c r="H113" s="38">
        <f>ROUND((Source!CS67/IF(Source!BS67&lt;&gt; 0, Source!BS67,1) * Source!I67), 2)</f>
        <v>0.1</v>
      </c>
      <c r="I113" s="13"/>
      <c r="J113" s="13">
        <f>Source!BS67</f>
        <v>16.48</v>
      </c>
      <c r="K113" s="38">
        <f>Source!R67</f>
        <v>1.65</v>
      </c>
      <c r="L113" s="13"/>
    </row>
    <row r="114" spans="1:25" ht="15">
      <c r="A114" s="13"/>
      <c r="B114" s="13"/>
      <c r="C114" s="13" t="s">
        <v>505</v>
      </c>
      <c r="D114" s="13"/>
      <c r="E114" s="13"/>
      <c r="F114" s="15">
        <f>Source!AL67</f>
        <v>0.48</v>
      </c>
      <c r="G114" s="31" t="str">
        <f>Source!DD67</f>
        <v/>
      </c>
      <c r="H114" s="15">
        <f>ROUND((Source!CQ67/IF(Source!BC67&lt;&gt; 0, Source!BC67,1) * Source!I67), 2)</f>
        <v>0.48</v>
      </c>
      <c r="I114" s="13"/>
      <c r="J114" s="13">
        <f>Source!BC67</f>
        <v>16.48</v>
      </c>
      <c r="K114" s="15">
        <f>Source!P67</f>
        <v>7.91</v>
      </c>
      <c r="L114" s="13"/>
    </row>
    <row r="115" spans="1:25" ht="15">
      <c r="A115" s="13"/>
      <c r="B115" s="13"/>
      <c r="C115" s="13" t="s">
        <v>509</v>
      </c>
      <c r="D115" s="16" t="s">
        <v>510</v>
      </c>
      <c r="E115" s="13"/>
      <c r="F115" s="15">
        <f>Source!BZ67</f>
        <v>92</v>
      </c>
      <c r="G115" s="13"/>
      <c r="H115" s="15">
        <f>X115</f>
        <v>22.34</v>
      </c>
      <c r="I115" s="13" t="str">
        <f>Source!FV67</f>
        <v>((*0.85))</v>
      </c>
      <c r="J115" s="15">
        <f>Source!AT67</f>
        <v>78</v>
      </c>
      <c r="K115" s="15">
        <f>Source!X67</f>
        <v>312.11</v>
      </c>
      <c r="L115" s="13"/>
      <c r="X115">
        <f>ROUND((Source!FX67/100)*(ROUND((Source!CT67/IF(Source!BA67 &lt;&gt; 0, Source!BA67,1) * Source!I67), 2) + ROUND((Source!CS67/IF(Source!BS67 &lt;&gt; 0, Source!BS67, 1) * Source!I67), 2)), 2)</f>
        <v>22.34</v>
      </c>
    </row>
    <row r="116" spans="1:25" ht="15">
      <c r="A116" s="13"/>
      <c r="B116" s="13"/>
      <c r="C116" s="13" t="s">
        <v>93</v>
      </c>
      <c r="D116" s="16" t="s">
        <v>510</v>
      </c>
      <c r="E116" s="13"/>
      <c r="F116" s="15">
        <f>Source!CA67</f>
        <v>65</v>
      </c>
      <c r="G116" s="13"/>
      <c r="H116" s="15">
        <f>Y116</f>
        <v>15.78</v>
      </c>
      <c r="I116" s="13" t="str">
        <f>Source!FW67</f>
        <v>((*0.8))</v>
      </c>
      <c r="J116" s="15">
        <f>Source!AU67</f>
        <v>52</v>
      </c>
      <c r="K116" s="15">
        <f>Source!Y67</f>
        <v>208.07</v>
      </c>
      <c r="L116" s="13"/>
      <c r="Y116">
        <f>ROUND((Source!FY67/100)*(ROUND((Source!CT67/IF(Source!BA67 &lt;&gt; 0, Source!BA67,1) * Source!I67), 2) + ROUND((Source!CS67/IF(Source!BS67 &lt;&gt; 0, Source!BS67, 1) * Source!I67), 2)), 2)</f>
        <v>15.78</v>
      </c>
    </row>
    <row r="117" spans="1:25" ht="15">
      <c r="A117" s="33"/>
      <c r="B117" s="33"/>
      <c r="C117" s="33" t="s">
        <v>511</v>
      </c>
      <c r="D117" s="41" t="s">
        <v>512</v>
      </c>
      <c r="E117" s="33">
        <f>Source!AQ67</f>
        <v>2.1800000000000002</v>
      </c>
      <c r="F117" s="33"/>
      <c r="G117" s="35" t="str">
        <f>Source!DI67</f>
        <v/>
      </c>
      <c r="H117" s="33"/>
      <c r="I117" s="33"/>
      <c r="J117" s="33"/>
      <c r="K117" s="33"/>
      <c r="L117" s="34">
        <f>Source!U67</f>
        <v>2.1800000000000002</v>
      </c>
    </row>
    <row r="118" spans="1:25" ht="15.75">
      <c r="A118" s="13"/>
      <c r="B118" s="13"/>
      <c r="C118" s="13"/>
      <c r="D118" s="13"/>
      <c r="E118" s="13"/>
      <c r="F118" s="13"/>
      <c r="G118" s="13"/>
      <c r="H118" s="36">
        <f>ROUND((Source!CT67/IF(Source!BA67 &lt;&gt;0, Source!BA67, 1) * Source!I67), 2)+ROUND((Source!CR67 / IF(Source!BB67 &lt;&gt;0, Source!BB67, 1) * Source!I67), 2)+ H114 + H115 + H116</f>
        <v>63.68</v>
      </c>
      <c r="I118" s="37"/>
      <c r="J118" s="37"/>
      <c r="K118" s="36">
        <f>Source!S67+Source!Q67+K114 + K115 + K116</f>
        <v>931.21</v>
      </c>
      <c r="L118" s="36">
        <f>Source!U67</f>
        <v>2.1800000000000002</v>
      </c>
      <c r="M118" s="32">
        <f>H118</f>
        <v>63.68</v>
      </c>
      <c r="N118">
        <f>ROUND((Source!CT67/IF(Source!BA67&lt;&gt; 0, Source!BA67,1) * Source!I67), 2)</f>
        <v>24.18</v>
      </c>
      <c r="O118">
        <f>IF( Source!BI67 = 1,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P118">
        <f>IF( Source!BI67 = 2,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63.679600000000001</v>
      </c>
      <c r="Q118">
        <f>IF( Source!BI67 = 3,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R118">
        <f>IF( Source!BI67 = 4,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S118">
        <f>IF( Source!BI67 = 1, Source!O67 + Source!X67 + Source!Y67, 0 )</f>
        <v>0</v>
      </c>
      <c r="T118">
        <f>IF( Source!BI67 = 2, Source!O67 + Source!X67 + Source!Y67, 0 )</f>
        <v>931.21</v>
      </c>
      <c r="U118">
        <f>IF( Source!BI67 = 3, Source!O67 + Source!X67 + Source!Y67, 0 )</f>
        <v>0</v>
      </c>
      <c r="V118">
        <f>IF( Source!BI67 = 4, Source!O67 + Source!X67 + Source!Y67, 0 )</f>
        <v>0</v>
      </c>
      <c r="W118">
        <f>ROUND((Source!CS67/IF(Source!BS67&lt;&gt; 0, Source!BS67,1) * Source!I67), 2)</f>
        <v>0.1</v>
      </c>
    </row>
    <row r="119" spans="1:25" ht="60">
      <c r="A119" s="28" t="str">
        <f>Source!E68</f>
        <v>19</v>
      </c>
      <c r="B119" s="28" t="str">
        <f>Source!F68</f>
        <v>м11-04-026-1 применительно</v>
      </c>
      <c r="C119" s="29" t="str">
        <f>Source!G68</f>
        <v>Разъемы штепсельные с разделкой и включением кабеля</v>
      </c>
      <c r="D119" s="30" t="str">
        <f>Source!H68</f>
        <v>шт.</v>
      </c>
      <c r="E119" s="13">
        <f>ROUND(Source!I68,6)</f>
        <v>12</v>
      </c>
      <c r="F119" s="15">
        <f>IF( Source!AK68 &lt;&gt;0, Source!AK68, Source!AL68 + Source!AM68 + Source!AO68)</f>
        <v>15.68</v>
      </c>
      <c r="G119" s="13"/>
      <c r="H119" s="13"/>
      <c r="I119" s="31" t="str">
        <f>IF( Source!BO68 &lt;&gt;"", Source!BO68, "" )</f>
        <v>м11-04-026-1</v>
      </c>
      <c r="J119" s="13"/>
      <c r="K119" s="13"/>
      <c r="L119" s="13"/>
    </row>
    <row r="120" spans="1:25" ht="15">
      <c r="A120" s="13"/>
      <c r="B120" s="13"/>
      <c r="C120" s="13" t="s">
        <v>507</v>
      </c>
      <c r="D120" s="13"/>
      <c r="E120" s="13"/>
      <c r="F120" s="15">
        <f>Source!AO68</f>
        <v>9.91</v>
      </c>
      <c r="G120" s="31" t="str">
        <f>Source!DG68</f>
        <v/>
      </c>
      <c r="H120" s="15">
        <f>ROUND((Source!CT68/IF(Source!BA68&lt;&gt; 0, Source!BA68,1) * Source!I68), 2)</f>
        <v>118.92</v>
      </c>
      <c r="I120" s="13"/>
      <c r="J120" s="13">
        <f>Source!BA68</f>
        <v>17.52</v>
      </c>
      <c r="K120" s="15">
        <f>Source!S68</f>
        <v>2083.48</v>
      </c>
      <c r="L120" s="13"/>
    </row>
    <row r="121" spans="1:25" ht="15">
      <c r="A121" s="13"/>
      <c r="B121" s="13"/>
      <c r="C121" s="13" t="s">
        <v>505</v>
      </c>
      <c r="D121" s="13"/>
      <c r="E121" s="13"/>
      <c r="F121" s="15">
        <f>Source!AL68</f>
        <v>5.77</v>
      </c>
      <c r="G121" s="31" t="str">
        <f>Source!DD68</f>
        <v/>
      </c>
      <c r="H121" s="15">
        <f>ROUND((Source!CQ68/IF(Source!BC68&lt;&gt; 0, Source!BC68,1) * Source!I68), 2)</f>
        <v>69.239999999999995</v>
      </c>
      <c r="I121" s="13"/>
      <c r="J121" s="13">
        <f>Source!BC68</f>
        <v>5.52</v>
      </c>
      <c r="K121" s="15">
        <f>Source!P68</f>
        <v>382.2</v>
      </c>
      <c r="L121" s="13"/>
    </row>
    <row r="122" spans="1:25" ht="15">
      <c r="A122" s="13"/>
      <c r="B122" s="13"/>
      <c r="C122" s="13" t="s">
        <v>509</v>
      </c>
      <c r="D122" s="16" t="s">
        <v>510</v>
      </c>
      <c r="E122" s="13"/>
      <c r="F122" s="15">
        <f>Source!BZ68</f>
        <v>92</v>
      </c>
      <c r="G122" s="13"/>
      <c r="H122" s="15">
        <f>X122</f>
        <v>109.41</v>
      </c>
      <c r="I122" s="13" t="str">
        <f>Source!FV68</f>
        <v>((*0.85))</v>
      </c>
      <c r="J122" s="15">
        <f>Source!AT68</f>
        <v>78</v>
      </c>
      <c r="K122" s="15">
        <f>Source!X68</f>
        <v>1625.11</v>
      </c>
      <c r="L122" s="13"/>
      <c r="X122">
        <f>ROUND((Source!FX68/100)*(ROUND((Source!CT68/IF(Source!BA68 &lt;&gt; 0, Source!BA68,1) * Source!I68), 2) + ROUND((Source!CS68/IF(Source!BS68 &lt;&gt; 0, Source!BS68, 1) * Source!I68), 2)), 2)</f>
        <v>109.41</v>
      </c>
    </row>
    <row r="123" spans="1:25" ht="15">
      <c r="A123" s="13"/>
      <c r="B123" s="13"/>
      <c r="C123" s="13" t="s">
        <v>93</v>
      </c>
      <c r="D123" s="16" t="s">
        <v>510</v>
      </c>
      <c r="E123" s="13"/>
      <c r="F123" s="15">
        <f>Source!CA68</f>
        <v>65</v>
      </c>
      <c r="G123" s="13"/>
      <c r="H123" s="15">
        <f>Y123</f>
        <v>77.3</v>
      </c>
      <c r="I123" s="13" t="str">
        <f>Source!FW68</f>
        <v>((*0.8))</v>
      </c>
      <c r="J123" s="15">
        <f>Source!AU68</f>
        <v>52</v>
      </c>
      <c r="K123" s="15">
        <f>Source!Y68</f>
        <v>1083.4100000000001</v>
      </c>
      <c r="L123" s="13"/>
      <c r="Y123">
        <f>ROUND((Source!FY68/100)*(ROUND((Source!CT68/IF(Source!BA68 &lt;&gt; 0, Source!BA68,1) * Source!I68), 2) + ROUND((Source!CS68/IF(Source!BS68 &lt;&gt; 0, Source!BS68, 1) * Source!I68), 2)), 2)</f>
        <v>77.3</v>
      </c>
    </row>
    <row r="124" spans="1:25" ht="15">
      <c r="A124" s="33"/>
      <c r="B124" s="33"/>
      <c r="C124" s="33" t="s">
        <v>511</v>
      </c>
      <c r="D124" s="41" t="s">
        <v>512</v>
      </c>
      <c r="E124" s="33">
        <f>Source!AQ68</f>
        <v>1.03</v>
      </c>
      <c r="F124" s="33"/>
      <c r="G124" s="35" t="str">
        <f>Source!DI68</f>
        <v/>
      </c>
      <c r="H124" s="33"/>
      <c r="I124" s="33"/>
      <c r="J124" s="33"/>
      <c r="K124" s="33"/>
      <c r="L124" s="34">
        <f>Source!U68</f>
        <v>12.36</v>
      </c>
    </row>
    <row r="125" spans="1:25" ht="15.75">
      <c r="A125" s="13"/>
      <c r="B125" s="13"/>
      <c r="C125" s="13"/>
      <c r="D125" s="13"/>
      <c r="E125" s="13"/>
      <c r="F125" s="13"/>
      <c r="G125" s="13"/>
      <c r="H125" s="36">
        <f>ROUND((Source!CT68/IF(Source!BA68 &lt;&gt;0, Source!BA68, 1) * Source!I68), 2)+ROUND((Source!CR68 / IF(Source!BB68 &lt;&gt;0, Source!BB68, 1) * Source!I68), 2)+ H121 + H122 + H123</f>
        <v>374.87</v>
      </c>
      <c r="I125" s="37"/>
      <c r="J125" s="37"/>
      <c r="K125" s="36">
        <f>Source!S68+Source!Q68+K121 + K122 + K123</f>
        <v>5174.2</v>
      </c>
      <c r="L125" s="36">
        <f>Source!U68</f>
        <v>12.36</v>
      </c>
      <c r="M125" s="32">
        <f>H125</f>
        <v>374.87</v>
      </c>
      <c r="N125">
        <f>ROUND((Source!CT68/IF(Source!BA68&lt;&gt; 0, Source!BA68,1) * Source!I68), 2)</f>
        <v>118.92</v>
      </c>
      <c r="O125">
        <f>IF( Source!BI68 = 1,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P125">
        <f>IF( Source!BI68 = 2,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374.86439999999999</v>
      </c>
      <c r="Q125">
        <f>IF( Source!BI68 = 3,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R125">
        <f>IF( Source!BI68 = 4,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S125">
        <f>IF( Source!BI68 = 1, Source!O68 + Source!X68 + Source!Y68, 0 )</f>
        <v>0</v>
      </c>
      <c r="T125">
        <f>IF( Source!BI68 = 2, Source!O68 + Source!X68 + Source!Y68, 0 )</f>
        <v>5174.2</v>
      </c>
      <c r="U125">
        <f>IF( Source!BI68 = 3, Source!O68 + Source!X68 + Source!Y68, 0 )</f>
        <v>0</v>
      </c>
      <c r="V125">
        <f>IF( Source!BI68 = 4, Source!O68 + Source!X68 + Source!Y68, 0 )</f>
        <v>0</v>
      </c>
      <c r="W125">
        <f>ROUND((Source!CS68/IF(Source!BS68&lt;&gt; 0, Source!BS68,1) * Source!I68), 2)</f>
        <v>0</v>
      </c>
    </row>
    <row r="126" spans="1:25" ht="30">
      <c r="A126" s="28" t="str">
        <f>Source!E69</f>
        <v>20</v>
      </c>
      <c r="B126" s="28" t="str">
        <f>Source!F69</f>
        <v>м10-08-003-3</v>
      </c>
      <c r="C126" s="29" t="str">
        <f>Source!G69</f>
        <v>Блок питания и контроля</v>
      </c>
      <c r="D126" s="30" t="str">
        <f>Source!H69</f>
        <v>шт.</v>
      </c>
      <c r="E126" s="13">
        <f>ROUND(Source!I69,6)</f>
        <v>1</v>
      </c>
      <c r="F126" s="15">
        <f>IF( Source!AK69 &lt;&gt;0, Source!AK69, Source!AL69 + Source!AM69 + Source!AO69)</f>
        <v>41.349999999999994</v>
      </c>
      <c r="G126" s="13"/>
      <c r="H126" s="13"/>
      <c r="I126" s="31" t="str">
        <f>IF( Source!BO69 &lt;&gt;"", Source!BO69, "" )</f>
        <v>м10-08-003-3</v>
      </c>
      <c r="J126" s="13"/>
      <c r="K126" s="13"/>
      <c r="L126" s="13"/>
    </row>
    <row r="127" spans="1:25" ht="15">
      <c r="A127" s="13"/>
      <c r="B127" s="13"/>
      <c r="C127" s="13" t="s">
        <v>507</v>
      </c>
      <c r="D127" s="13"/>
      <c r="E127" s="13"/>
      <c r="F127" s="15">
        <f>Source!AO69</f>
        <v>36.76</v>
      </c>
      <c r="G127" s="31" t="str">
        <f>Source!DG69</f>
        <v/>
      </c>
      <c r="H127" s="15">
        <f>ROUND((Source!CT69/IF(Source!BA69&lt;&gt; 0, Source!BA69,1) * Source!I69), 2)</f>
        <v>36.76</v>
      </c>
      <c r="I127" s="13"/>
      <c r="J127" s="13">
        <f>Source!BA69</f>
        <v>17.52</v>
      </c>
      <c r="K127" s="15">
        <f>Source!S69</f>
        <v>644.04</v>
      </c>
      <c r="L127" s="13"/>
    </row>
    <row r="128" spans="1:25" ht="15">
      <c r="A128" s="13"/>
      <c r="B128" s="13"/>
      <c r="C128" s="13" t="s">
        <v>77</v>
      </c>
      <c r="D128" s="13"/>
      <c r="E128" s="13"/>
      <c r="F128" s="15">
        <f>Source!AM69</f>
        <v>0.25</v>
      </c>
      <c r="G128" s="31" t="str">
        <f>Source!DE69</f>
        <v/>
      </c>
      <c r="H128" s="15">
        <f>ROUND((Source!CR69/IF(Source!BB69&lt;&gt; 0, Source!BB69,1) * Source!I69), 2)</f>
        <v>0.25</v>
      </c>
      <c r="I128" s="13"/>
      <c r="J128" s="13">
        <f>Source!BB69</f>
        <v>8.44</v>
      </c>
      <c r="K128" s="15">
        <f>Source!Q69</f>
        <v>2.11</v>
      </c>
      <c r="L128" s="13"/>
    </row>
    <row r="129" spans="1:25" ht="15">
      <c r="A129" s="13"/>
      <c r="B129" s="13"/>
      <c r="C129" s="13" t="s">
        <v>505</v>
      </c>
      <c r="D129" s="13"/>
      <c r="E129" s="13"/>
      <c r="F129" s="15">
        <f>Source!AL69</f>
        <v>4.34</v>
      </c>
      <c r="G129" s="31" t="str">
        <f>Source!DD69</f>
        <v/>
      </c>
      <c r="H129" s="15">
        <f>ROUND((Source!CQ69/IF(Source!BC69&lt;&gt; 0, Source!BC69,1) * Source!I69), 2)</f>
        <v>4.34</v>
      </c>
      <c r="I129" s="13"/>
      <c r="J129" s="13">
        <f>Source!BC69</f>
        <v>6.41</v>
      </c>
      <c r="K129" s="15">
        <f>Source!P69</f>
        <v>27.82</v>
      </c>
      <c r="L129" s="13"/>
    </row>
    <row r="130" spans="1:25" ht="15">
      <c r="A130" s="13"/>
      <c r="B130" s="13"/>
      <c r="C130" s="13" t="s">
        <v>509</v>
      </c>
      <c r="D130" s="16" t="s">
        <v>510</v>
      </c>
      <c r="E130" s="13"/>
      <c r="F130" s="15">
        <f>Source!BZ69</f>
        <v>80</v>
      </c>
      <c r="G130" s="13"/>
      <c r="H130" s="15">
        <f>X130</f>
        <v>29.41</v>
      </c>
      <c r="I130" s="13" t="str">
        <f>Source!FV69</f>
        <v>((*0.85))</v>
      </c>
      <c r="J130" s="15">
        <f>Source!AT69</f>
        <v>68</v>
      </c>
      <c r="K130" s="15">
        <f>Source!X69</f>
        <v>437.95</v>
      </c>
      <c r="L130" s="13"/>
      <c r="X130">
        <f>ROUND((Source!FX69/100)*(ROUND((Source!CT69/IF(Source!BA69 &lt;&gt; 0, Source!BA69,1) * Source!I69), 2) + ROUND((Source!CS69/IF(Source!BS69 &lt;&gt; 0, Source!BS69, 1) * Source!I69), 2)), 2)</f>
        <v>29.41</v>
      </c>
    </row>
    <row r="131" spans="1:25" ht="15">
      <c r="A131" s="13"/>
      <c r="B131" s="13"/>
      <c r="C131" s="13" t="s">
        <v>93</v>
      </c>
      <c r="D131" s="16" t="s">
        <v>510</v>
      </c>
      <c r="E131" s="13"/>
      <c r="F131" s="15">
        <f>Source!CA69</f>
        <v>60</v>
      </c>
      <c r="G131" s="13"/>
      <c r="H131" s="15">
        <f>Y131</f>
        <v>22.06</v>
      </c>
      <c r="I131" s="13" t="str">
        <f>Source!FW69</f>
        <v>((*0.8))</v>
      </c>
      <c r="J131" s="15">
        <f>Source!AU69</f>
        <v>48</v>
      </c>
      <c r="K131" s="15">
        <f>Source!Y69</f>
        <v>309.14</v>
      </c>
      <c r="L131" s="13"/>
      <c r="Y131">
        <f>ROUND((Source!FY69/100)*(ROUND((Source!CT69/IF(Source!BA69 &lt;&gt; 0, Source!BA69,1) * Source!I69), 2) + ROUND((Source!CS69/IF(Source!BS69 &lt;&gt; 0, Source!BS69, 1) * Source!I69), 2)), 2)</f>
        <v>22.06</v>
      </c>
    </row>
    <row r="132" spans="1:25" ht="15">
      <c r="A132" s="33"/>
      <c r="B132" s="33"/>
      <c r="C132" s="33" t="s">
        <v>511</v>
      </c>
      <c r="D132" s="41" t="s">
        <v>512</v>
      </c>
      <c r="E132" s="33">
        <f>Source!AQ69</f>
        <v>3.6</v>
      </c>
      <c r="F132" s="33"/>
      <c r="G132" s="35" t="str">
        <f>Source!DI69</f>
        <v/>
      </c>
      <c r="H132" s="33"/>
      <c r="I132" s="33"/>
      <c r="J132" s="33"/>
      <c r="K132" s="33"/>
      <c r="L132" s="34">
        <f>Source!U69</f>
        <v>3.6</v>
      </c>
    </row>
    <row r="133" spans="1:25" ht="15.75">
      <c r="A133" s="13"/>
      <c r="B133" s="13"/>
      <c r="C133" s="13"/>
      <c r="D133" s="13"/>
      <c r="E133" s="13"/>
      <c r="F133" s="13"/>
      <c r="G133" s="13"/>
      <c r="H133" s="36">
        <f>ROUND((Source!CT69/IF(Source!BA69 &lt;&gt;0, Source!BA69, 1) * Source!I69), 2)+ROUND((Source!CR69 / IF(Source!BB69 &lt;&gt;0, Source!BB69, 1) * Source!I69), 2)+ H129 + H130 + H131</f>
        <v>92.82</v>
      </c>
      <c r="I133" s="37"/>
      <c r="J133" s="37"/>
      <c r="K133" s="36">
        <f>Source!S69+Source!Q69+K129 + K130 + K131</f>
        <v>1421.06</v>
      </c>
      <c r="L133" s="36">
        <f>Source!U69</f>
        <v>3.6</v>
      </c>
      <c r="M133" s="32">
        <f>H133</f>
        <v>92.82</v>
      </c>
      <c r="N133">
        <f>ROUND((Source!CT69/IF(Source!BA69&lt;&gt; 0, Source!BA69,1) * Source!I69), 2)</f>
        <v>36.76</v>
      </c>
      <c r="O133">
        <f>IF( Source!BI69 = 1,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P133">
        <f>IF( Source!BI69 = 2,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92.813999999999993</v>
      </c>
      <c r="Q133">
        <f>IF( Source!BI69 = 3,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R133">
        <f>IF( Source!BI69 = 4,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S133">
        <f>IF( Source!BI69 = 1, Source!O69 + Source!X69 + Source!Y69, 0 )</f>
        <v>0</v>
      </c>
      <c r="T133">
        <f>IF( Source!BI69 = 2, Source!O69 + Source!X69 + Source!Y69, 0 )</f>
        <v>1421.06</v>
      </c>
      <c r="U133">
        <f>IF( Source!BI69 = 3, Source!O69 + Source!X69 + Source!Y69, 0 )</f>
        <v>0</v>
      </c>
      <c r="V133">
        <f>IF( Source!BI69 = 4, Source!O69 + Source!X69 + Source!Y69, 0 )</f>
        <v>0</v>
      </c>
      <c r="W133">
        <f>ROUND((Source!CS69/IF(Source!BS69&lt;&gt; 0, Source!BS69,1) * Source!I69), 2)</f>
        <v>0</v>
      </c>
    </row>
    <row r="134" spans="1:25" ht="30">
      <c r="A134" s="28" t="str">
        <f>Source!E70</f>
        <v>21</v>
      </c>
      <c r="B134" s="28" t="str">
        <f>Source!F70</f>
        <v>м08-02-390-1</v>
      </c>
      <c r="C134" s="29" t="str">
        <f>Source!G70</f>
        <v>Короба пластмассовые шириной до 40 мм</v>
      </c>
      <c r="D134" s="30" t="str">
        <f>Source!H70</f>
        <v>100 м</v>
      </c>
      <c r="E134" s="13">
        <f>ROUND(Source!I70,6)</f>
        <v>1</v>
      </c>
      <c r="F134" s="15">
        <f>IF( Source!AK70 &lt;&gt;0, Source!AK70, Source!AL70 + Source!AM70 + Source!AO70)</f>
        <v>237.64999999999998</v>
      </c>
      <c r="G134" s="13"/>
      <c r="H134" s="13"/>
      <c r="I134" s="31" t="str">
        <f>IF( Source!BO70 &lt;&gt;"", Source!BO70, "" )</f>
        <v>м08-02-390-1</v>
      </c>
      <c r="J134" s="13"/>
      <c r="K134" s="13"/>
      <c r="L134" s="13"/>
    </row>
    <row r="135" spans="1:25" ht="15">
      <c r="A135" s="13"/>
      <c r="B135" s="13"/>
      <c r="C135" s="13" t="s">
        <v>507</v>
      </c>
      <c r="D135" s="13"/>
      <c r="E135" s="13"/>
      <c r="F135" s="15">
        <f>Source!AO70</f>
        <v>154.91999999999999</v>
      </c>
      <c r="G135" s="31" t="str">
        <f>Source!DG70</f>
        <v/>
      </c>
      <c r="H135" s="15">
        <f>ROUND((Source!CT70/IF(Source!BA70&lt;&gt; 0, Source!BA70,1) * Source!I70), 2)</f>
        <v>154.91999999999999</v>
      </c>
      <c r="I135" s="13"/>
      <c r="J135" s="13">
        <f>Source!BA70</f>
        <v>17.52</v>
      </c>
      <c r="K135" s="15">
        <f>Source!S70</f>
        <v>2714.2</v>
      </c>
      <c r="L135" s="13"/>
    </row>
    <row r="136" spans="1:25" ht="15">
      <c r="A136" s="13"/>
      <c r="B136" s="13"/>
      <c r="C136" s="13" t="s">
        <v>77</v>
      </c>
      <c r="D136" s="13"/>
      <c r="E136" s="13"/>
      <c r="F136" s="15">
        <f>Source!AM70</f>
        <v>31.2</v>
      </c>
      <c r="G136" s="31" t="str">
        <f>Source!DE70</f>
        <v/>
      </c>
      <c r="H136" s="15">
        <f>ROUND((Source!CR70/IF(Source!BB70&lt;&gt; 0, Source!BB70,1) * Source!I70), 2)</f>
        <v>31.2</v>
      </c>
      <c r="I136" s="13"/>
      <c r="J136" s="13">
        <f>Source!BB70</f>
        <v>7.12</v>
      </c>
      <c r="K136" s="15">
        <f>Source!Q70</f>
        <v>222.14</v>
      </c>
      <c r="L136" s="13"/>
    </row>
    <row r="137" spans="1:25" ht="15">
      <c r="A137" s="13"/>
      <c r="B137" s="13"/>
      <c r="C137" s="13" t="s">
        <v>508</v>
      </c>
      <c r="D137" s="13"/>
      <c r="E137" s="13"/>
      <c r="F137" s="15">
        <f>Source!AN70</f>
        <v>0.12</v>
      </c>
      <c r="G137" s="31" t="str">
        <f>Source!DF70</f>
        <v/>
      </c>
      <c r="H137" s="38">
        <f>ROUND((Source!CS70/IF(Source!BS70&lt;&gt; 0, Source!BS70,1) * Source!I70), 2)</f>
        <v>0.12</v>
      </c>
      <c r="I137" s="13"/>
      <c r="J137" s="13">
        <f>Source!BS70</f>
        <v>17.52</v>
      </c>
      <c r="K137" s="38">
        <f>Source!R70</f>
        <v>2.1</v>
      </c>
      <c r="L137" s="13"/>
    </row>
    <row r="138" spans="1:25" ht="15">
      <c r="A138" s="13"/>
      <c r="B138" s="13"/>
      <c r="C138" s="13" t="s">
        <v>505</v>
      </c>
      <c r="D138" s="13"/>
      <c r="E138" s="13"/>
      <c r="F138" s="15">
        <f>Source!AL70</f>
        <v>51.53</v>
      </c>
      <c r="G138" s="31" t="str">
        <f>Source!DD70</f>
        <v/>
      </c>
      <c r="H138" s="15">
        <f>ROUND((Source!CQ70/IF(Source!BC70&lt;&gt; 0, Source!BC70,1) * Source!I70), 2)</f>
        <v>51.53</v>
      </c>
      <c r="I138" s="13"/>
      <c r="J138" s="13">
        <f>Source!BC70</f>
        <v>2.63</v>
      </c>
      <c r="K138" s="15">
        <f>Source!P70</f>
        <v>135.52000000000001</v>
      </c>
      <c r="L138" s="13"/>
    </row>
    <row r="139" spans="1:25" ht="15">
      <c r="A139" s="13"/>
      <c r="B139" s="13"/>
      <c r="C139" s="13" t="s">
        <v>509</v>
      </c>
      <c r="D139" s="16" t="s">
        <v>510</v>
      </c>
      <c r="E139" s="13"/>
      <c r="F139" s="15">
        <f>Source!BZ70</f>
        <v>95</v>
      </c>
      <c r="G139" s="13"/>
      <c r="H139" s="15">
        <f>X139</f>
        <v>147.29</v>
      </c>
      <c r="I139" s="13" t="str">
        <f>Source!FV70</f>
        <v>((*0.85))</v>
      </c>
      <c r="J139" s="15">
        <f>Source!AT70</f>
        <v>81</v>
      </c>
      <c r="K139" s="15">
        <f>Source!X70</f>
        <v>2200.1999999999998</v>
      </c>
      <c r="L139" s="13"/>
      <c r="X139">
        <f>ROUND((Source!FX70/100)*(ROUND((Source!CT70/IF(Source!BA70 &lt;&gt; 0, Source!BA70,1) * Source!I70), 2) + ROUND((Source!CS70/IF(Source!BS70 &lt;&gt; 0, Source!BS70, 1) * Source!I70), 2)), 2)</f>
        <v>147.29</v>
      </c>
    </row>
    <row r="140" spans="1:25" ht="15">
      <c r="A140" s="13"/>
      <c r="B140" s="13"/>
      <c r="C140" s="13" t="s">
        <v>93</v>
      </c>
      <c r="D140" s="16" t="s">
        <v>510</v>
      </c>
      <c r="E140" s="13"/>
      <c r="F140" s="15">
        <f>Source!CA70</f>
        <v>65</v>
      </c>
      <c r="G140" s="13"/>
      <c r="H140" s="15">
        <f>Y140</f>
        <v>100.78</v>
      </c>
      <c r="I140" s="13" t="str">
        <f>Source!FW70</f>
        <v>((*0.8))</v>
      </c>
      <c r="J140" s="15">
        <f>Source!AU70</f>
        <v>52</v>
      </c>
      <c r="K140" s="15">
        <f>Source!Y70</f>
        <v>1412.48</v>
      </c>
      <c r="L140" s="13"/>
      <c r="Y140">
        <f>ROUND((Source!FY70/100)*(ROUND((Source!CT70/IF(Source!BA70 &lt;&gt; 0, Source!BA70,1) * Source!I70), 2) + ROUND((Source!CS70/IF(Source!BS70 &lt;&gt; 0, Source!BS70, 1) * Source!I70), 2)), 2)</f>
        <v>100.78</v>
      </c>
    </row>
    <row r="141" spans="1:25" ht="15">
      <c r="A141" s="33"/>
      <c r="B141" s="33"/>
      <c r="C141" s="33" t="s">
        <v>511</v>
      </c>
      <c r="D141" s="41" t="s">
        <v>512</v>
      </c>
      <c r="E141" s="33">
        <f>Source!AQ70</f>
        <v>16.29</v>
      </c>
      <c r="F141" s="33"/>
      <c r="G141" s="35" t="str">
        <f>Source!DI70</f>
        <v/>
      </c>
      <c r="H141" s="33"/>
      <c r="I141" s="33"/>
      <c r="J141" s="33"/>
      <c r="K141" s="33"/>
      <c r="L141" s="34">
        <f>Source!U70</f>
        <v>16.29</v>
      </c>
    </row>
    <row r="142" spans="1:25" ht="15.75">
      <c r="A142" s="13"/>
      <c r="B142" s="13"/>
      <c r="C142" s="13"/>
      <c r="D142" s="13"/>
      <c r="E142" s="13"/>
      <c r="F142" s="13"/>
      <c r="G142" s="13"/>
      <c r="H142" s="36">
        <f>ROUND((Source!CT70/IF(Source!BA70 &lt;&gt;0, Source!BA70, 1) * Source!I70), 2)+ROUND((Source!CR70 / IF(Source!BB70 &lt;&gt;0, Source!BB70, 1) * Source!I70), 2)+ H138 + H139 + H140</f>
        <v>485.71999999999991</v>
      </c>
      <c r="I142" s="37"/>
      <c r="J142" s="37"/>
      <c r="K142" s="36">
        <f>Source!S70+Source!Q70+K138 + K139 + K140</f>
        <v>6684.5399999999991</v>
      </c>
      <c r="L142" s="36">
        <f>Source!U70</f>
        <v>16.29</v>
      </c>
      <c r="M142" s="32">
        <f>H142</f>
        <v>485.71999999999991</v>
      </c>
      <c r="N142">
        <f>ROUND((Source!CT70/IF(Source!BA70&lt;&gt; 0, Source!BA70,1) * Source!I70), 2)</f>
        <v>154.91999999999999</v>
      </c>
      <c r="O142">
        <f>IF( Source!BI70 = 1,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P142">
        <f>IF( Source!BI70 = 2,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485.714</v>
      </c>
      <c r="Q142">
        <f>IF( Source!BI70 = 3,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R142">
        <f>IF( Source!BI70 = 4,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S142">
        <f>IF( Source!BI70 = 1, Source!O70 + Source!X70 + Source!Y70, 0 )</f>
        <v>0</v>
      </c>
      <c r="T142">
        <f>IF( Source!BI70 = 2, Source!O70 + Source!X70 + Source!Y70, 0 )</f>
        <v>6684.5399999999991</v>
      </c>
      <c r="U142">
        <f>IF( Source!BI70 = 3, Source!O70 + Source!X70 + Source!Y70, 0 )</f>
        <v>0</v>
      </c>
      <c r="V142">
        <f>IF( Source!BI70 = 4, Source!O70 + Source!X70 + Source!Y70, 0 )</f>
        <v>0</v>
      </c>
      <c r="W142">
        <f>ROUND((Source!CS70/IF(Source!BS70&lt;&gt; 0, Source!BS70,1) * Source!I70), 2)</f>
        <v>0.12</v>
      </c>
    </row>
    <row r="143" spans="1:25" ht="75">
      <c r="A143" s="28" t="str">
        <f>Source!E71</f>
        <v>22</v>
      </c>
      <c r="B143" s="28" t="str">
        <f>Source!F71</f>
        <v>м08-02-409-1</v>
      </c>
      <c r="C143" s="29" t="str">
        <f>Source!G71</f>
        <v>Труба винипластовая по установленным конструкциям, по стенам и колоннам с креплением скобами, диаметр до 25 мм</v>
      </c>
      <c r="D143" s="30" t="str">
        <f>Source!H71</f>
        <v>100 м</v>
      </c>
      <c r="E143" s="13">
        <f>ROUND(Source!I71,6)</f>
        <v>0.1</v>
      </c>
      <c r="F143" s="15">
        <f>IF( Source!AK71 &lt;&gt;0, Source!AK71, Source!AL71 + Source!AM71 + Source!AO71)</f>
        <v>1739.1</v>
      </c>
      <c r="G143" s="13"/>
      <c r="H143" s="13"/>
      <c r="I143" s="31" t="str">
        <f>IF( Source!BO71 &lt;&gt;"", Source!BO71, "" )</f>
        <v>м08-02-409-1</v>
      </c>
      <c r="J143" s="13"/>
      <c r="K143" s="13"/>
      <c r="L143" s="13"/>
    </row>
    <row r="144" spans="1:25" ht="15">
      <c r="A144" s="13"/>
      <c r="B144" s="13"/>
      <c r="C144" s="13" t="s">
        <v>507</v>
      </c>
      <c r="D144" s="13"/>
      <c r="E144" s="13"/>
      <c r="F144" s="15">
        <f>Source!AO71</f>
        <v>223.72</v>
      </c>
      <c r="G144" s="31" t="str">
        <f>Source!DG71</f>
        <v/>
      </c>
      <c r="H144" s="15">
        <f>ROUND((Source!CT71/IF(Source!BA71&lt;&gt; 0, Source!BA71,1) * Source!I71), 2)</f>
        <v>22.37</v>
      </c>
      <c r="I144" s="13"/>
      <c r="J144" s="13">
        <f>Source!BA71</f>
        <v>17.52</v>
      </c>
      <c r="K144" s="15">
        <f>Source!S71</f>
        <v>391.96</v>
      </c>
      <c r="L144" s="13"/>
    </row>
    <row r="145" spans="1:25" ht="15">
      <c r="A145" s="13"/>
      <c r="B145" s="13"/>
      <c r="C145" s="13" t="s">
        <v>77</v>
      </c>
      <c r="D145" s="13"/>
      <c r="E145" s="13"/>
      <c r="F145" s="15">
        <f>Source!AM71</f>
        <v>58.55</v>
      </c>
      <c r="G145" s="31" t="str">
        <f>Source!DE71</f>
        <v/>
      </c>
      <c r="H145" s="15">
        <f>ROUND((Source!CR71/IF(Source!BB71&lt;&gt; 0, Source!BB71,1) * Source!I71), 2)</f>
        <v>5.86</v>
      </c>
      <c r="I145" s="13"/>
      <c r="J145" s="13">
        <f>Source!BB71</f>
        <v>7.54</v>
      </c>
      <c r="K145" s="15">
        <f>Source!Q71</f>
        <v>44.15</v>
      </c>
      <c r="L145" s="13"/>
    </row>
    <row r="146" spans="1:25" ht="15">
      <c r="A146" s="13"/>
      <c r="B146" s="13"/>
      <c r="C146" s="13" t="s">
        <v>508</v>
      </c>
      <c r="D146" s="13"/>
      <c r="E146" s="13"/>
      <c r="F146" s="15">
        <f>Source!AN71</f>
        <v>1.49</v>
      </c>
      <c r="G146" s="31" t="str">
        <f>Source!DF71</f>
        <v/>
      </c>
      <c r="H146" s="38">
        <f>ROUND((Source!CS71/IF(Source!BS71&lt;&gt; 0, Source!BS71,1) * Source!I71), 2)</f>
        <v>0.15</v>
      </c>
      <c r="I146" s="13"/>
      <c r="J146" s="13">
        <f>Source!BS71</f>
        <v>17.52</v>
      </c>
      <c r="K146" s="38">
        <f>Source!R71</f>
        <v>2.61</v>
      </c>
      <c r="L146" s="13"/>
    </row>
    <row r="147" spans="1:25" ht="15">
      <c r="A147" s="13"/>
      <c r="B147" s="13"/>
      <c r="C147" s="13" t="s">
        <v>505</v>
      </c>
      <c r="D147" s="13"/>
      <c r="E147" s="13"/>
      <c r="F147" s="15">
        <f>Source!AL71</f>
        <v>1456.83</v>
      </c>
      <c r="G147" s="31" t="str">
        <f>Source!DD71</f>
        <v/>
      </c>
      <c r="H147" s="15">
        <f>ROUND((Source!CQ71/IF(Source!BC71&lt;&gt; 0, Source!BC71,1) * Source!I71), 2)</f>
        <v>145.68</v>
      </c>
      <c r="I147" s="13"/>
      <c r="J147" s="13">
        <f>Source!BC71</f>
        <v>2.5099999999999998</v>
      </c>
      <c r="K147" s="15">
        <f>Source!P71</f>
        <v>365.66</v>
      </c>
      <c r="L147" s="13"/>
    </row>
    <row r="148" spans="1:25" ht="15">
      <c r="A148" s="13"/>
      <c r="B148" s="13"/>
      <c r="C148" s="13" t="s">
        <v>509</v>
      </c>
      <c r="D148" s="16" t="s">
        <v>510</v>
      </c>
      <c r="E148" s="13"/>
      <c r="F148" s="15">
        <f>Source!BZ71</f>
        <v>95</v>
      </c>
      <c r="G148" s="13"/>
      <c r="H148" s="15">
        <f>X148</f>
        <v>21.39</v>
      </c>
      <c r="I148" s="13" t="str">
        <f>Source!FV71</f>
        <v>((*0.85))</v>
      </c>
      <c r="J148" s="15">
        <f>Source!AT71</f>
        <v>81</v>
      </c>
      <c r="K148" s="15">
        <f>Source!X71</f>
        <v>319.60000000000002</v>
      </c>
      <c r="L148" s="13"/>
      <c r="X148">
        <f>ROUND((Source!FX71/100)*(ROUND((Source!CT71/IF(Source!BA71 &lt;&gt; 0, Source!BA71,1) * Source!I71), 2) + ROUND((Source!CS71/IF(Source!BS71 &lt;&gt; 0, Source!BS71, 1) * Source!I71), 2)), 2)</f>
        <v>21.39</v>
      </c>
    </row>
    <row r="149" spans="1:25" ht="15">
      <c r="A149" s="13"/>
      <c r="B149" s="13"/>
      <c r="C149" s="13" t="s">
        <v>93</v>
      </c>
      <c r="D149" s="16" t="s">
        <v>510</v>
      </c>
      <c r="E149" s="13"/>
      <c r="F149" s="15">
        <f>Source!CA71</f>
        <v>65</v>
      </c>
      <c r="G149" s="13"/>
      <c r="H149" s="15">
        <f>Y149</f>
        <v>14.64</v>
      </c>
      <c r="I149" s="13" t="str">
        <f>Source!FW71</f>
        <v>((*0.8))</v>
      </c>
      <c r="J149" s="15">
        <f>Source!AU71</f>
        <v>52</v>
      </c>
      <c r="K149" s="15">
        <f>Source!Y71</f>
        <v>205.18</v>
      </c>
      <c r="L149" s="13"/>
      <c r="Y149">
        <f>ROUND((Source!FY71/100)*(ROUND((Source!CT71/IF(Source!BA71 &lt;&gt; 0, Source!BA71,1) * Source!I71), 2) + ROUND((Source!CS71/IF(Source!BS71 &lt;&gt; 0, Source!BS71, 1) * Source!I71), 2)), 2)</f>
        <v>14.64</v>
      </c>
    </row>
    <row r="150" spans="1:25" ht="15">
      <c r="A150" s="33"/>
      <c r="B150" s="33"/>
      <c r="C150" s="33" t="s">
        <v>511</v>
      </c>
      <c r="D150" s="41" t="s">
        <v>512</v>
      </c>
      <c r="E150" s="33">
        <f>Source!AQ71</f>
        <v>23.8</v>
      </c>
      <c r="F150" s="33"/>
      <c r="G150" s="35" t="str">
        <f>Source!DI71</f>
        <v/>
      </c>
      <c r="H150" s="33"/>
      <c r="I150" s="33"/>
      <c r="J150" s="33"/>
      <c r="K150" s="33"/>
      <c r="L150" s="34">
        <f>Source!U71</f>
        <v>2.3800000000000003</v>
      </c>
    </row>
    <row r="151" spans="1:25" ht="15.75">
      <c r="A151" s="13"/>
      <c r="B151" s="13"/>
      <c r="C151" s="13"/>
      <c r="D151" s="13"/>
      <c r="E151" s="13"/>
      <c r="F151" s="13"/>
      <c r="G151" s="13"/>
      <c r="H151" s="36">
        <f>ROUND((Source!CT71/IF(Source!BA71 &lt;&gt;0, Source!BA71, 1) * Source!I71), 2)+ROUND((Source!CR71 / IF(Source!BB71 &lt;&gt;0, Source!BB71, 1) * Source!I71), 2)+ H147 + H148 + H149</f>
        <v>209.94</v>
      </c>
      <c r="I151" s="37"/>
      <c r="J151" s="37"/>
      <c r="K151" s="36">
        <f>Source!S71+Source!Q71+K147 + K148 + K149</f>
        <v>1326.55</v>
      </c>
      <c r="L151" s="36">
        <f>Source!U71</f>
        <v>2.3800000000000003</v>
      </c>
      <c r="M151" s="32">
        <f>H151</f>
        <v>209.94</v>
      </c>
      <c r="N151">
        <f>ROUND((Source!CT71/IF(Source!BA71&lt;&gt; 0, Source!BA71,1) * Source!I71), 2)</f>
        <v>22.37</v>
      </c>
      <c r="O151">
        <f>IF( Source!BI71 = 1,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P151">
        <f>IF( Source!BI71 = 2,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209.9436</v>
      </c>
      <c r="Q151">
        <f>IF( Source!BI71 = 3,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R151">
        <f>IF( Source!BI71 = 4,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S151">
        <f>IF( Source!BI71 = 1, Source!O71 + Source!X71 + Source!Y71, 0 )</f>
        <v>0</v>
      </c>
      <c r="T151">
        <f>IF( Source!BI71 = 2, Source!O71 + Source!X71 + Source!Y71, 0 )</f>
        <v>1326.55</v>
      </c>
      <c r="U151">
        <f>IF( Source!BI71 = 3, Source!O71 + Source!X71 + Source!Y71, 0 )</f>
        <v>0</v>
      </c>
      <c r="V151">
        <f>IF( Source!BI71 = 4, Source!O71 + Source!X71 + Source!Y71, 0 )</f>
        <v>0</v>
      </c>
      <c r="W151">
        <f>ROUND((Source!CS71/IF(Source!BS71&lt;&gt; 0, Source!BS71,1) * Source!I71), 2)</f>
        <v>0.15</v>
      </c>
    </row>
    <row r="152" spans="1:25" ht="45">
      <c r="A152" s="28" t="str">
        <f>Source!E72</f>
        <v>23</v>
      </c>
      <c r="B152" s="28" t="str">
        <f>Source!F72</f>
        <v>м08-02-422-1</v>
      </c>
      <c r="C152" s="29" t="str">
        <f>Source!G72</f>
        <v>Затягивание провода в проложенные трубы.Провод один сечением до 2х2,5 мм2</v>
      </c>
      <c r="D152" s="30" t="str">
        <f>Source!H72</f>
        <v>100 м</v>
      </c>
      <c r="E152" s="13">
        <f>ROUND(Source!I72,6)</f>
        <v>0.1</v>
      </c>
      <c r="F152" s="15">
        <f>IF( Source!AK72 &lt;&gt;0, Source!AK72, Source!AL72 + Source!AM72 + Source!AO72)</f>
        <v>457.56</v>
      </c>
      <c r="G152" s="13"/>
      <c r="H152" s="13"/>
      <c r="I152" s="31" t="str">
        <f>IF( Source!BO72 &lt;&gt;"", Source!BO72, "" )</f>
        <v>м08-02-422-1</v>
      </c>
      <c r="J152" s="13"/>
      <c r="K152" s="13"/>
      <c r="L152" s="13"/>
    </row>
    <row r="153" spans="1:25" ht="15">
      <c r="A153" s="13"/>
      <c r="B153" s="13"/>
      <c r="C153" s="13" t="s">
        <v>507</v>
      </c>
      <c r="D153" s="13"/>
      <c r="E153" s="13"/>
      <c r="F153" s="15">
        <f>Source!AO72</f>
        <v>238.08</v>
      </c>
      <c r="G153" s="31" t="str">
        <f>Source!DG72</f>
        <v/>
      </c>
      <c r="H153" s="15">
        <f>ROUND((Source!CT72/IF(Source!BA72&lt;&gt; 0, Source!BA72,1) * Source!I72), 2)</f>
        <v>23.81</v>
      </c>
      <c r="I153" s="13"/>
      <c r="J153" s="13">
        <f>Source!BA72</f>
        <v>17.52</v>
      </c>
      <c r="K153" s="15">
        <f>Source!S72</f>
        <v>417.12</v>
      </c>
      <c r="L153" s="13"/>
    </row>
    <row r="154" spans="1:25" ht="15">
      <c r="A154" s="13"/>
      <c r="B154" s="13"/>
      <c r="C154" s="13" t="s">
        <v>77</v>
      </c>
      <c r="D154" s="13"/>
      <c r="E154" s="13"/>
      <c r="F154" s="15">
        <f>Source!AM72</f>
        <v>2.42</v>
      </c>
      <c r="G154" s="31" t="str">
        <f>Source!DE72</f>
        <v/>
      </c>
      <c r="H154" s="15">
        <f>ROUND((Source!CR72/IF(Source!BB72&lt;&gt; 0, Source!BB72,1) * Source!I72), 2)</f>
        <v>0.24</v>
      </c>
      <c r="I154" s="13"/>
      <c r="J154" s="13">
        <f>Source!BB72</f>
        <v>6.58</v>
      </c>
      <c r="K154" s="15">
        <f>Source!Q72</f>
        <v>1.59</v>
      </c>
      <c r="L154" s="13"/>
    </row>
    <row r="155" spans="1:25" ht="15">
      <c r="A155" s="13"/>
      <c r="B155" s="13"/>
      <c r="C155" s="13" t="s">
        <v>508</v>
      </c>
      <c r="D155" s="13"/>
      <c r="E155" s="13"/>
      <c r="F155" s="15">
        <f>Source!AN72</f>
        <v>0.14000000000000001</v>
      </c>
      <c r="G155" s="31" t="str">
        <f>Source!DF72</f>
        <v/>
      </c>
      <c r="H155" s="38">
        <f>ROUND((Source!CS72/IF(Source!BS72&lt;&gt; 0, Source!BS72,1) * Source!I72), 2)</f>
        <v>0.01</v>
      </c>
      <c r="I155" s="13"/>
      <c r="J155" s="13">
        <f>Source!BS72</f>
        <v>17.52</v>
      </c>
      <c r="K155" s="38">
        <f>Source!R72</f>
        <v>0.25</v>
      </c>
      <c r="L155" s="13"/>
    </row>
    <row r="156" spans="1:25" ht="15">
      <c r="A156" s="13"/>
      <c r="B156" s="13"/>
      <c r="C156" s="13" t="s">
        <v>505</v>
      </c>
      <c r="D156" s="13"/>
      <c r="E156" s="13"/>
      <c r="F156" s="15">
        <f>Source!AL72</f>
        <v>217.06</v>
      </c>
      <c r="G156" s="31" t="str">
        <f>Source!DD72</f>
        <v/>
      </c>
      <c r="H156" s="15">
        <f>ROUND((Source!CQ72/IF(Source!BC72&lt;&gt; 0, Source!BC72,1) * Source!I72), 2)</f>
        <v>21.71</v>
      </c>
      <c r="I156" s="13"/>
      <c r="J156" s="13">
        <f>Source!BC72</f>
        <v>3.53</v>
      </c>
      <c r="K156" s="15">
        <f>Source!P72</f>
        <v>76.62</v>
      </c>
      <c r="L156" s="13"/>
    </row>
    <row r="157" spans="1:25" ht="15">
      <c r="A157" s="13"/>
      <c r="B157" s="13"/>
      <c r="C157" s="13" t="s">
        <v>509</v>
      </c>
      <c r="D157" s="16" t="s">
        <v>510</v>
      </c>
      <c r="E157" s="13"/>
      <c r="F157" s="15">
        <f>Source!BZ72</f>
        <v>95</v>
      </c>
      <c r="G157" s="13"/>
      <c r="H157" s="15">
        <f>X157</f>
        <v>22.63</v>
      </c>
      <c r="I157" s="13" t="str">
        <f>Source!FV72</f>
        <v>((*0.85))</v>
      </c>
      <c r="J157" s="15">
        <f>Source!AT72</f>
        <v>81</v>
      </c>
      <c r="K157" s="15">
        <f>Source!X72</f>
        <v>338.07</v>
      </c>
      <c r="L157" s="13"/>
      <c r="X157">
        <f>ROUND((Source!FX72/100)*(ROUND((Source!CT72/IF(Source!BA72 &lt;&gt; 0, Source!BA72,1) * Source!I72), 2) + ROUND((Source!CS72/IF(Source!BS72 &lt;&gt; 0, Source!BS72, 1) * Source!I72), 2)), 2)</f>
        <v>22.63</v>
      </c>
    </row>
    <row r="158" spans="1:25" ht="15">
      <c r="A158" s="13"/>
      <c r="B158" s="13"/>
      <c r="C158" s="13" t="s">
        <v>93</v>
      </c>
      <c r="D158" s="16" t="s">
        <v>510</v>
      </c>
      <c r="E158" s="13"/>
      <c r="F158" s="15">
        <f>Source!CA72</f>
        <v>65</v>
      </c>
      <c r="G158" s="13"/>
      <c r="H158" s="15">
        <f>Y158</f>
        <v>15.48</v>
      </c>
      <c r="I158" s="13" t="str">
        <f>Source!FW72</f>
        <v>((*0.8))</v>
      </c>
      <c r="J158" s="15">
        <f>Source!AU72</f>
        <v>52</v>
      </c>
      <c r="K158" s="15">
        <f>Source!Y72</f>
        <v>217.03</v>
      </c>
      <c r="L158" s="13"/>
      <c r="Y158">
        <f>ROUND((Source!FY72/100)*(ROUND((Source!CT72/IF(Source!BA72 &lt;&gt; 0, Source!BA72,1) * Source!I72), 2) + ROUND((Source!CS72/IF(Source!BS72 &lt;&gt; 0, Source!BS72, 1) * Source!I72), 2)), 2)</f>
        <v>15.48</v>
      </c>
    </row>
    <row r="159" spans="1:25" ht="15">
      <c r="A159" s="33"/>
      <c r="B159" s="33"/>
      <c r="C159" s="33" t="s">
        <v>511</v>
      </c>
      <c r="D159" s="41" t="s">
        <v>512</v>
      </c>
      <c r="E159" s="33">
        <f>Source!AQ72</f>
        <v>24</v>
      </c>
      <c r="F159" s="33"/>
      <c r="G159" s="35" t="str">
        <f>Source!DI72</f>
        <v/>
      </c>
      <c r="H159" s="33"/>
      <c r="I159" s="33"/>
      <c r="J159" s="33"/>
      <c r="K159" s="33"/>
      <c r="L159" s="34">
        <f>Source!U72</f>
        <v>2.4000000000000004</v>
      </c>
    </row>
    <row r="160" spans="1:25" ht="15.75">
      <c r="A160" s="13"/>
      <c r="B160" s="13"/>
      <c r="C160" s="13"/>
      <c r="D160" s="13"/>
      <c r="E160" s="13"/>
      <c r="F160" s="13"/>
      <c r="G160" s="13"/>
      <c r="H160" s="36">
        <f>ROUND((Source!CT72/IF(Source!BA72 &lt;&gt;0, Source!BA72, 1) * Source!I72), 2)+ROUND((Source!CR72 / IF(Source!BB72 &lt;&gt;0, Source!BB72, 1) * Source!I72), 2)+ H156 + H157 + H158</f>
        <v>83.87</v>
      </c>
      <c r="I160" s="37"/>
      <c r="J160" s="37"/>
      <c r="K160" s="36">
        <f>Source!S72+Source!Q72+K156 + K157 + K158</f>
        <v>1050.43</v>
      </c>
      <c r="L160" s="36">
        <f>Source!U72</f>
        <v>2.4000000000000004</v>
      </c>
      <c r="M160" s="32">
        <f>H160</f>
        <v>83.87</v>
      </c>
      <c r="N160">
        <f>ROUND((Source!CT72/IF(Source!BA72&lt;&gt; 0, Source!BA72,1) * Source!I72), 2)</f>
        <v>23.81</v>
      </c>
      <c r="O160">
        <f>IF( Source!BI72 = 1,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P160">
        <f>IF( Source!BI72 = 2,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83.871200000000016</v>
      </c>
      <c r="Q160">
        <f>IF( Source!BI72 = 3,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R160">
        <f>IF( Source!BI72 = 4,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S160">
        <f>IF( Source!BI72 = 1, Source!O72 + Source!X72 + Source!Y72, 0 )</f>
        <v>0</v>
      </c>
      <c r="T160">
        <f>IF( Source!BI72 = 2, Source!O72 + Source!X72 + Source!Y72, 0 )</f>
        <v>1050.43</v>
      </c>
      <c r="U160">
        <f>IF( Source!BI72 = 3, Source!O72 + Source!X72 + Source!Y72, 0 )</f>
        <v>0</v>
      </c>
      <c r="V160">
        <f>IF( Source!BI72 = 4, Source!O72 + Source!X72 + Source!Y72, 0 )</f>
        <v>0</v>
      </c>
      <c r="W160">
        <f>ROUND((Source!CS72/IF(Source!BS72&lt;&gt; 0, Source!BS72,1) * Source!I72), 2)</f>
        <v>0.01</v>
      </c>
    </row>
    <row r="161" spans="1:25" ht="60">
      <c r="A161" s="28" t="str">
        <f>Source!E73</f>
        <v>24</v>
      </c>
      <c r="B161" s="28" t="str">
        <f>Source!F73</f>
        <v>м10-02-040-2 применительно</v>
      </c>
      <c r="C161" s="29" t="str">
        <f>Source!G73</f>
        <v>Жёсткий диск (Устройство автоматического ввода программ)</v>
      </c>
      <c r="D161" s="30" t="str">
        <f>Source!H73</f>
        <v>устройство</v>
      </c>
      <c r="E161" s="13">
        <f>ROUND(Source!I73,6)</f>
        <v>1</v>
      </c>
      <c r="F161" s="15">
        <f>IF( Source!AK73 &lt;&gt;0, Source!AK73, Source!AL73 + Source!AM73 + Source!AO73)</f>
        <v>484.48</v>
      </c>
      <c r="G161" s="13"/>
      <c r="H161" s="13"/>
      <c r="I161" s="31" t="str">
        <f>IF( Source!BO73 &lt;&gt;"", Source!BO73, "" )</f>
        <v>м10-02-040-2</v>
      </c>
      <c r="J161" s="13"/>
      <c r="K161" s="13"/>
      <c r="L161" s="13"/>
    </row>
    <row r="162" spans="1:25" ht="15">
      <c r="A162" s="13"/>
      <c r="B162" s="13"/>
      <c r="C162" s="13" t="s">
        <v>507</v>
      </c>
      <c r="D162" s="13"/>
      <c r="E162" s="13"/>
      <c r="F162" s="15">
        <f>Source!AO73</f>
        <v>346.32</v>
      </c>
      <c r="G162" s="31" t="str">
        <f>Source!DG73</f>
        <v/>
      </c>
      <c r="H162" s="15">
        <f>ROUND((Source!CT73/IF(Source!BA73&lt;&gt; 0, Source!BA73,1) * Source!I73), 2)</f>
        <v>346.32</v>
      </c>
      <c r="I162" s="13"/>
      <c r="J162" s="13">
        <f>Source!BA73</f>
        <v>17.52</v>
      </c>
      <c r="K162" s="15">
        <f>Source!S73</f>
        <v>6067.53</v>
      </c>
      <c r="L162" s="13"/>
    </row>
    <row r="163" spans="1:25" ht="15">
      <c r="A163" s="13"/>
      <c r="B163" s="13"/>
      <c r="C163" s="13" t="s">
        <v>77</v>
      </c>
      <c r="D163" s="13"/>
      <c r="E163" s="13"/>
      <c r="F163" s="15">
        <f>Source!AM73</f>
        <v>127.79</v>
      </c>
      <c r="G163" s="31" t="str">
        <f>Source!DE73</f>
        <v/>
      </c>
      <c r="H163" s="15">
        <f>ROUND((Source!CR73/IF(Source!BB73&lt;&gt; 0, Source!BB73,1) * Source!I73), 2)</f>
        <v>127.79</v>
      </c>
      <c r="I163" s="13"/>
      <c r="J163" s="13">
        <f>Source!BB73</f>
        <v>6.23</v>
      </c>
      <c r="K163" s="15">
        <f>Source!Q73</f>
        <v>796.13</v>
      </c>
      <c r="L163" s="13"/>
    </row>
    <row r="164" spans="1:25" ht="15">
      <c r="A164" s="13"/>
      <c r="B164" s="13"/>
      <c r="C164" s="13" t="s">
        <v>508</v>
      </c>
      <c r="D164" s="13"/>
      <c r="E164" s="13"/>
      <c r="F164" s="15">
        <f>Source!AN73</f>
        <v>14.29</v>
      </c>
      <c r="G164" s="31" t="str">
        <f>Source!DF73</f>
        <v/>
      </c>
      <c r="H164" s="38">
        <f>ROUND((Source!CS73/IF(Source!BS73&lt;&gt; 0, Source!BS73,1) * Source!I73), 2)</f>
        <v>14.29</v>
      </c>
      <c r="I164" s="13"/>
      <c r="J164" s="13">
        <f>Source!BS73</f>
        <v>17.52</v>
      </c>
      <c r="K164" s="38">
        <f>Source!R73</f>
        <v>250.36</v>
      </c>
      <c r="L164" s="13"/>
    </row>
    <row r="165" spans="1:25" ht="15">
      <c r="A165" s="13"/>
      <c r="B165" s="13"/>
      <c r="C165" s="13" t="s">
        <v>505</v>
      </c>
      <c r="D165" s="13"/>
      <c r="E165" s="13"/>
      <c r="F165" s="15">
        <f>Source!AL73</f>
        <v>10.37</v>
      </c>
      <c r="G165" s="31" t="str">
        <f>Source!DD73</f>
        <v/>
      </c>
      <c r="H165" s="15">
        <f>ROUND((Source!CQ73/IF(Source!BC73&lt;&gt; 0, Source!BC73,1) * Source!I73), 2)</f>
        <v>10.37</v>
      </c>
      <c r="I165" s="13"/>
      <c r="J165" s="13">
        <f>Source!BC73</f>
        <v>12.12</v>
      </c>
      <c r="K165" s="15">
        <f>Source!P73</f>
        <v>125.68</v>
      </c>
      <c r="L165" s="13"/>
    </row>
    <row r="166" spans="1:25" ht="15">
      <c r="A166" s="13"/>
      <c r="B166" s="13"/>
      <c r="C166" s="13" t="s">
        <v>509</v>
      </c>
      <c r="D166" s="16" t="s">
        <v>510</v>
      </c>
      <c r="E166" s="13"/>
      <c r="F166" s="15">
        <f>Source!BZ73</f>
        <v>80</v>
      </c>
      <c r="G166" s="13"/>
      <c r="H166" s="15">
        <f>X166</f>
        <v>288.49</v>
      </c>
      <c r="I166" s="13" t="str">
        <f>Source!FV73</f>
        <v>((*0.85))</v>
      </c>
      <c r="J166" s="15">
        <f>Source!AT73</f>
        <v>68</v>
      </c>
      <c r="K166" s="15">
        <f>Source!X73</f>
        <v>4296.17</v>
      </c>
      <c r="L166" s="13"/>
      <c r="X166">
        <f>ROUND((Source!FX73/100)*(ROUND((Source!CT73/IF(Source!BA73 &lt;&gt; 0, Source!BA73,1) * Source!I73), 2) + ROUND((Source!CS73/IF(Source!BS73 &lt;&gt; 0, Source!BS73, 1) * Source!I73), 2)), 2)</f>
        <v>288.49</v>
      </c>
    </row>
    <row r="167" spans="1:25" ht="15">
      <c r="A167" s="13"/>
      <c r="B167" s="13"/>
      <c r="C167" s="13" t="s">
        <v>93</v>
      </c>
      <c r="D167" s="16" t="s">
        <v>510</v>
      </c>
      <c r="E167" s="13"/>
      <c r="F167" s="15">
        <f>Source!CA73</f>
        <v>60</v>
      </c>
      <c r="G167" s="13"/>
      <c r="H167" s="15">
        <f>Y167</f>
        <v>216.37</v>
      </c>
      <c r="I167" s="13" t="str">
        <f>Source!FW73</f>
        <v>((*0.8))</v>
      </c>
      <c r="J167" s="15">
        <f>Source!AU73</f>
        <v>48</v>
      </c>
      <c r="K167" s="15">
        <f>Source!Y73</f>
        <v>3032.59</v>
      </c>
      <c r="L167" s="13"/>
      <c r="Y167">
        <f>ROUND((Source!FY73/100)*(ROUND((Source!CT73/IF(Source!BA73 &lt;&gt; 0, Source!BA73,1) * Source!I73), 2) + ROUND((Source!CS73/IF(Source!BS73 &lt;&gt; 0, Source!BS73, 1) * Source!I73), 2)), 2)</f>
        <v>216.37</v>
      </c>
    </row>
    <row r="168" spans="1:25" ht="15">
      <c r="A168" s="33"/>
      <c r="B168" s="33"/>
      <c r="C168" s="33" t="s">
        <v>511</v>
      </c>
      <c r="D168" s="41" t="s">
        <v>512</v>
      </c>
      <c r="E168" s="33">
        <f>Source!AQ73</f>
        <v>36</v>
      </c>
      <c r="F168" s="33"/>
      <c r="G168" s="35" t="str">
        <f>Source!DI73</f>
        <v/>
      </c>
      <c r="H168" s="33"/>
      <c r="I168" s="33"/>
      <c r="J168" s="33"/>
      <c r="K168" s="33"/>
      <c r="L168" s="34">
        <f>Source!U73</f>
        <v>36</v>
      </c>
    </row>
    <row r="169" spans="1:25" ht="15.75">
      <c r="A169" s="13"/>
      <c r="B169" s="13"/>
      <c r="C169" s="13"/>
      <c r="D169" s="13"/>
      <c r="E169" s="13"/>
      <c r="F169" s="13"/>
      <c r="G169" s="13"/>
      <c r="H169" s="36">
        <f>ROUND((Source!CT73/IF(Source!BA73 &lt;&gt;0, Source!BA73, 1) * Source!I73), 2)+ROUND((Source!CR73 / IF(Source!BB73 &lt;&gt;0, Source!BB73, 1) * Source!I73), 2)+ H165 + H166 + H167</f>
        <v>989.34</v>
      </c>
      <c r="I169" s="37"/>
      <c r="J169" s="37"/>
      <c r="K169" s="36">
        <f>Source!S73+Source!Q73+K165 + K166 + K167</f>
        <v>14318.1</v>
      </c>
      <c r="L169" s="36">
        <f>Source!U73</f>
        <v>36</v>
      </c>
      <c r="M169" s="32">
        <f>H169</f>
        <v>989.34</v>
      </c>
      <c r="N169">
        <f>ROUND((Source!CT73/IF(Source!BA73&lt;&gt; 0, Source!BA73,1) * Source!I73), 2)</f>
        <v>346.32</v>
      </c>
      <c r="O169">
        <f>IF( Source!BI73 = 1,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P169">
        <f>IF( Source!BI73 = 2,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989.33400000000006</v>
      </c>
      <c r="Q169">
        <f>IF( Source!BI73 = 3,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R169">
        <f>IF( Source!BI73 = 4,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S169">
        <f>IF( Source!BI73 = 1, Source!O73 + Source!X73 + Source!Y73, 0 )</f>
        <v>0</v>
      </c>
      <c r="T169">
        <f>IF( Source!BI73 = 2, Source!O73 + Source!X73 + Source!Y73, 0 )</f>
        <v>14318.1</v>
      </c>
      <c r="U169">
        <f>IF( Source!BI73 = 3, Source!O73 + Source!X73 + Source!Y73, 0 )</f>
        <v>0</v>
      </c>
      <c r="V169">
        <f>IF( Source!BI73 = 4, Source!O73 + Source!X73 + Source!Y73, 0 )</f>
        <v>0</v>
      </c>
      <c r="W169">
        <f>ROUND((Source!CS73/IF(Source!BS73&lt;&gt; 0, Source!BS73,1) * Source!I73), 2)</f>
        <v>14.29</v>
      </c>
    </row>
    <row r="170" spans="1:25" ht="30">
      <c r="A170" s="28" t="str">
        <f>Source!E74</f>
        <v>25</v>
      </c>
      <c r="B170" s="28" t="str">
        <f>Source!F74</f>
        <v>м08-01-121-6</v>
      </c>
      <c r="C170" s="29" t="str">
        <f>Source!G74</f>
        <v>Аккумулятор кислотный стационарный, тип АКБ</v>
      </c>
      <c r="D170" s="30" t="str">
        <f>Source!H74</f>
        <v>шт.</v>
      </c>
      <c r="E170" s="13">
        <f>ROUND(Source!I74,6)</f>
        <v>1</v>
      </c>
      <c r="F170" s="15">
        <f>IF( Source!AK74 &lt;&gt;0, Source!AK74, Source!AL74 + Source!AM74 + Source!AO74)</f>
        <v>145.75</v>
      </c>
      <c r="G170" s="13"/>
      <c r="H170" s="13"/>
      <c r="I170" s="31" t="str">
        <f>IF( Source!BO74 &lt;&gt;"", Source!BO74, "" )</f>
        <v>м08-01-121-6</v>
      </c>
      <c r="J170" s="13"/>
      <c r="K170" s="13"/>
      <c r="L170" s="13"/>
    </row>
    <row r="171" spans="1:25" ht="15">
      <c r="A171" s="13"/>
      <c r="B171" s="13"/>
      <c r="C171" s="13" t="s">
        <v>507</v>
      </c>
      <c r="D171" s="13"/>
      <c r="E171" s="13"/>
      <c r="F171" s="15">
        <f>Source!AO74</f>
        <v>49.54</v>
      </c>
      <c r="G171" s="31" t="str">
        <f>Source!DG74</f>
        <v/>
      </c>
      <c r="H171" s="15">
        <f>ROUND((Source!CT74/IF(Source!BA74&lt;&gt; 0, Source!BA74,1) * Source!I74), 2)</f>
        <v>49.54</v>
      </c>
      <c r="I171" s="13"/>
      <c r="J171" s="13">
        <f>Source!BA74</f>
        <v>17.52</v>
      </c>
      <c r="K171" s="15">
        <f>Source!S74</f>
        <v>867.94</v>
      </c>
      <c r="L171" s="13"/>
    </row>
    <row r="172" spans="1:25" ht="15">
      <c r="A172" s="13"/>
      <c r="B172" s="13"/>
      <c r="C172" s="13" t="s">
        <v>505</v>
      </c>
      <c r="D172" s="13"/>
      <c r="E172" s="13"/>
      <c r="F172" s="15">
        <f>Source!AL74</f>
        <v>96.21</v>
      </c>
      <c r="G172" s="31" t="str">
        <f>Source!DD74</f>
        <v/>
      </c>
      <c r="H172" s="15">
        <f>ROUND((Source!CQ74/IF(Source!BC74&lt;&gt; 0, Source!BC74,1) * Source!I74), 2)</f>
        <v>96.21</v>
      </c>
      <c r="I172" s="13"/>
      <c r="J172" s="13">
        <f>Source!BC74</f>
        <v>3.42</v>
      </c>
      <c r="K172" s="15">
        <f>Source!P74</f>
        <v>329.04</v>
      </c>
      <c r="L172" s="13"/>
    </row>
    <row r="173" spans="1:25" ht="15">
      <c r="A173" s="13"/>
      <c r="B173" s="13"/>
      <c r="C173" s="13" t="s">
        <v>509</v>
      </c>
      <c r="D173" s="16" t="s">
        <v>510</v>
      </c>
      <c r="E173" s="13"/>
      <c r="F173" s="15">
        <f>Source!BZ74</f>
        <v>95</v>
      </c>
      <c r="G173" s="13"/>
      <c r="H173" s="15">
        <f>X173</f>
        <v>47.06</v>
      </c>
      <c r="I173" s="13" t="str">
        <f>Source!FV74</f>
        <v>((*0.85))</v>
      </c>
      <c r="J173" s="15">
        <f>Source!AT74</f>
        <v>81</v>
      </c>
      <c r="K173" s="15">
        <f>Source!X74</f>
        <v>703.03</v>
      </c>
      <c r="L173" s="13"/>
      <c r="X173">
        <f>ROUND((Source!FX74/100)*(ROUND((Source!CT74/IF(Source!BA74 &lt;&gt; 0, Source!BA74,1) * Source!I74), 2) + ROUND((Source!CS74/IF(Source!BS74 &lt;&gt; 0, Source!BS74, 1) * Source!I74), 2)), 2)</f>
        <v>47.06</v>
      </c>
    </row>
    <row r="174" spans="1:25" ht="15">
      <c r="A174" s="13"/>
      <c r="B174" s="13"/>
      <c r="C174" s="13" t="s">
        <v>93</v>
      </c>
      <c r="D174" s="16" t="s">
        <v>510</v>
      </c>
      <c r="E174" s="13"/>
      <c r="F174" s="15">
        <f>Source!CA74</f>
        <v>65</v>
      </c>
      <c r="G174" s="13"/>
      <c r="H174" s="15">
        <f>Y174</f>
        <v>32.200000000000003</v>
      </c>
      <c r="I174" s="13" t="str">
        <f>Source!FW74</f>
        <v>((*0.8))</v>
      </c>
      <c r="J174" s="15">
        <f>Source!AU74</f>
        <v>52</v>
      </c>
      <c r="K174" s="15">
        <f>Source!Y74</f>
        <v>451.33</v>
      </c>
      <c r="L174" s="13"/>
      <c r="Y174">
        <f>ROUND((Source!FY74/100)*(ROUND((Source!CT74/IF(Source!BA74 &lt;&gt; 0, Source!BA74,1) * Source!I74), 2) + ROUND((Source!CS74/IF(Source!BS74 &lt;&gt; 0, Source!BS74, 1) * Source!I74), 2)), 2)</f>
        <v>32.200000000000003</v>
      </c>
    </row>
    <row r="175" spans="1:25" ht="15">
      <c r="A175" s="33"/>
      <c r="B175" s="33"/>
      <c r="C175" s="33" t="s">
        <v>511</v>
      </c>
      <c r="D175" s="41" t="s">
        <v>512</v>
      </c>
      <c r="E175" s="33">
        <f>Source!AQ74</f>
        <v>5.15</v>
      </c>
      <c r="F175" s="33"/>
      <c r="G175" s="35" t="str">
        <f>Source!DI74</f>
        <v/>
      </c>
      <c r="H175" s="33"/>
      <c r="I175" s="33"/>
      <c r="J175" s="33"/>
      <c r="K175" s="33"/>
      <c r="L175" s="34">
        <f>Source!U74</f>
        <v>5.15</v>
      </c>
    </row>
    <row r="176" spans="1:25" ht="15.75">
      <c r="A176" s="13"/>
      <c r="B176" s="13"/>
      <c r="C176" s="13"/>
      <c r="D176" s="13"/>
      <c r="E176" s="13"/>
      <c r="F176" s="13"/>
      <c r="G176" s="13"/>
      <c r="H176" s="36">
        <f>ROUND((Source!CT74/IF(Source!BA74 &lt;&gt;0, Source!BA74, 1) * Source!I74), 2)+ROUND((Source!CR74 / IF(Source!BB74 &lt;&gt;0, Source!BB74, 1) * Source!I74), 2)+ H172 + H173 + H174</f>
        <v>225.01</v>
      </c>
      <c r="I176" s="37"/>
      <c r="J176" s="37"/>
      <c r="K176" s="36">
        <f>Source!S74+Source!Q74+K172 + K173 + K174</f>
        <v>2351.34</v>
      </c>
      <c r="L176" s="36">
        <f>Source!U74</f>
        <v>5.15</v>
      </c>
      <c r="M176" s="32">
        <f>H176</f>
        <v>225.01</v>
      </c>
      <c r="N176">
        <f>ROUND((Source!CT74/IF(Source!BA74&lt;&gt; 0, Source!BA74,1) * Source!I74), 2)</f>
        <v>49.54</v>
      </c>
      <c r="O176">
        <f>IF( Source!BI74 = 1,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P176">
        <f>IF( Source!BI74 = 2,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225.01399999999998</v>
      </c>
      <c r="Q176">
        <f>IF( Source!BI74 = 3,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R176">
        <f>IF( Source!BI74 = 4,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S176">
        <f>IF( Source!BI74 = 1, Source!O74 + Source!X74 + Source!Y74, 0 )</f>
        <v>0</v>
      </c>
      <c r="T176">
        <f>IF( Source!BI74 = 2, Source!O74 + Source!X74 + Source!Y74, 0 )</f>
        <v>2351.34</v>
      </c>
      <c r="U176">
        <f>IF( Source!BI74 = 3, Source!O74 + Source!X74 + Source!Y74, 0 )</f>
        <v>0</v>
      </c>
      <c r="V176">
        <f>IF( Source!BI74 = 4, Source!O74 + Source!X74 + Source!Y74, 0 )</f>
        <v>0</v>
      </c>
      <c r="W176">
        <f>ROUND((Source!CS74/IF(Source!BS74&lt;&gt; 0, Source!BS74,1) * Source!I74), 2)</f>
        <v>0</v>
      </c>
    </row>
    <row r="178" spans="1:30" s="37" customFormat="1" ht="15.75">
      <c r="C178" s="37" t="s">
        <v>94</v>
      </c>
      <c r="G178" s="128">
        <f>SUM(M87:M177)</f>
        <v>4671.66</v>
      </c>
      <c r="H178" s="128"/>
      <c r="J178" s="128">
        <f>ROUND(Source!AB62+Source!AK62+Source!AL62+Source!AE62*0/100,2)</f>
        <v>62695.7</v>
      </c>
      <c r="K178" s="128"/>
      <c r="L178" s="36">
        <f>Source!AH62</f>
        <v>155.16</v>
      </c>
      <c r="N178" s="36">
        <f t="shared" ref="N178:W178" si="1">SUM(N87:N177)</f>
        <v>1556.6699999999996</v>
      </c>
      <c r="O178" s="36">
        <f t="shared" si="1"/>
        <v>0</v>
      </c>
      <c r="P178" s="36">
        <f t="shared" si="1"/>
        <v>4671.6427999999996</v>
      </c>
      <c r="Q178" s="36">
        <f t="shared" si="1"/>
        <v>0</v>
      </c>
      <c r="R178" s="36">
        <f t="shared" si="1"/>
        <v>0</v>
      </c>
      <c r="S178" s="36">
        <f t="shared" si="1"/>
        <v>0</v>
      </c>
      <c r="T178" s="36">
        <f t="shared" si="1"/>
        <v>62695.7</v>
      </c>
      <c r="U178" s="36">
        <f t="shared" si="1"/>
        <v>0</v>
      </c>
      <c r="V178" s="36">
        <f t="shared" si="1"/>
        <v>0</v>
      </c>
      <c r="W178" s="37">
        <f t="shared" si="1"/>
        <v>14.969999999999999</v>
      </c>
    </row>
    <row r="181" spans="1:30" s="13" customFormat="1" ht="15.75">
      <c r="C181" s="37" t="s">
        <v>506</v>
      </c>
      <c r="D181" s="127" t="str">
        <f>Source!G76</f>
        <v>2. Монтажные работы</v>
      </c>
      <c r="E181" s="127"/>
      <c r="F181" s="127"/>
      <c r="G181" s="127"/>
      <c r="H181" s="127"/>
      <c r="I181" s="127"/>
      <c r="J181" s="127"/>
      <c r="K181" s="127"/>
    </row>
    <row r="182" spans="1:30" s="37" customFormat="1" ht="15.75">
      <c r="C182" s="127" t="str">
        <f>Source!H91</f>
        <v>Итого</v>
      </c>
      <c r="D182" s="127"/>
      <c r="E182" s="127"/>
      <c r="F182" s="127"/>
      <c r="G182" s="127"/>
      <c r="H182" s="127"/>
      <c r="I182" s="127"/>
      <c r="J182" s="128">
        <f>Source!F91</f>
        <v>62695.7</v>
      </c>
      <c r="K182" s="129"/>
    </row>
    <row r="183" spans="1:30" ht="18">
      <c r="C183" s="25" t="s">
        <v>504</v>
      </c>
      <c r="D183" s="130" t="str">
        <f>IF(Source!C12="1", Source!F93, Source!G93)</f>
        <v>3. Пусконаладочные работы</v>
      </c>
      <c r="E183" s="131"/>
      <c r="F183" s="131"/>
      <c r="G183" s="131"/>
      <c r="H183" s="131"/>
      <c r="I183" s="131"/>
      <c r="J183" s="131"/>
      <c r="K183" s="131"/>
      <c r="L183" s="131"/>
      <c r="AD183" s="27" t="str">
        <f>IF(Source!C12="1", Source!F93, Source!G93)</f>
        <v>3. Пусконаладочные работы</v>
      </c>
    </row>
    <row r="185" spans="1:30" ht="75">
      <c r="A185" s="28" t="str">
        <f>Source!E97</f>
        <v>26</v>
      </c>
      <c r="B185" s="28" t="s">
        <v>513</v>
      </c>
      <c r="C185" s="29" t="str">
        <f>Source!G97</f>
        <v>Сбор и реализация сигналов информации устройств защиты, автоматики электрических и технологических режимов</v>
      </c>
      <c r="D185" s="30" t="str">
        <f>Source!H97</f>
        <v>сигнал</v>
      </c>
      <c r="E185" s="13">
        <f>ROUND(Source!I97,6)</f>
        <v>4</v>
      </c>
      <c r="F185" s="15">
        <f>IF( Source!AK97 &lt;&gt;0, Source!AK97, Source!AL97 + Source!AM97 + Source!AO97)</f>
        <v>17.55</v>
      </c>
      <c r="G185" s="13"/>
      <c r="H185" s="13"/>
      <c r="I185" s="31" t="str">
        <f>IF( Source!BO97 &lt;&gt;"", Source!BO97, "" )</f>
        <v>п01-10-001-1</v>
      </c>
      <c r="J185" s="13"/>
      <c r="K185" s="13"/>
      <c r="L185" s="13"/>
    </row>
    <row r="186" spans="1:30" ht="15">
      <c r="A186" s="13"/>
      <c r="B186" s="13"/>
      <c r="C186" s="13" t="s">
        <v>507</v>
      </c>
      <c r="D186" s="13"/>
      <c r="E186" s="13"/>
      <c r="F186" s="15">
        <f>Source!AO97</f>
        <v>17.55</v>
      </c>
      <c r="G186" s="31" t="str">
        <f>Source!DG97</f>
        <v>)*0,8</v>
      </c>
      <c r="H186" s="15">
        <f>ROUND((Source!CT97/IF(Source!BA97&lt;&gt; 0, Source!BA97,1) * Source!I97), 2)</f>
        <v>56.16</v>
      </c>
      <c r="I186" s="13"/>
      <c r="J186" s="13">
        <f>Source!BA97</f>
        <v>17.52</v>
      </c>
      <c r="K186" s="15">
        <f>Source!S97</f>
        <v>983.92</v>
      </c>
      <c r="L186" s="13"/>
    </row>
    <row r="187" spans="1:30" ht="15">
      <c r="A187" s="13"/>
      <c r="B187" s="13"/>
      <c r="C187" s="13" t="s">
        <v>509</v>
      </c>
      <c r="D187" s="16" t="s">
        <v>510</v>
      </c>
      <c r="E187" s="13"/>
      <c r="F187" s="15">
        <f>Source!BZ97</f>
        <v>65</v>
      </c>
      <c r="G187" s="13"/>
      <c r="H187" s="15">
        <f>X187</f>
        <v>36.5</v>
      </c>
      <c r="I187" s="13" t="str">
        <f>Source!FV97</f>
        <v>((*0.85))</v>
      </c>
      <c r="J187" s="15">
        <f>Source!AT97</f>
        <v>55</v>
      </c>
      <c r="K187" s="15">
        <f>Source!X97</f>
        <v>541.16</v>
      </c>
      <c r="L187" s="13"/>
      <c r="X187">
        <f>ROUND((Source!FX97/100)*(ROUND((Source!CT97/IF(Source!BA97 &lt;&gt; 0, Source!BA97,1) * Source!I97), 2) + ROUND((Source!CS97/IF(Source!BS97 &lt;&gt; 0, Source!BS97, 1) * Source!I97), 2)), 2)</f>
        <v>36.5</v>
      </c>
    </row>
    <row r="188" spans="1:30" ht="15">
      <c r="A188" s="13"/>
      <c r="B188" s="13"/>
      <c r="C188" s="13" t="s">
        <v>93</v>
      </c>
      <c r="D188" s="16" t="s">
        <v>510</v>
      </c>
      <c r="E188" s="13"/>
      <c r="F188" s="15">
        <f>Source!CA97</f>
        <v>40</v>
      </c>
      <c r="G188" s="13"/>
      <c r="H188" s="15">
        <f>Y188</f>
        <v>22.46</v>
      </c>
      <c r="I188" s="13" t="str">
        <f>Source!FW97</f>
        <v>((*0.8))</v>
      </c>
      <c r="J188" s="15">
        <f>Source!AU97</f>
        <v>32</v>
      </c>
      <c r="K188" s="15">
        <f>Source!Y97</f>
        <v>314.85000000000002</v>
      </c>
      <c r="L188" s="13"/>
      <c r="Y188">
        <f>ROUND((Source!FY97/100)*(ROUND((Source!CT97/IF(Source!BA97 &lt;&gt; 0, Source!BA97,1) * Source!I97), 2) + ROUND((Source!CS97/IF(Source!BS97 &lt;&gt; 0, Source!BS97, 1) * Source!I97), 2)), 2)</f>
        <v>22.46</v>
      </c>
    </row>
    <row r="189" spans="1:30" ht="15">
      <c r="A189" s="33"/>
      <c r="B189" s="33"/>
      <c r="C189" s="33" t="s">
        <v>511</v>
      </c>
      <c r="D189" s="41" t="s">
        <v>512</v>
      </c>
      <c r="E189" s="33">
        <f>Source!AQ97</f>
        <v>1.5</v>
      </c>
      <c r="F189" s="33"/>
      <c r="G189" s="35" t="str">
        <f>Source!DI97</f>
        <v>)*0,8</v>
      </c>
      <c r="H189" s="33"/>
      <c r="I189" s="33"/>
      <c r="J189" s="33"/>
      <c r="K189" s="33"/>
      <c r="L189" s="34">
        <f>Source!U97</f>
        <v>4.8000000000000007</v>
      </c>
    </row>
    <row r="190" spans="1:30" ht="15.75">
      <c r="A190" s="13"/>
      <c r="B190" s="13"/>
      <c r="C190" s="13"/>
      <c r="D190" s="13"/>
      <c r="E190" s="13"/>
      <c r="F190" s="13"/>
      <c r="G190" s="13"/>
      <c r="H190" s="36">
        <f>ROUND((Source!CT97/IF(Source!BA97 &lt;&gt;0, Source!BA97, 1) * Source!I97), 2)+ROUND((Source!CR97 / IF(Source!BB97 &lt;&gt;0, Source!BB97, 1) * Source!I97), 2)+ H187 + H188</f>
        <v>115.12</v>
      </c>
      <c r="I190" s="37"/>
      <c r="J190" s="37"/>
      <c r="K190" s="36">
        <f>Source!S97+Source!Q97+K187 + K188</f>
        <v>1839.9299999999998</v>
      </c>
      <c r="L190" s="36">
        <f>Source!U97</f>
        <v>4.8000000000000007</v>
      </c>
      <c r="M190" s="32">
        <f>H190</f>
        <v>115.12</v>
      </c>
      <c r="N190">
        <f>ROUND((Source!CT97/IF(Source!BA97&lt;&gt; 0, Source!BA97,1) * Source!I97), 2)</f>
        <v>56.16</v>
      </c>
      <c r="O190">
        <f>IF( Source!BI97 = 1,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P190">
        <f>IF( Source!BI97 = 2,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Q190">
        <f>IF( Source!BI97 = 3,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R190">
        <f>IF( Source!BI97 = 4,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115.12799999999999</v>
      </c>
      <c r="S190">
        <f>IF( Source!BI97 = 1, Source!O97 + Source!X97 + Source!Y97, 0 )</f>
        <v>0</v>
      </c>
      <c r="T190">
        <f>IF( Source!BI97 = 2, Source!O97 + Source!X97 + Source!Y97, 0 )</f>
        <v>0</v>
      </c>
      <c r="U190">
        <f>IF( Source!BI97 = 3, Source!O97 + Source!X97 + Source!Y97, 0 )</f>
        <v>0</v>
      </c>
      <c r="V190">
        <f>IF( Source!BI97 = 4, Source!O97 + Source!X97 + Source!Y97, 0 )</f>
        <v>1839.9299999999998</v>
      </c>
      <c r="W190">
        <f>ROUND((Source!CS97/IF(Source!BS97&lt;&gt; 0, Source!BS97,1) * Source!I97), 2)</f>
        <v>0</v>
      </c>
    </row>
    <row r="191" spans="1:30" ht="75">
      <c r="A191" s="28" t="str">
        <f>Source!E98</f>
        <v>27</v>
      </c>
      <c r="B191" s="28" t="s">
        <v>514</v>
      </c>
      <c r="C191" s="29" t="str">
        <f>Source!G98</f>
        <v>Схема образования участка сигнализации (центральной, технологической, местной, аварийной, предупредительной и др.)</v>
      </c>
      <c r="D191" s="30" t="str">
        <f>Source!H98</f>
        <v>участок</v>
      </c>
      <c r="E191" s="13">
        <f>ROUND(Source!I98,6)</f>
        <v>1</v>
      </c>
      <c r="F191" s="15">
        <f>IF( Source!AK98 &lt;&gt;0, Source!AK98, Source!AL98 + Source!AM98 + Source!AO98)</f>
        <v>339.24</v>
      </c>
      <c r="G191" s="13"/>
      <c r="H191" s="13"/>
      <c r="I191" s="31" t="str">
        <f>IF( Source!BO98 &lt;&gt;"", Source!BO98, "" )</f>
        <v>п01-10-002-1</v>
      </c>
      <c r="J191" s="13"/>
      <c r="K191" s="13"/>
      <c r="L191" s="13"/>
    </row>
    <row r="192" spans="1:30" ht="15">
      <c r="A192" s="13"/>
      <c r="B192" s="13"/>
      <c r="C192" s="13" t="s">
        <v>507</v>
      </c>
      <c r="D192" s="13"/>
      <c r="E192" s="13"/>
      <c r="F192" s="15">
        <f>Source!AO98</f>
        <v>339.24</v>
      </c>
      <c r="G192" s="31" t="str">
        <f>Source!DG98</f>
        <v>)*0,8</v>
      </c>
      <c r="H192" s="15">
        <f>ROUND((Source!CT98/IF(Source!BA98&lt;&gt; 0, Source!BA98,1) * Source!I98), 2)</f>
        <v>271.39</v>
      </c>
      <c r="I192" s="13"/>
      <c r="J192" s="13">
        <f>Source!BA98</f>
        <v>17.52</v>
      </c>
      <c r="K192" s="15">
        <f>Source!S98</f>
        <v>4754.79</v>
      </c>
      <c r="L192" s="13"/>
    </row>
    <row r="193" spans="1:25" ht="15">
      <c r="A193" s="13"/>
      <c r="B193" s="13"/>
      <c r="C193" s="13" t="s">
        <v>509</v>
      </c>
      <c r="D193" s="16" t="s">
        <v>510</v>
      </c>
      <c r="E193" s="13"/>
      <c r="F193" s="15">
        <f>Source!BZ98</f>
        <v>65</v>
      </c>
      <c r="G193" s="13"/>
      <c r="H193" s="15">
        <f>X193</f>
        <v>176.4</v>
      </c>
      <c r="I193" s="13" t="str">
        <f>Source!FV98</f>
        <v>((*0.85))</v>
      </c>
      <c r="J193" s="15">
        <f>Source!AT98</f>
        <v>55</v>
      </c>
      <c r="K193" s="15">
        <f>Source!X98</f>
        <v>2615.13</v>
      </c>
      <c r="L193" s="13"/>
      <c r="X193">
        <f>ROUND((Source!FX98/100)*(ROUND((Source!CT98/IF(Source!BA98 &lt;&gt; 0, Source!BA98,1) * Source!I98), 2) + ROUND((Source!CS98/IF(Source!BS98 &lt;&gt; 0, Source!BS98, 1) * Source!I98), 2)), 2)</f>
        <v>176.4</v>
      </c>
    </row>
    <row r="194" spans="1:25" ht="15">
      <c r="A194" s="13"/>
      <c r="B194" s="13"/>
      <c r="C194" s="13" t="s">
        <v>93</v>
      </c>
      <c r="D194" s="16" t="s">
        <v>510</v>
      </c>
      <c r="E194" s="13"/>
      <c r="F194" s="15">
        <f>Source!CA98</f>
        <v>40</v>
      </c>
      <c r="G194" s="13"/>
      <c r="H194" s="15">
        <f>Y194</f>
        <v>108.56</v>
      </c>
      <c r="I194" s="13" t="str">
        <f>Source!FW98</f>
        <v>((*0.8))</v>
      </c>
      <c r="J194" s="15">
        <f>Source!AU98</f>
        <v>32</v>
      </c>
      <c r="K194" s="15">
        <f>Source!Y98</f>
        <v>1521.53</v>
      </c>
      <c r="L194" s="13"/>
      <c r="Y194">
        <f>ROUND((Source!FY98/100)*(ROUND((Source!CT98/IF(Source!BA98 &lt;&gt; 0, Source!BA98,1) * Source!I98), 2) + ROUND((Source!CS98/IF(Source!BS98 &lt;&gt; 0, Source!BS98, 1) * Source!I98), 2)), 2)</f>
        <v>108.56</v>
      </c>
    </row>
    <row r="195" spans="1:25" ht="15">
      <c r="A195" s="33"/>
      <c r="B195" s="33"/>
      <c r="C195" s="33" t="s">
        <v>511</v>
      </c>
      <c r="D195" s="41" t="s">
        <v>512</v>
      </c>
      <c r="E195" s="33">
        <f>Source!AQ98</f>
        <v>29</v>
      </c>
      <c r="F195" s="33"/>
      <c r="G195" s="35" t="str">
        <f>Source!DI98</f>
        <v>)*0,8</v>
      </c>
      <c r="H195" s="33"/>
      <c r="I195" s="33"/>
      <c r="J195" s="33"/>
      <c r="K195" s="33"/>
      <c r="L195" s="34">
        <f>Source!U98</f>
        <v>23.200000000000003</v>
      </c>
    </row>
    <row r="196" spans="1:25" ht="15.75">
      <c r="A196" s="13"/>
      <c r="B196" s="13"/>
      <c r="C196" s="13"/>
      <c r="D196" s="13"/>
      <c r="E196" s="13"/>
      <c r="F196" s="13"/>
      <c r="G196" s="13"/>
      <c r="H196" s="36">
        <f>ROUND((Source!CT98/IF(Source!BA98 &lt;&gt;0, Source!BA98, 1) * Source!I98), 2)+ROUND((Source!CR98 / IF(Source!BB98 &lt;&gt;0, Source!BB98, 1) * Source!I98), 2)+ H193 + H194</f>
        <v>556.34999999999991</v>
      </c>
      <c r="I196" s="37"/>
      <c r="J196" s="37"/>
      <c r="K196" s="36">
        <f>Source!S98+Source!Q98+K193 + K194</f>
        <v>8891.4500000000007</v>
      </c>
      <c r="L196" s="36">
        <f>Source!U98</f>
        <v>23.200000000000003</v>
      </c>
      <c r="M196" s="32">
        <f>H196</f>
        <v>556.34999999999991</v>
      </c>
      <c r="N196">
        <f>ROUND((Source!CT98/IF(Source!BA98&lt;&gt; 0, Source!BA98,1) * Source!I98), 2)</f>
        <v>271.39</v>
      </c>
      <c r="O196">
        <f>IF( Source!BI98 = 1,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P196">
        <f>IF( Source!BI98 = 2,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Q196">
        <f>IF( Source!BI98 = 3,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R196">
        <f>IF( Source!BI98 = 4,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556.35359999999991</v>
      </c>
      <c r="S196">
        <f>IF( Source!BI98 = 1, Source!O98 + Source!X98 + Source!Y98, 0 )</f>
        <v>0</v>
      </c>
      <c r="T196">
        <f>IF( Source!BI98 = 2, Source!O98 + Source!X98 + Source!Y98, 0 )</f>
        <v>0</v>
      </c>
      <c r="U196">
        <f>IF( Source!BI98 = 3, Source!O98 + Source!X98 + Source!Y98, 0 )</f>
        <v>0</v>
      </c>
      <c r="V196">
        <f>IF( Source!BI98 = 4, Source!O98 + Source!X98 + Source!Y98, 0 )</f>
        <v>8891.4500000000007</v>
      </c>
      <c r="W196">
        <f>ROUND((Source!CS98/IF(Source!BS98&lt;&gt; 0, Source!BS98,1) * Source!I98), 2)</f>
        <v>0</v>
      </c>
    </row>
    <row r="198" spans="1:25" s="37" customFormat="1" ht="15.75">
      <c r="C198" s="37" t="s">
        <v>94</v>
      </c>
      <c r="G198" s="128">
        <f>SUM(M185:M197)</f>
        <v>671.46999999999991</v>
      </c>
      <c r="H198" s="128"/>
      <c r="J198" s="128">
        <f>ROUND(Source!AB95+Source!AK95+Source!AL95+Source!AE95*0/100,2)</f>
        <v>10731.38</v>
      </c>
      <c r="K198" s="128"/>
      <c r="L198" s="36">
        <f>Source!AH95</f>
        <v>28</v>
      </c>
      <c r="N198" s="36">
        <f t="shared" ref="N198:W198" si="2">SUM(N185:N197)</f>
        <v>327.54999999999995</v>
      </c>
      <c r="O198" s="36">
        <f t="shared" si="2"/>
        <v>0</v>
      </c>
      <c r="P198" s="36">
        <f t="shared" si="2"/>
        <v>0</v>
      </c>
      <c r="Q198" s="36">
        <f t="shared" si="2"/>
        <v>0</v>
      </c>
      <c r="R198" s="36">
        <f t="shared" si="2"/>
        <v>671.48159999999984</v>
      </c>
      <c r="S198" s="36">
        <f t="shared" si="2"/>
        <v>0</v>
      </c>
      <c r="T198" s="36">
        <f t="shared" si="2"/>
        <v>0</v>
      </c>
      <c r="U198" s="36">
        <f t="shared" si="2"/>
        <v>0</v>
      </c>
      <c r="V198" s="36">
        <f t="shared" si="2"/>
        <v>10731.380000000001</v>
      </c>
      <c r="W198" s="37">
        <f t="shared" si="2"/>
        <v>0</v>
      </c>
    </row>
    <row r="201" spans="1:25" s="13" customFormat="1" ht="15.75">
      <c r="C201" s="37" t="s">
        <v>506</v>
      </c>
      <c r="D201" s="127" t="str">
        <f>Source!G100</f>
        <v>3. Пусконаладочные работы</v>
      </c>
      <c r="E201" s="127"/>
      <c r="F201" s="127"/>
      <c r="G201" s="127"/>
      <c r="H201" s="127"/>
      <c r="I201" s="127"/>
      <c r="J201" s="127"/>
      <c r="K201" s="127"/>
    </row>
    <row r="202" spans="1:25" s="37" customFormat="1" ht="15.75">
      <c r="C202" s="127" t="str">
        <f>Source!H115</f>
        <v>Итого</v>
      </c>
      <c r="D202" s="127"/>
      <c r="E202" s="127"/>
      <c r="F202" s="127"/>
      <c r="G202" s="127"/>
      <c r="H202" s="127"/>
      <c r="I202" s="127"/>
      <c r="J202" s="128">
        <f>Source!F115</f>
        <v>10731.38</v>
      </c>
      <c r="K202" s="129"/>
    </row>
    <row r="204" spans="1:25" s="37" customFormat="1" ht="15.75">
      <c r="C204" s="37" t="s">
        <v>515</v>
      </c>
      <c r="G204" s="128">
        <f>G78+G178+G198</f>
        <v>25708.590000000004</v>
      </c>
      <c r="H204" s="128"/>
      <c r="J204" s="128">
        <f>ROUND(Source!O117+Source!X117+Source!Y117+Source!R117*0/100,2)</f>
        <v>126931.73</v>
      </c>
      <c r="K204" s="128"/>
      <c r="L204" s="36">
        <f>Source!U117</f>
        <v>183.16</v>
      </c>
    </row>
    <row r="205" spans="1:25" s="13" customFormat="1" ht="15">
      <c r="C205" s="124" t="str">
        <f>Source!H142</f>
        <v>Прямые затраты</v>
      </c>
      <c r="D205" s="124"/>
      <c r="E205" s="124"/>
      <c r="F205" s="124"/>
      <c r="G205" s="124"/>
      <c r="H205" s="124"/>
      <c r="I205" s="124"/>
      <c r="J205" s="125">
        <f>Source!F142</f>
        <v>89148.23</v>
      </c>
      <c r="K205" s="126"/>
    </row>
    <row r="206" spans="1:25" s="13" customFormat="1" ht="15">
      <c r="C206" s="124" t="str">
        <f>Source!H143</f>
        <v>Стоимость материальных ресурсов</v>
      </c>
      <c r="D206" s="124"/>
      <c r="E206" s="124"/>
      <c r="F206" s="124"/>
      <c r="G206" s="124"/>
      <c r="H206" s="124"/>
      <c r="I206" s="124"/>
      <c r="J206" s="125">
        <f>Source!F143</f>
        <v>55888.2</v>
      </c>
      <c r="K206" s="126"/>
    </row>
    <row r="207" spans="1:25" s="13" customFormat="1" ht="15">
      <c r="C207" s="124" t="str">
        <f>Source!H146</f>
        <v>Эксплуатация машин</v>
      </c>
      <c r="D207" s="124"/>
      <c r="E207" s="124"/>
      <c r="F207" s="124"/>
      <c r="G207" s="124"/>
      <c r="H207" s="124"/>
      <c r="I207" s="124"/>
      <c r="J207" s="125">
        <f>Source!F146</f>
        <v>1084.6300000000001</v>
      </c>
      <c r="K207" s="126"/>
    </row>
    <row r="208" spans="1:25" s="13" customFormat="1" ht="15">
      <c r="C208" s="124" t="str">
        <f>Source!H147</f>
        <v>ЗП машинистов</v>
      </c>
      <c r="D208" s="124"/>
      <c r="E208" s="124"/>
      <c r="F208" s="124"/>
      <c r="G208" s="124"/>
      <c r="H208" s="124"/>
      <c r="I208" s="124"/>
      <c r="J208" s="125">
        <f>Source!F147</f>
        <v>261.91000000000003</v>
      </c>
      <c r="K208" s="126"/>
    </row>
    <row r="209" spans="1:11" s="13" customFormat="1" ht="15">
      <c r="C209" s="124" t="str">
        <f>Source!H148</f>
        <v>Основная ЗП рабочих</v>
      </c>
      <c r="D209" s="124"/>
      <c r="E209" s="124"/>
      <c r="F209" s="124"/>
      <c r="G209" s="124"/>
      <c r="H209" s="124"/>
      <c r="I209" s="124"/>
      <c r="J209" s="125">
        <f>Source!F148</f>
        <v>32175.4</v>
      </c>
      <c r="K209" s="126"/>
    </row>
    <row r="210" spans="1:11" s="13" customFormat="1" ht="15">
      <c r="C210" s="124" t="str">
        <f>Source!H150</f>
        <v>Трудозатраты строителей</v>
      </c>
      <c r="D210" s="124"/>
      <c r="E210" s="124"/>
      <c r="F210" s="124"/>
      <c r="G210" s="124"/>
      <c r="H210" s="124"/>
      <c r="I210" s="124"/>
      <c r="J210" s="125">
        <f>Source!F150</f>
        <v>183.16</v>
      </c>
      <c r="K210" s="126"/>
    </row>
    <row r="211" spans="1:11" s="13" customFormat="1" ht="15">
      <c r="C211" s="124" t="str">
        <f>Source!H151</f>
        <v>Трудозатраты машинистов</v>
      </c>
      <c r="D211" s="124"/>
      <c r="E211" s="124"/>
      <c r="F211" s="124"/>
      <c r="G211" s="124"/>
      <c r="H211" s="124"/>
      <c r="I211" s="124"/>
      <c r="J211" s="125">
        <f>Source!F151</f>
        <v>3.06</v>
      </c>
      <c r="K211" s="126"/>
    </row>
    <row r="212" spans="1:11" s="13" customFormat="1" ht="15">
      <c r="C212" s="124" t="str">
        <f>Source!H153</f>
        <v>Накладные расходы</v>
      </c>
      <c r="D212" s="124"/>
      <c r="E212" s="124"/>
      <c r="F212" s="124"/>
      <c r="G212" s="124"/>
      <c r="H212" s="124"/>
      <c r="I212" s="124"/>
      <c r="J212" s="125">
        <f>Source!F153</f>
        <v>22649.34</v>
      </c>
      <c r="K212" s="126"/>
    </row>
    <row r="213" spans="1:11" s="13" customFormat="1" ht="15">
      <c r="C213" s="124" t="str">
        <f>Source!H154</f>
        <v>Сметная прибыль</v>
      </c>
      <c r="D213" s="124"/>
      <c r="E213" s="124"/>
      <c r="F213" s="124"/>
      <c r="G213" s="124"/>
      <c r="H213" s="124"/>
      <c r="I213" s="124"/>
      <c r="J213" s="125">
        <f>Source!F154</f>
        <v>15134.16</v>
      </c>
      <c r="K213" s="126"/>
    </row>
    <row r="214" spans="1:11" s="13" customFormat="1" ht="15">
      <c r="C214" s="124" t="str">
        <f>Source!H155</f>
        <v>Итого</v>
      </c>
      <c r="D214" s="124"/>
      <c r="E214" s="124"/>
      <c r="F214" s="124"/>
      <c r="G214" s="124"/>
      <c r="H214" s="124"/>
      <c r="I214" s="124"/>
      <c r="J214" s="125">
        <f>Source!F155</f>
        <v>126931.73</v>
      </c>
      <c r="K214" s="126"/>
    </row>
    <row r="215" spans="1:11" s="13" customFormat="1" ht="15">
      <c r="C215" s="124" t="str">
        <f>Source!H156</f>
        <v>Итого с К сниж.0,695</v>
      </c>
      <c r="D215" s="124"/>
      <c r="E215" s="124"/>
      <c r="F215" s="124"/>
      <c r="G215" s="124"/>
      <c r="H215" s="124"/>
      <c r="I215" s="124"/>
      <c r="J215" s="125">
        <f>Source!F156</f>
        <v>88217.55</v>
      </c>
      <c r="K215" s="126"/>
    </row>
    <row r="216" spans="1:11" s="13" customFormat="1" ht="15">
      <c r="C216" s="124" t="str">
        <f>Source!H157</f>
        <v>За материалы (согласно письму № НЗ-6292/10 от 6.10.2003)</v>
      </c>
      <c r="D216" s="124"/>
      <c r="E216" s="124"/>
      <c r="F216" s="124"/>
      <c r="G216" s="124"/>
      <c r="H216" s="124"/>
      <c r="I216" s="124"/>
      <c r="J216" s="125">
        <f>Source!F157</f>
        <v>10059.879999999999</v>
      </c>
      <c r="K216" s="126"/>
    </row>
    <row r="217" spans="1:11" s="13" customFormat="1" ht="15">
      <c r="C217" s="124" t="str">
        <f>Source!H158</f>
        <v>За ЭММ без ЗП машинистов (согласно письму № НЗ-6292/10 от 6.10.2003)</v>
      </c>
      <c r="D217" s="124"/>
      <c r="E217" s="124"/>
      <c r="F217" s="124"/>
      <c r="G217" s="124"/>
      <c r="H217" s="124"/>
      <c r="I217" s="124"/>
      <c r="J217" s="125">
        <f>Source!F158</f>
        <v>148.09</v>
      </c>
      <c r="K217" s="126"/>
    </row>
    <row r="218" spans="1:11" s="13" customFormat="1" ht="15">
      <c r="C218" s="124" t="str">
        <f>Source!H159</f>
        <v>За накладные расходы (согласно письму № НЗ-6292/10 от 6.10.2003)</v>
      </c>
      <c r="D218" s="124"/>
      <c r="E218" s="124"/>
      <c r="F218" s="124"/>
      <c r="G218" s="124"/>
      <c r="H218" s="124"/>
      <c r="I218" s="124"/>
      <c r="J218" s="125">
        <f>Source!F159</f>
        <v>746.07</v>
      </c>
      <c r="K218" s="126"/>
    </row>
    <row r="219" spans="1:11" s="13" customFormat="1" ht="15">
      <c r="C219" s="124" t="str">
        <f>Source!H160</f>
        <v>Из сметной прибыли (согласно письму № НЗ-6292/10 от 6.10.2003)</v>
      </c>
      <c r="D219" s="124"/>
      <c r="E219" s="124"/>
      <c r="F219" s="124"/>
      <c r="G219" s="124"/>
      <c r="H219" s="124"/>
      <c r="I219" s="124"/>
      <c r="J219" s="125">
        <f>Source!F160</f>
        <v>408.62</v>
      </c>
      <c r="K219" s="126"/>
    </row>
    <row r="220" spans="1:11" s="13" customFormat="1" ht="15">
      <c r="C220" s="124" t="str">
        <f>Source!H161</f>
        <v>Итого компенсация НДС при упрощенной системе налогообложения</v>
      </c>
      <c r="D220" s="124"/>
      <c r="E220" s="124"/>
      <c r="F220" s="124"/>
      <c r="G220" s="124"/>
      <c r="H220" s="124"/>
      <c r="I220" s="124"/>
      <c r="J220" s="125">
        <f>Source!F161</f>
        <v>11362.66</v>
      </c>
      <c r="K220" s="126"/>
    </row>
    <row r="221" spans="1:11" s="37" customFormat="1" ht="15.75">
      <c r="C221" s="127" t="str">
        <f>Source!H162</f>
        <v>Всего с компенсацией НДС при упрощенной системе налогообложения:</v>
      </c>
      <c r="D221" s="127"/>
      <c r="E221" s="127"/>
      <c r="F221" s="127"/>
      <c r="G221" s="127"/>
      <c r="H221" s="127"/>
      <c r="I221" s="127"/>
      <c r="J221" s="128">
        <f>Source!F162</f>
        <v>99580.21</v>
      </c>
      <c r="K221" s="129"/>
    </row>
    <row r="224" spans="1:11">
      <c r="A224" t="s">
        <v>540</v>
      </c>
      <c r="C224" s="43" t="str">
        <f>IF(Source!AS12&lt;&gt;"",Source!AS12," ")</f>
        <v xml:space="preserve"> </v>
      </c>
      <c r="D224" s="43"/>
      <c r="E224" s="43"/>
      <c r="F224" s="43"/>
      <c r="G224" s="43"/>
      <c r="H224" t="str">
        <f>IF(Source!M12&lt;&gt;"",Source!M12," ")</f>
        <v xml:space="preserve"> </v>
      </c>
    </row>
    <row r="225" spans="1:8" s="5" customFormat="1" ht="11.25">
      <c r="C225" s="123" t="s">
        <v>541</v>
      </c>
      <c r="D225" s="123"/>
      <c r="E225" s="123"/>
      <c r="F225" s="123"/>
      <c r="G225" s="123"/>
    </row>
    <row r="227" spans="1:8">
      <c r="A227" t="s">
        <v>542</v>
      </c>
      <c r="C227" s="43" t="str">
        <f>IF(Source!AR12&lt;&gt;"",Source!AR12," ")</f>
        <v xml:space="preserve"> </v>
      </c>
      <c r="D227" s="43"/>
      <c r="E227" s="43"/>
      <c r="F227" s="43"/>
      <c r="G227" s="43"/>
      <c r="H227" t="str">
        <f>IF(Source!L12&lt;&gt;"",Source!L12," ")</f>
        <v xml:space="preserve"> </v>
      </c>
    </row>
    <row r="228" spans="1:8" s="5" customFormat="1" ht="11.25">
      <c r="C228" s="123" t="s">
        <v>541</v>
      </c>
      <c r="D228" s="123"/>
      <c r="E228" s="123"/>
      <c r="F228" s="123"/>
      <c r="G228" s="123"/>
    </row>
  </sheetData>
  <mergeCells count="94">
    <mergeCell ref="A1:D1"/>
    <mergeCell ref="H1:L1"/>
    <mergeCell ref="H2:L2"/>
    <mergeCell ref="H3:L3"/>
    <mergeCell ref="K5:L5"/>
    <mergeCell ref="K6:L6"/>
    <mergeCell ref="A7:B7"/>
    <mergeCell ref="C7:I7"/>
    <mergeCell ref="K7:L7"/>
    <mergeCell ref="A8:B8"/>
    <mergeCell ref="C8:I8"/>
    <mergeCell ref="K8:L8"/>
    <mergeCell ref="A9:B9"/>
    <mergeCell ref="C9:I9"/>
    <mergeCell ref="K9:L9"/>
    <mergeCell ref="A10:B10"/>
    <mergeCell ref="C10:I10"/>
    <mergeCell ref="K10:L10"/>
    <mergeCell ref="A11:B11"/>
    <mergeCell ref="C11:I11"/>
    <mergeCell ref="K11:L11"/>
    <mergeCell ref="F12:I12"/>
    <mergeCell ref="K12:L12"/>
    <mergeCell ref="F13:I13"/>
    <mergeCell ref="K13:L13"/>
    <mergeCell ref="K14:L14"/>
    <mergeCell ref="F17:G18"/>
    <mergeCell ref="F19:G19"/>
    <mergeCell ref="H17:I18"/>
    <mergeCell ref="H19:I19"/>
    <mergeCell ref="K17:L17"/>
    <mergeCell ref="A22:L22"/>
    <mergeCell ref="A24:I24"/>
    <mergeCell ref="D31:L31"/>
    <mergeCell ref="D33:L33"/>
    <mergeCell ref="J78:K78"/>
    <mergeCell ref="G78:H78"/>
    <mergeCell ref="D81:K81"/>
    <mergeCell ref="C82:I82"/>
    <mergeCell ref="J82:K82"/>
    <mergeCell ref="C83:I83"/>
    <mergeCell ref="J83:K83"/>
    <mergeCell ref="C84:I84"/>
    <mergeCell ref="J84:K84"/>
    <mergeCell ref="D85:L85"/>
    <mergeCell ref="J178:K178"/>
    <mergeCell ref="G178:H178"/>
    <mergeCell ref="D181:K181"/>
    <mergeCell ref="C182:I182"/>
    <mergeCell ref="J182:K182"/>
    <mergeCell ref="D183:L183"/>
    <mergeCell ref="J198:K198"/>
    <mergeCell ref="G198:H198"/>
    <mergeCell ref="D201:K201"/>
    <mergeCell ref="C202:I202"/>
    <mergeCell ref="J202:K202"/>
    <mergeCell ref="J204:K204"/>
    <mergeCell ref="G204:H204"/>
    <mergeCell ref="C205:I205"/>
    <mergeCell ref="J205:K205"/>
    <mergeCell ref="C206:I206"/>
    <mergeCell ref="J206:K206"/>
    <mergeCell ref="C207:I207"/>
    <mergeCell ref="J207:K207"/>
    <mergeCell ref="C208:I208"/>
    <mergeCell ref="J208:K208"/>
    <mergeCell ref="C209:I209"/>
    <mergeCell ref="J209:K209"/>
    <mergeCell ref="C210:I210"/>
    <mergeCell ref="J210:K210"/>
    <mergeCell ref="C211:I211"/>
    <mergeCell ref="J211:K211"/>
    <mergeCell ref="C212:I212"/>
    <mergeCell ref="J212:K212"/>
    <mergeCell ref="C213:I213"/>
    <mergeCell ref="J213:K213"/>
    <mergeCell ref="C214:I214"/>
    <mergeCell ref="J214:K214"/>
    <mergeCell ref="C215:I215"/>
    <mergeCell ref="J215:K215"/>
    <mergeCell ref="C216:I216"/>
    <mergeCell ref="J216:K216"/>
    <mergeCell ref="C217:I217"/>
    <mergeCell ref="J217:K217"/>
    <mergeCell ref="C218:I218"/>
    <mergeCell ref="J218:K218"/>
    <mergeCell ref="C225:G225"/>
    <mergeCell ref="C228:G228"/>
    <mergeCell ref="C219:I219"/>
    <mergeCell ref="J219:K219"/>
    <mergeCell ref="C220:I220"/>
    <mergeCell ref="J220:K220"/>
    <mergeCell ref="C221:I221"/>
    <mergeCell ref="J221:K221"/>
  </mergeCells>
  <pageMargins left="0.28740157480314998" right="0.196850393700787" top="0.39370078740157499" bottom="0.39370078740157499" header="0.11811023622047198" footer="0.11811023622047198"/>
  <pageSetup paperSize="9" scale="65" orientation="portrait" verticalDpi="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231"/>
  <sheetViews>
    <sheetView topLeftCell="A7" zoomScale="90" zoomScaleNormal="90" workbookViewId="0">
      <selection activeCell="A12" sqref="A12:L12"/>
    </sheetView>
  </sheetViews>
  <sheetFormatPr defaultRowHeight="12.75"/>
  <cols>
    <col min="1" max="1" width="5.7109375" customWidth="1"/>
    <col min="2" max="2" width="12.140625" customWidth="1"/>
    <col min="3" max="3" width="34.7109375" customWidth="1"/>
    <col min="4" max="4" width="10.7109375" customWidth="1"/>
    <col min="6" max="6" width="10.140625" bestFit="1" customWidth="1"/>
    <col min="7" max="7" width="11.28515625" customWidth="1"/>
    <col min="8" max="8" width="10.140625" bestFit="1" customWidth="1"/>
    <col min="10" max="10" width="10.140625" customWidth="1"/>
    <col min="11" max="11" width="13.7109375" customWidth="1"/>
    <col min="12" max="12" width="10.7109375" customWidth="1"/>
    <col min="13" max="25" width="0" hidden="1" customWidth="1"/>
    <col min="30" max="30" width="89.42578125" hidden="1" customWidth="1"/>
    <col min="31" max="31" width="0" hidden="1" customWidth="1"/>
  </cols>
  <sheetData>
    <row r="1" spans="1:30" s="5" customFormat="1" ht="11.25">
      <c r="A1" s="5" t="str">
        <f>Source!B1</f>
        <v>Smeta.ru  (495) 974-1589</v>
      </c>
    </row>
    <row r="3" spans="1:30" s="6" customFormat="1" ht="15">
      <c r="A3" s="6" t="s">
        <v>454</v>
      </c>
      <c r="F3" s="157" t="s">
        <v>455</v>
      </c>
      <c r="G3" s="157"/>
      <c r="H3" s="157"/>
      <c r="I3" s="157"/>
    </row>
    <row r="5" spans="1:30">
      <c r="A5" s="158" t="str">
        <f>Source!AS12</f>
        <v/>
      </c>
      <c r="B5" s="158"/>
      <c r="C5" s="158" t="str">
        <f>Source!CH12</f>
        <v/>
      </c>
      <c r="D5" s="158"/>
      <c r="E5" s="7"/>
      <c r="F5" s="158" t="str">
        <f>Source!AR12</f>
        <v/>
      </c>
      <c r="G5" s="158"/>
      <c r="H5" s="158"/>
      <c r="I5" s="158" t="str">
        <f>Source!CG12</f>
        <v/>
      </c>
      <c r="J5" s="158"/>
      <c r="K5" s="158"/>
    </row>
    <row r="6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30">
      <c r="A7" s="8"/>
      <c r="B7" s="8"/>
      <c r="C7" s="158" t="str">
        <f>Source!M12</f>
        <v/>
      </c>
      <c r="D7" s="158"/>
      <c r="E7" s="7"/>
      <c r="F7" s="8"/>
      <c r="G7" s="8"/>
      <c r="H7" s="158" t="str">
        <f>Source!L12</f>
        <v/>
      </c>
      <c r="I7" s="158"/>
      <c r="J7" s="158"/>
      <c r="K7" s="158"/>
    </row>
    <row r="8" spans="1:30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30" s="6" customFormat="1" ht="15">
      <c r="A9" s="6" t="s">
        <v>568</v>
      </c>
      <c r="F9" s="6" t="s">
        <v>568</v>
      </c>
    </row>
    <row r="11" spans="1:30" ht="38.25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AD11" s="9" t="str">
        <f>IF(Source!G4&lt;&gt;"",Source!G4,IF(Source!F4&lt;&gt;"",Source!F4,IF(Source!G5&lt;&gt;"",Source!G5,IF(Source!F5&lt;&gt;"",Source!F5,IF(Source!G6&lt;&gt;"",Source!G6,IF(Source!F6&lt;&gt;"",Source!F6," "))))))</f>
        <v xml:space="preserve"> </v>
      </c>
    </row>
    <row r="12" spans="1:30">
      <c r="A12" s="160" t="s">
        <v>456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</row>
    <row r="14" spans="1:30" ht="15.75">
      <c r="G14" s="164" t="s">
        <v>457</v>
      </c>
      <c r="H14" s="165"/>
      <c r="I14" s="124"/>
      <c r="J14" s="131"/>
      <c r="K14" s="131"/>
      <c r="L14" s="131"/>
    </row>
    <row r="16" spans="1:30" ht="20.25">
      <c r="A16" s="166" t="s">
        <v>458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AD16" s="11" t="s">
        <v>458</v>
      </c>
    </row>
    <row r="18" spans="1:30" ht="18.75">
      <c r="A18" s="4" t="s">
        <v>459</v>
      </c>
      <c r="B18" s="162" t="str">
        <f>IF(Source!G12&lt;&gt;"",Source!G12,Source!F12)</f>
        <v>монтаж системы видеонаблюдения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AD18" s="12" t="str">
        <f>IF(Source!G12&lt;&gt;"",Source!G12,Source!F12)</f>
        <v>монтаж системы видеонаблюдения</v>
      </c>
    </row>
    <row r="19" spans="1:30">
      <c r="B19" s="160" t="s">
        <v>460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</row>
    <row r="21" spans="1:30" ht="15">
      <c r="A21" s="124" t="str">
        <f>CONCATENATE( "Основание: ", Source!J12)</f>
        <v xml:space="preserve">Основание: 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AD21" s="10" t="str">
        <f>CONCATENATE( "Основание: ", Source!J12)</f>
        <v xml:space="preserve">Основание: </v>
      </c>
    </row>
    <row r="23" spans="1:30">
      <c r="E23" s="4"/>
      <c r="F23" s="4"/>
      <c r="G23" s="4"/>
      <c r="H23" s="4"/>
      <c r="I23" s="4"/>
      <c r="J23" s="4"/>
    </row>
    <row r="24" spans="1:30">
      <c r="E24" s="14"/>
      <c r="F24" s="14"/>
      <c r="G24" s="163" t="s">
        <v>461</v>
      </c>
      <c r="H24" s="163"/>
      <c r="I24" s="163" t="s">
        <v>462</v>
      </c>
      <c r="J24" s="163"/>
    </row>
    <row r="25" spans="1:30" ht="15">
      <c r="C25" s="126" t="s">
        <v>463</v>
      </c>
      <c r="D25" s="126"/>
      <c r="E25" s="126"/>
      <c r="F25" s="126"/>
      <c r="G25" s="167">
        <v>25.71</v>
      </c>
      <c r="H25" s="167"/>
      <c r="I25" s="167">
        <f>(Source!O140+Source!X140+Source!Y140)/1000</f>
        <v>126.93173</v>
      </c>
      <c r="J25" s="167"/>
      <c r="K25" s="168" t="s">
        <v>464</v>
      </c>
      <c r="L25" s="168"/>
    </row>
    <row r="26" spans="1:30" ht="15">
      <c r="C26" s="126" t="s">
        <v>465</v>
      </c>
      <c r="D26" s="126"/>
      <c r="E26" s="126"/>
      <c r="F26" s="126"/>
      <c r="G26" s="167">
        <f>(Source!F150)</f>
        <v>183.16</v>
      </c>
      <c r="H26" s="167"/>
      <c r="I26" s="167">
        <f>(Source!F150)</f>
        <v>183.16</v>
      </c>
      <c r="J26" s="167"/>
      <c r="K26" s="168" t="s">
        <v>222</v>
      </c>
      <c r="L26" s="168"/>
    </row>
    <row r="27" spans="1:30" ht="15">
      <c r="C27" s="126" t="s">
        <v>466</v>
      </c>
      <c r="D27" s="126"/>
      <c r="E27" s="126"/>
      <c r="F27" s="126"/>
      <c r="G27" s="167">
        <v>1.9</v>
      </c>
      <c r="H27" s="167"/>
      <c r="I27" s="167">
        <f>((Source!F148 + Source!F147)/1000)</f>
        <v>32.437310000000004</v>
      </c>
      <c r="J27" s="167"/>
      <c r="K27" s="168" t="s">
        <v>464</v>
      </c>
      <c r="L27" s="168"/>
    </row>
    <row r="29" spans="1:30">
      <c r="A29" s="169" t="s">
        <v>467</v>
      </c>
      <c r="B29" s="169"/>
      <c r="C29" s="169"/>
      <c r="D29" s="4"/>
      <c r="E29" s="4"/>
      <c r="F29" s="4"/>
    </row>
    <row r="30" spans="1:30" ht="15">
      <c r="A30" s="17"/>
      <c r="B30" s="17"/>
      <c r="C30" s="17"/>
      <c r="D30" s="17"/>
      <c r="E30" s="17"/>
      <c r="F30" s="18" t="s">
        <v>480</v>
      </c>
      <c r="G30" s="18" t="s">
        <v>484</v>
      </c>
      <c r="H30" s="18" t="s">
        <v>488</v>
      </c>
      <c r="I30" s="18" t="s">
        <v>492</v>
      </c>
      <c r="J30" s="18" t="s">
        <v>496</v>
      </c>
      <c r="K30" s="18" t="s">
        <v>488</v>
      </c>
      <c r="L30" s="19" t="s">
        <v>500</v>
      </c>
    </row>
    <row r="31" spans="1:30" ht="15">
      <c r="A31" s="20" t="s">
        <v>468</v>
      </c>
      <c r="B31" s="20" t="s">
        <v>470</v>
      </c>
      <c r="C31" s="21"/>
      <c r="D31" s="20" t="s">
        <v>475</v>
      </c>
      <c r="E31" s="20" t="s">
        <v>478</v>
      </c>
      <c r="F31" s="20" t="s">
        <v>481</v>
      </c>
      <c r="G31" s="20" t="s">
        <v>485</v>
      </c>
      <c r="H31" s="20" t="s">
        <v>489</v>
      </c>
      <c r="I31" s="20" t="s">
        <v>493</v>
      </c>
      <c r="J31" s="20" t="s">
        <v>487</v>
      </c>
      <c r="K31" s="20" t="s">
        <v>497</v>
      </c>
      <c r="L31" s="22" t="s">
        <v>501</v>
      </c>
    </row>
    <row r="32" spans="1:30" ht="15">
      <c r="A32" s="20" t="s">
        <v>469</v>
      </c>
      <c r="B32" s="20" t="s">
        <v>471</v>
      </c>
      <c r="C32" s="20" t="s">
        <v>474</v>
      </c>
      <c r="D32" s="20" t="s">
        <v>476</v>
      </c>
      <c r="E32" s="20" t="s">
        <v>479</v>
      </c>
      <c r="F32" s="20" t="s">
        <v>482</v>
      </c>
      <c r="G32" s="20" t="s">
        <v>486</v>
      </c>
      <c r="H32" s="20" t="s">
        <v>490</v>
      </c>
      <c r="I32" s="20" t="s">
        <v>494</v>
      </c>
      <c r="J32" s="20" t="s">
        <v>494</v>
      </c>
      <c r="K32" s="20" t="s">
        <v>498</v>
      </c>
      <c r="L32" s="22" t="s">
        <v>502</v>
      </c>
    </row>
    <row r="33" spans="1:30" ht="15">
      <c r="A33" s="21"/>
      <c r="B33" s="20" t="s">
        <v>472</v>
      </c>
      <c r="C33" s="21"/>
      <c r="D33" s="20" t="s">
        <v>477</v>
      </c>
      <c r="E33" s="21"/>
      <c r="F33" s="20" t="s">
        <v>483</v>
      </c>
      <c r="G33" s="20" t="s">
        <v>487</v>
      </c>
      <c r="H33" s="20" t="s">
        <v>491</v>
      </c>
      <c r="I33" s="20" t="s">
        <v>495</v>
      </c>
      <c r="J33" s="20" t="s">
        <v>495</v>
      </c>
      <c r="K33" s="20" t="s">
        <v>499</v>
      </c>
      <c r="L33" s="22"/>
    </row>
    <row r="34" spans="1:30" ht="15">
      <c r="A34" s="21"/>
      <c r="B34" s="20" t="s">
        <v>473</v>
      </c>
      <c r="C34" s="21"/>
      <c r="D34" s="21"/>
      <c r="E34" s="21"/>
      <c r="F34" s="21"/>
      <c r="G34" s="20"/>
      <c r="H34" s="20"/>
      <c r="I34" s="20"/>
      <c r="J34" s="20"/>
      <c r="K34" s="20"/>
      <c r="L34" s="22"/>
    </row>
    <row r="35" spans="1:30" ht="15">
      <c r="A35" s="23">
        <v>1</v>
      </c>
      <c r="B35" s="23">
        <v>2</v>
      </c>
      <c r="C35" s="23">
        <v>3</v>
      </c>
      <c r="D35" s="23">
        <v>4</v>
      </c>
      <c r="E35" s="23">
        <v>5</v>
      </c>
      <c r="F35" s="23">
        <v>6</v>
      </c>
      <c r="G35" s="23">
        <v>7</v>
      </c>
      <c r="H35" s="23">
        <v>8</v>
      </c>
      <c r="I35" s="23">
        <v>9</v>
      </c>
      <c r="J35" s="23">
        <v>10</v>
      </c>
      <c r="K35" s="23">
        <v>11</v>
      </c>
      <c r="L35" s="24">
        <v>12</v>
      </c>
    </row>
    <row r="36" spans="1:30" ht="18">
      <c r="C36" s="25" t="s">
        <v>503</v>
      </c>
      <c r="D36" s="137" t="str">
        <f>IF(Source!C12="1", Source!F20, Source!G20)</f>
        <v xml:space="preserve">Система видеонаблюдения </v>
      </c>
      <c r="E36" s="138"/>
      <c r="F36" s="138"/>
      <c r="G36" s="138"/>
      <c r="H36" s="138"/>
      <c r="I36" s="138"/>
      <c r="J36" s="138"/>
      <c r="K36" s="138"/>
      <c r="L36" s="138"/>
      <c r="AD36" s="26" t="str">
        <f>IF(Source!C12="1", Source!F20, Source!G20)</f>
        <v xml:space="preserve">Система видеонаблюдения </v>
      </c>
    </row>
    <row r="38" spans="1:30" ht="18">
      <c r="C38" s="25" t="s">
        <v>504</v>
      </c>
      <c r="D38" s="130" t="str">
        <f>IF(Source!C12="1", Source!F24, Source!G24)</f>
        <v>1. Оборудование и материалы неучтённые ценниками</v>
      </c>
      <c r="E38" s="131"/>
      <c r="F38" s="131"/>
      <c r="G38" s="131"/>
      <c r="H38" s="131"/>
      <c r="I38" s="131"/>
      <c r="J38" s="131"/>
      <c r="K38" s="131"/>
      <c r="L38" s="131"/>
      <c r="AD38" s="27" t="str">
        <f>IF(Source!C12="1", Source!F24, Source!G24)</f>
        <v>1. Оборудование и материалы неучтённые ценниками</v>
      </c>
    </row>
    <row r="40" spans="1:30" ht="60">
      <c r="A40" s="28" t="str">
        <f>Source!E28</f>
        <v>1</v>
      </c>
      <c r="B40" s="28" t="str">
        <f>Source!F28</f>
        <v>цена поставщика</v>
      </c>
      <c r="C40" s="29" t="str">
        <f>Source!G28</f>
        <v>AI-D283   Видеорегистратор 8-и канальный цифровой Acumen цена 12 486,40/1,18/2,45</v>
      </c>
      <c r="D40" s="30" t="str">
        <f>Source!H28</f>
        <v>шт.</v>
      </c>
      <c r="E40" s="13">
        <f>ROUND(Source!I28,6)</f>
        <v>1</v>
      </c>
      <c r="F40" s="15">
        <f>IF( Source!AK28 &lt;&gt;0, Source!AK28, Source!AL28 + Source!AM28 + Source!AO28)</f>
        <v>0</v>
      </c>
      <c r="G40" s="13"/>
      <c r="H40" s="13"/>
      <c r="I40" s="31" t="str">
        <f>IF( Source!BO28 &lt;&gt;"", Source!BO28, "" )</f>
        <v/>
      </c>
      <c r="J40" s="13"/>
      <c r="K40" s="13"/>
      <c r="L40" s="13"/>
    </row>
    <row r="41" spans="1:30" ht="30">
      <c r="A41" s="33"/>
      <c r="B41" s="33"/>
      <c r="C41" s="33" t="s">
        <v>505</v>
      </c>
      <c r="D41" s="33"/>
      <c r="E41" s="33"/>
      <c r="F41" s="34">
        <f>Source!AL28</f>
        <v>0</v>
      </c>
      <c r="G41" s="35" t="str">
        <f>Source!DD28</f>
        <v>=12486,4/1,18/2,45</v>
      </c>
      <c r="H41" s="34">
        <f>ROUND((Source!CQ28/IF(Source!BC28&lt;&gt; 0, Source!BC28,1) * Source!I28), 2)</f>
        <v>4319.0600000000004</v>
      </c>
      <c r="I41" s="33"/>
      <c r="J41" s="33">
        <f>Source!BC28</f>
        <v>2.4500000000000002</v>
      </c>
      <c r="K41" s="34">
        <f>Source!P28</f>
        <v>10581.69</v>
      </c>
      <c r="L41" s="33"/>
    </row>
    <row r="42" spans="1:30" ht="15.75">
      <c r="A42" s="13"/>
      <c r="B42" s="13"/>
      <c r="C42" s="13"/>
      <c r="D42" s="13"/>
      <c r="E42" s="13"/>
      <c r="F42" s="13"/>
      <c r="G42" s="13"/>
      <c r="H42" s="36">
        <f>ROUND((Source!CT28/IF(Source!BA28 &lt;&gt;0, Source!BA28, 1) * Source!I28), 2)+ROUND((Source!CR28 / IF(Source!BB28 &lt;&gt;0, Source!BB28, 1) * Source!I28), 2)+ H41</f>
        <v>4319.0600000000004</v>
      </c>
      <c r="I42" s="37"/>
      <c r="J42" s="37"/>
      <c r="K42" s="36">
        <f>Source!S28+Source!Q28+K41</f>
        <v>10581.69</v>
      </c>
      <c r="L42" s="36">
        <f>Source!U28</f>
        <v>0</v>
      </c>
      <c r="M42" s="32">
        <f>H42</f>
        <v>4319.0600000000004</v>
      </c>
      <c r="N42">
        <f>ROUND((Source!CT28/IF(Source!BA28&lt;&gt; 0, Source!BA28,1) * Source!I28), 2)</f>
        <v>0</v>
      </c>
      <c r="O42">
        <f>IF( Source!BI28 = 1,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P42">
        <f>IF( Source!BI28 = 2,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Q42">
        <f>IF( Source!BI28 = 3,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4319.0590000000002</v>
      </c>
      <c r="R42">
        <f>IF( Source!BI28 = 4,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S42">
        <f>IF( Source!BI28 = 1, Source!O28 + Source!X28 + Source!Y28, 0 )</f>
        <v>0</v>
      </c>
      <c r="T42">
        <f>IF( Source!BI28 = 2, Source!O28 + Source!X28 + Source!Y28, 0 )</f>
        <v>0</v>
      </c>
      <c r="U42">
        <f>IF( Source!BI28 = 3, Source!O28 + Source!X28 + Source!Y28, 0 )</f>
        <v>10581.69</v>
      </c>
      <c r="V42">
        <f>IF( Source!BI28 = 4, Source!O28 + Source!X28 + Source!Y28, 0 )</f>
        <v>0</v>
      </c>
      <c r="W42">
        <f>ROUND((Source!CS28/IF(Source!BS28&lt;&gt; 0, Source!BS28,1) * Source!I28), 2)</f>
        <v>0</v>
      </c>
    </row>
    <row r="43" spans="1:30" ht="90">
      <c r="A43" s="28" t="str">
        <f>Source!E29</f>
        <v>2</v>
      </c>
      <c r="B43" s="28" t="str">
        <f>Source!F29</f>
        <v>цена поставщика</v>
      </c>
      <c r="C43" s="29" t="str">
        <f>Source!G29</f>
        <v>MBK-8152цДВ  Уличная цветная видеокамера МВК с вариофокальным АРД-объективом, День/Ночь 550тел.,2,8-11мм  цена7624,8/1,18/2,45</v>
      </c>
      <c r="D43" s="30" t="str">
        <f>Source!H29</f>
        <v/>
      </c>
      <c r="E43" s="13">
        <f>ROUND(Source!I29,6)</f>
        <v>1</v>
      </c>
      <c r="F43" s="15">
        <f>IF( Source!AK29 &lt;&gt;0, Source!AK29, Source!AL29 + Source!AM29 + Source!AO29)</f>
        <v>0</v>
      </c>
      <c r="G43" s="13"/>
      <c r="H43" s="13"/>
      <c r="I43" s="31" t="str">
        <f>IF( Source!BO29 &lt;&gt;"", Source!BO29, "" )</f>
        <v/>
      </c>
      <c r="J43" s="13"/>
      <c r="K43" s="13"/>
      <c r="L43" s="13"/>
    </row>
    <row r="44" spans="1:30" ht="30">
      <c r="A44" s="33"/>
      <c r="B44" s="33"/>
      <c r="C44" s="33" t="s">
        <v>505</v>
      </c>
      <c r="D44" s="33"/>
      <c r="E44" s="33"/>
      <c r="F44" s="34">
        <f>Source!AL29</f>
        <v>0</v>
      </c>
      <c r="G44" s="35" t="str">
        <f>Source!DD29</f>
        <v>=7624,8/1,18/2,45</v>
      </c>
      <c r="H44" s="34">
        <f>ROUND((Source!CQ29/IF(Source!BC29&lt;&gt; 0, Source!BC29,1) * Source!I29), 2)</f>
        <v>2637.43</v>
      </c>
      <c r="I44" s="33"/>
      <c r="J44" s="33">
        <f>Source!BC29</f>
        <v>2.4500000000000002</v>
      </c>
      <c r="K44" s="34">
        <f>Source!P29</f>
        <v>6461.69</v>
      </c>
      <c r="L44" s="33"/>
    </row>
    <row r="45" spans="1:30" ht="15.75">
      <c r="A45" s="13"/>
      <c r="B45" s="13"/>
      <c r="C45" s="13"/>
      <c r="D45" s="13"/>
      <c r="E45" s="13"/>
      <c r="F45" s="13"/>
      <c r="G45" s="13"/>
      <c r="H45" s="36">
        <f>ROUND((Source!CT29/IF(Source!BA29 &lt;&gt;0, Source!BA29, 1) * Source!I29), 2)+ROUND((Source!CR29 / IF(Source!BB29 &lt;&gt;0, Source!BB29, 1) * Source!I29), 2)+ H44</f>
        <v>2637.43</v>
      </c>
      <c r="I45" s="37"/>
      <c r="J45" s="37"/>
      <c r="K45" s="36">
        <f>Source!S29+Source!Q29+K44</f>
        <v>6461.69</v>
      </c>
      <c r="L45" s="36">
        <f>Source!U29</f>
        <v>0</v>
      </c>
      <c r="M45" s="32">
        <f>H45</f>
        <v>2637.43</v>
      </c>
      <c r="N45">
        <f>ROUND((Source!CT29/IF(Source!BA29&lt;&gt; 0, Source!BA29,1) * Source!I29), 2)</f>
        <v>0</v>
      </c>
      <c r="O45">
        <f>IF( Source!BI29 = 1,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P45">
        <f>IF( Source!BI29 = 2,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Q45">
        <f>IF( Source!BI29 = 3,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2637.4259999999999</v>
      </c>
      <c r="R45">
        <f>IF( Source!BI29 = 4,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S45">
        <f>IF( Source!BI29 = 1, Source!O29 + Source!X29 + Source!Y29, 0 )</f>
        <v>0</v>
      </c>
      <c r="T45">
        <f>IF( Source!BI29 = 2, Source!O29 + Source!X29 + Source!Y29, 0 )</f>
        <v>0</v>
      </c>
      <c r="U45">
        <f>IF( Source!BI29 = 3, Source!O29 + Source!X29 + Source!Y29, 0 )</f>
        <v>6461.69</v>
      </c>
      <c r="V45">
        <f>IF( Source!BI29 = 4, Source!O29 + Source!X29 + Source!Y29, 0 )</f>
        <v>0</v>
      </c>
      <c r="W45">
        <f>ROUND((Source!CS29/IF(Source!BS29&lt;&gt; 0, Source!BS29,1) * Source!I29), 2)</f>
        <v>0</v>
      </c>
    </row>
    <row r="46" spans="1:30" ht="75">
      <c r="A46" s="28" t="str">
        <f>Source!E30</f>
        <v>3</v>
      </c>
      <c r="B46" s="28" t="str">
        <f>Source!F30</f>
        <v>цена поставщика</v>
      </c>
      <c r="C46" s="29" t="str">
        <f>Source!G30</f>
        <v>AI-DC55  Камера купольная Acumen квариофокальная цветная 480твл, 0,15Люкс 13,8мм-9,5мм цена 4892,4/1,18/2,45</v>
      </c>
      <c r="D46" s="30" t="str">
        <f>Source!H30</f>
        <v>шт.</v>
      </c>
      <c r="E46" s="13">
        <f>ROUND(Source!I30,6)</f>
        <v>3</v>
      </c>
      <c r="F46" s="15">
        <f>IF( Source!AK30 &lt;&gt;0, Source!AK30, Source!AL30 + Source!AM30 + Source!AO30)</f>
        <v>0</v>
      </c>
      <c r="G46" s="13"/>
      <c r="H46" s="13"/>
      <c r="I46" s="31" t="str">
        <f>IF( Source!BO30 &lt;&gt;"", Source!BO30, "" )</f>
        <v/>
      </c>
      <c r="J46" s="13"/>
      <c r="K46" s="13"/>
      <c r="L46" s="13"/>
    </row>
    <row r="47" spans="1:30" ht="30">
      <c r="A47" s="33"/>
      <c r="B47" s="33"/>
      <c r="C47" s="33" t="s">
        <v>505</v>
      </c>
      <c r="D47" s="33"/>
      <c r="E47" s="33"/>
      <c r="F47" s="34">
        <f>Source!AL30</f>
        <v>0</v>
      </c>
      <c r="G47" s="35" t="str">
        <f>Source!DD30</f>
        <v>=4892,4/1,18/2,45</v>
      </c>
      <c r="H47" s="34">
        <f>ROUND((Source!CQ30/IF(Source!BC30&lt;&gt; 0, Source!BC30,1) * Source!I30), 2)</f>
        <v>5076.8599999999997</v>
      </c>
      <c r="I47" s="33"/>
      <c r="J47" s="33">
        <f>Source!BC30</f>
        <v>2.4500000000000002</v>
      </c>
      <c r="K47" s="34">
        <f>Source!P30</f>
        <v>12438.3</v>
      </c>
      <c r="L47" s="33"/>
    </row>
    <row r="48" spans="1:30" ht="15.75">
      <c r="A48" s="13"/>
      <c r="B48" s="13"/>
      <c r="C48" s="13"/>
      <c r="D48" s="13"/>
      <c r="E48" s="13"/>
      <c r="F48" s="13"/>
      <c r="G48" s="13"/>
      <c r="H48" s="36">
        <f>ROUND((Source!CT30/IF(Source!BA30 &lt;&gt;0, Source!BA30, 1) * Source!I30), 2)+ROUND((Source!CR30 / IF(Source!BB30 &lt;&gt;0, Source!BB30, 1) * Source!I30), 2)+ H47</f>
        <v>5076.8599999999997</v>
      </c>
      <c r="I48" s="37"/>
      <c r="J48" s="37"/>
      <c r="K48" s="36">
        <f>Source!S30+Source!Q30+K47</f>
        <v>12438.3</v>
      </c>
      <c r="L48" s="36">
        <f>Source!U30</f>
        <v>0</v>
      </c>
      <c r="M48" s="32">
        <f>H48</f>
        <v>5076.8599999999997</v>
      </c>
      <c r="N48">
        <f>ROUND((Source!CT30/IF(Source!BA30&lt;&gt; 0, Source!BA30,1) * Source!I30), 2)</f>
        <v>0</v>
      </c>
      <c r="O48">
        <f>IF( Source!BI30 = 1,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P48">
        <f>IF( Source!BI30 = 2,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Q48">
        <f>IF( Source!BI30 = 3,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5076.8580000000011</v>
      </c>
      <c r="R48">
        <f>IF( Source!BI30 = 4,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S48">
        <f>IF( Source!BI30 = 1, Source!O30 + Source!X30 + Source!Y30, 0 )</f>
        <v>0</v>
      </c>
      <c r="T48">
        <f>IF( Source!BI30 = 2, Source!O30 + Source!X30 + Source!Y30, 0 )</f>
        <v>0</v>
      </c>
      <c r="U48">
        <f>IF( Source!BI30 = 3, Source!O30 + Source!X30 + Source!Y30, 0 )</f>
        <v>12438.3</v>
      </c>
      <c r="V48">
        <f>IF( Source!BI30 = 4, Source!O30 + Source!X30 + Source!Y30, 0 )</f>
        <v>0</v>
      </c>
      <c r="W48">
        <f>ROUND((Source!CS30/IF(Source!BS30&lt;&gt; 0, Source!BS30,1) * Source!I30), 2)</f>
        <v>0</v>
      </c>
    </row>
    <row r="49" spans="1:23" ht="60">
      <c r="A49" s="28" t="str">
        <f>Source!E31</f>
        <v>4</v>
      </c>
      <c r="B49" s="28" t="str">
        <f>Source!F31</f>
        <v>цена поставщика</v>
      </c>
      <c r="C49" s="29" t="str">
        <f>Source!G31</f>
        <v>G951A  Монитор 19" TFT Benq, 1440*900, 5ms, 250cd/m2, 1000:1, DCR 50,000:1, D-sub  цена 4418,4/1,18/2,45</v>
      </c>
      <c r="D49" s="30" t="str">
        <f>Source!H31</f>
        <v>шт.</v>
      </c>
      <c r="E49" s="13">
        <f>ROUND(Source!I31,6)</f>
        <v>1</v>
      </c>
      <c r="F49" s="15">
        <f>IF( Source!AK31 &lt;&gt;0, Source!AK31, Source!AL31 + Source!AM31 + Source!AO31)</f>
        <v>0</v>
      </c>
      <c r="G49" s="13"/>
      <c r="H49" s="13"/>
      <c r="I49" s="31" t="str">
        <f>IF( Source!BO31 &lt;&gt;"", Source!BO31, "" )</f>
        <v/>
      </c>
      <c r="J49" s="13"/>
      <c r="K49" s="13"/>
      <c r="L49" s="13"/>
    </row>
    <row r="50" spans="1:23" ht="30">
      <c r="A50" s="33"/>
      <c r="B50" s="33"/>
      <c r="C50" s="33" t="s">
        <v>505</v>
      </c>
      <c r="D50" s="33"/>
      <c r="E50" s="33"/>
      <c r="F50" s="34">
        <f>Source!AL31</f>
        <v>0</v>
      </c>
      <c r="G50" s="35" t="str">
        <f>Source!DD31</f>
        <v>=4418,4/1,18/2,45</v>
      </c>
      <c r="H50" s="34">
        <f>ROUND((Source!CQ31/IF(Source!BC31&lt;&gt; 0, Source!BC31,1) * Source!I31), 2)</f>
        <v>1528.33</v>
      </c>
      <c r="I50" s="33"/>
      <c r="J50" s="33">
        <f>Source!BC31</f>
        <v>2.4500000000000002</v>
      </c>
      <c r="K50" s="34">
        <f>Source!P31</f>
        <v>3744.41</v>
      </c>
      <c r="L50" s="33"/>
    </row>
    <row r="51" spans="1:23" ht="15.75">
      <c r="A51" s="13"/>
      <c r="B51" s="13"/>
      <c r="C51" s="13"/>
      <c r="D51" s="13"/>
      <c r="E51" s="13"/>
      <c r="F51" s="13"/>
      <c r="G51" s="13"/>
      <c r="H51" s="36">
        <f>ROUND((Source!CT31/IF(Source!BA31 &lt;&gt;0, Source!BA31, 1) * Source!I31), 2)+ROUND((Source!CR31 / IF(Source!BB31 &lt;&gt;0, Source!BB31, 1) * Source!I31), 2)+ H50</f>
        <v>1528.33</v>
      </c>
      <c r="I51" s="37"/>
      <c r="J51" s="37"/>
      <c r="K51" s="36">
        <f>Source!S31+Source!Q31+K50</f>
        <v>3744.41</v>
      </c>
      <c r="L51" s="36">
        <f>Source!U31</f>
        <v>0</v>
      </c>
      <c r="M51" s="32">
        <f>H51</f>
        <v>1528.33</v>
      </c>
      <c r="N51">
        <f>ROUND((Source!CT31/IF(Source!BA31&lt;&gt; 0, Source!BA31,1) * Source!I31), 2)</f>
        <v>0</v>
      </c>
      <c r="O51">
        <f>IF( Source!BI31 = 1,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P51">
        <f>IF( Source!BI31 = 2,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Q51">
        <f>IF( Source!BI31 = 3,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1528.329</v>
      </c>
      <c r="R51">
        <f>IF( Source!BI31 = 4,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S51">
        <f>IF( Source!BI31 = 1, Source!O31 + Source!X31 + Source!Y31, 0 )</f>
        <v>0</v>
      </c>
      <c r="T51">
        <f>IF( Source!BI31 = 2, Source!O31 + Source!X31 + Source!Y31, 0 )</f>
        <v>0</v>
      </c>
      <c r="U51">
        <f>IF( Source!BI31 = 3, Source!O31 + Source!X31 + Source!Y31, 0 )</f>
        <v>3744.41</v>
      </c>
      <c r="V51">
        <f>IF( Source!BI31 = 4, Source!O31 + Source!X31 + Source!Y31, 0 )</f>
        <v>0</v>
      </c>
      <c r="W51">
        <f>ROUND((Source!CS31/IF(Source!BS31&lt;&gt; 0, Source!BS31,1) * Source!I31), 2)</f>
        <v>0</v>
      </c>
    </row>
    <row r="52" spans="1:23" ht="60">
      <c r="A52" s="28" t="str">
        <f>Source!E32</f>
        <v>5</v>
      </c>
      <c r="B52" s="28" t="str">
        <f>Source!F32</f>
        <v>цена поставщика</v>
      </c>
      <c r="C52" s="29" t="str">
        <f>Source!G32</f>
        <v>ST2000DM001   Жёсткий диск 2Tb Seagate SATA-III  Barracuda 7200rpm, 64Mb  цена 4681,2/1,18/2,45</v>
      </c>
      <c r="D52" s="30" t="str">
        <f>Source!H32</f>
        <v>шт.</v>
      </c>
      <c r="E52" s="13">
        <f>ROUND(Source!I32,6)</f>
        <v>1</v>
      </c>
      <c r="F52" s="15">
        <f>IF( Source!AK32 &lt;&gt;0, Source!AK32, Source!AL32 + Source!AM32 + Source!AO32)</f>
        <v>0</v>
      </c>
      <c r="G52" s="13"/>
      <c r="H52" s="13"/>
      <c r="I52" s="31" t="str">
        <f>IF( Source!BO32 &lt;&gt;"", Source!BO32, "" )</f>
        <v/>
      </c>
      <c r="J52" s="13"/>
      <c r="K52" s="13"/>
      <c r="L52" s="13"/>
    </row>
    <row r="53" spans="1:23" ht="30">
      <c r="A53" s="33"/>
      <c r="B53" s="33"/>
      <c r="C53" s="33" t="s">
        <v>505</v>
      </c>
      <c r="D53" s="33"/>
      <c r="E53" s="33"/>
      <c r="F53" s="34">
        <f>Source!AL32</f>
        <v>0</v>
      </c>
      <c r="G53" s="35" t="str">
        <f>Source!DD32</f>
        <v>=4681,2/1,18/2,45</v>
      </c>
      <c r="H53" s="34">
        <f>ROUND((Source!CQ32/IF(Source!BC32&lt;&gt; 0, Source!BC32,1) * Source!I32), 2)</f>
        <v>1619.23</v>
      </c>
      <c r="I53" s="33"/>
      <c r="J53" s="33">
        <f>Source!BC32</f>
        <v>2.4500000000000002</v>
      </c>
      <c r="K53" s="34">
        <f>Source!P32</f>
        <v>3967.12</v>
      </c>
      <c r="L53" s="33"/>
    </row>
    <row r="54" spans="1:23" ht="15.75">
      <c r="A54" s="13"/>
      <c r="B54" s="13"/>
      <c r="C54" s="13"/>
      <c r="D54" s="13"/>
      <c r="E54" s="13"/>
      <c r="F54" s="13"/>
      <c r="G54" s="13"/>
      <c r="H54" s="36">
        <f>ROUND((Source!CT32/IF(Source!BA32 &lt;&gt;0, Source!BA32, 1) * Source!I32), 2)+ROUND((Source!CR32 / IF(Source!BB32 &lt;&gt;0, Source!BB32, 1) * Source!I32), 2)+ H53</f>
        <v>1619.23</v>
      </c>
      <c r="I54" s="37"/>
      <c r="J54" s="37"/>
      <c r="K54" s="36">
        <f>Source!S32+Source!Q32+K53</f>
        <v>3967.12</v>
      </c>
      <c r="L54" s="36">
        <f>Source!U32</f>
        <v>0</v>
      </c>
      <c r="M54" s="32">
        <f>H54</f>
        <v>1619.23</v>
      </c>
      <c r="N54">
        <f>ROUND((Source!CT32/IF(Source!BA32&lt;&gt; 0, Source!BA32,1) * Source!I32), 2)</f>
        <v>0</v>
      </c>
      <c r="O54">
        <f>IF( Source!BI32 = 1,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P54">
        <f>IF( Source!BI32 = 2,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Q54">
        <f>IF( Source!BI32 = 3,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1619.232</v>
      </c>
      <c r="R54">
        <f>IF( Source!BI32 = 4,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S54">
        <f>IF( Source!BI32 = 1, Source!O32 + Source!X32 + Source!Y32, 0 )</f>
        <v>0</v>
      </c>
      <c r="T54">
        <f>IF( Source!BI32 = 2, Source!O32 + Source!X32 + Source!Y32, 0 )</f>
        <v>0</v>
      </c>
      <c r="U54">
        <f>IF( Source!BI32 = 3, Source!O32 + Source!X32 + Source!Y32, 0 )</f>
        <v>3967.12</v>
      </c>
      <c r="V54">
        <f>IF( Source!BI32 = 4, Source!O32 + Source!X32 + Source!Y32, 0 )</f>
        <v>0</v>
      </c>
      <c r="W54">
        <f>ROUND((Source!CS32/IF(Source!BS32&lt;&gt; 0, Source!BS32,1) * Source!I32), 2)</f>
        <v>0</v>
      </c>
    </row>
    <row r="55" spans="1:23" ht="60">
      <c r="A55" s="28" t="str">
        <f>Source!E33</f>
        <v>6</v>
      </c>
      <c r="B55" s="28" t="str">
        <f>Source!F33</f>
        <v>цена поставщика</v>
      </c>
      <c r="C55" s="29" t="str">
        <f>Source!G33</f>
        <v>СКАТ Источник бесперебойного питания СКАТ-1200И7 (ГОСТ Р53325-2009) 12В,4А  цена 3735,36/1,18/2,78</v>
      </c>
      <c r="D55" s="30" t="str">
        <f>Source!H33</f>
        <v>шт.</v>
      </c>
      <c r="E55" s="13">
        <f>ROUND(Source!I33,6)</f>
        <v>1</v>
      </c>
      <c r="F55" s="15">
        <f>IF( Source!AK33 &lt;&gt;0, Source!AK33, Source!AL33 + Source!AM33 + Source!AO33)</f>
        <v>0</v>
      </c>
      <c r="G55" s="13"/>
      <c r="H55" s="13"/>
      <c r="I55" s="31" t="str">
        <f>IF( Source!BO33 &lt;&gt;"", Source!BO33, "" )</f>
        <v/>
      </c>
      <c r="J55" s="13"/>
      <c r="K55" s="13"/>
      <c r="L55" s="13"/>
    </row>
    <row r="56" spans="1:23" ht="30">
      <c r="A56" s="33"/>
      <c r="B56" s="33"/>
      <c r="C56" s="33" t="s">
        <v>505</v>
      </c>
      <c r="D56" s="33"/>
      <c r="E56" s="33"/>
      <c r="F56" s="34">
        <f>Source!AL33</f>
        <v>0</v>
      </c>
      <c r="G56" s="35" t="str">
        <f>Source!DD33</f>
        <v>=3735,36/1,18/2,78</v>
      </c>
      <c r="H56" s="34">
        <f>ROUND((Source!CQ33/IF(Source!BC33&lt;&gt; 0, Source!BC33,1) * Source!I33), 2)</f>
        <v>1138.69</v>
      </c>
      <c r="I56" s="33"/>
      <c r="J56" s="33">
        <f>Source!BC33</f>
        <v>2.78</v>
      </c>
      <c r="K56" s="34">
        <f>Source!P33</f>
        <v>3165.56</v>
      </c>
      <c r="L56" s="33"/>
    </row>
    <row r="57" spans="1:23" ht="15.75">
      <c r="A57" s="13"/>
      <c r="B57" s="13"/>
      <c r="C57" s="13"/>
      <c r="D57" s="13"/>
      <c r="E57" s="13"/>
      <c r="F57" s="13"/>
      <c r="G57" s="13"/>
      <c r="H57" s="36">
        <f>ROUND((Source!CT33/IF(Source!BA33 &lt;&gt;0, Source!BA33, 1) * Source!I33), 2)+ROUND((Source!CR33 / IF(Source!BB33 &lt;&gt;0, Source!BB33, 1) * Source!I33), 2)+ H56</f>
        <v>1138.69</v>
      </c>
      <c r="I57" s="37"/>
      <c r="J57" s="37"/>
      <c r="K57" s="36">
        <f>Source!S33+Source!Q33+K56</f>
        <v>3165.56</v>
      </c>
      <c r="L57" s="36">
        <f>Source!U33</f>
        <v>0</v>
      </c>
      <c r="M57" s="32">
        <f>H57</f>
        <v>1138.69</v>
      </c>
      <c r="N57">
        <f>ROUND((Source!CT33/IF(Source!BA33&lt;&gt; 0, Source!BA33,1) * Source!I33), 2)</f>
        <v>0</v>
      </c>
      <c r="O57">
        <f>IF( Source!BI33 = 1,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P57">
        <f>IF( Source!BI33 = 2,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Q57">
        <f>IF( Source!BI33 = 3,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1138.69</v>
      </c>
      <c r="R57">
        <f>IF( Source!BI33 = 4,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S57">
        <f>IF( Source!BI33 = 1, Source!O33 + Source!X33 + Source!Y33, 0 )</f>
        <v>0</v>
      </c>
      <c r="T57">
        <f>IF( Source!BI33 = 2, Source!O33 + Source!X33 + Source!Y33, 0 )</f>
        <v>0</v>
      </c>
      <c r="U57">
        <f>IF( Source!BI33 = 3, Source!O33 + Source!X33 + Source!Y33, 0 )</f>
        <v>3165.56</v>
      </c>
      <c r="V57">
        <f>IF( Source!BI33 = 4, Source!O33 + Source!X33 + Source!Y33, 0 )</f>
        <v>0</v>
      </c>
      <c r="W57">
        <f>ROUND((Source!CS33/IF(Source!BS33&lt;&gt; 0, Source!BS33,1) * Source!I33), 2)</f>
        <v>0</v>
      </c>
    </row>
    <row r="58" spans="1:23" ht="45">
      <c r="A58" s="28" t="str">
        <f>Source!E34</f>
        <v>7</v>
      </c>
      <c r="B58" s="28" t="str">
        <f>Source!F34</f>
        <v>цена поставщика</v>
      </c>
      <c r="C58" s="29" t="str">
        <f>Source!G34</f>
        <v>АКБ-12   Аккумулятор 12А/ч  цена 1032,00/1,18/2,78</v>
      </c>
      <c r="D58" s="30" t="str">
        <f>Source!H34</f>
        <v>шт.</v>
      </c>
      <c r="E58" s="13">
        <f>ROUND(Source!I34,6)</f>
        <v>1</v>
      </c>
      <c r="F58" s="15">
        <f>IF( Source!AK34 &lt;&gt;0, Source!AK34, Source!AL34 + Source!AM34 + Source!AO34)</f>
        <v>0</v>
      </c>
      <c r="G58" s="13"/>
      <c r="H58" s="13"/>
      <c r="I58" s="31" t="str">
        <f>IF( Source!BO34 &lt;&gt;"", Source!BO34, "" )</f>
        <v/>
      </c>
      <c r="J58" s="13"/>
      <c r="K58" s="13"/>
      <c r="L58" s="13"/>
    </row>
    <row r="59" spans="1:23" ht="30">
      <c r="A59" s="33"/>
      <c r="B59" s="33"/>
      <c r="C59" s="33" t="s">
        <v>505</v>
      </c>
      <c r="D59" s="33"/>
      <c r="E59" s="33"/>
      <c r="F59" s="34">
        <f>Source!AL34</f>
        <v>0</v>
      </c>
      <c r="G59" s="35" t="str">
        <f>Source!DD34</f>
        <v>=1032/1,18/2,78</v>
      </c>
      <c r="H59" s="34">
        <f>ROUND((Source!CQ34/IF(Source!BC34&lt;&gt; 0, Source!BC34,1) * Source!I34), 2)</f>
        <v>314.60000000000002</v>
      </c>
      <c r="I59" s="33"/>
      <c r="J59" s="33">
        <f>Source!BC34</f>
        <v>2.78</v>
      </c>
      <c r="K59" s="34">
        <f>Source!P34</f>
        <v>874.58</v>
      </c>
      <c r="L59" s="33"/>
    </row>
    <row r="60" spans="1:23" ht="15.75">
      <c r="A60" s="13"/>
      <c r="B60" s="13"/>
      <c r="C60" s="13"/>
      <c r="D60" s="13"/>
      <c r="E60" s="13"/>
      <c r="F60" s="13"/>
      <c r="G60" s="13"/>
      <c r="H60" s="36">
        <f>ROUND((Source!CT34/IF(Source!BA34 &lt;&gt;0, Source!BA34, 1) * Source!I34), 2)+ROUND((Source!CR34 / IF(Source!BB34 &lt;&gt;0, Source!BB34, 1) * Source!I34), 2)+ H59</f>
        <v>314.60000000000002</v>
      </c>
      <c r="I60" s="37"/>
      <c r="J60" s="37"/>
      <c r="K60" s="36">
        <f>Source!S34+Source!Q34+K59</f>
        <v>874.58</v>
      </c>
      <c r="L60" s="36">
        <f>Source!U34</f>
        <v>0</v>
      </c>
      <c r="M60" s="32">
        <f>H60</f>
        <v>314.60000000000002</v>
      </c>
      <c r="N60">
        <f>ROUND((Source!CT34/IF(Source!BA34&lt;&gt; 0, Source!BA34,1) * Source!I34), 2)</f>
        <v>0</v>
      </c>
      <c r="O60">
        <f>IF( Source!BI34 = 1,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P60">
        <f>IF( Source!BI34 = 2,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Q60">
        <f>IF( Source!BI34 = 3,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314.596</v>
      </c>
      <c r="R60">
        <f>IF( Source!BI34 = 4,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S60">
        <f>IF( Source!BI34 = 1, Source!O34 + Source!X34 + Source!Y34, 0 )</f>
        <v>0</v>
      </c>
      <c r="T60">
        <f>IF( Source!BI34 = 2, Source!O34 + Source!X34 + Source!Y34, 0 )</f>
        <v>0</v>
      </c>
      <c r="U60">
        <f>IF( Source!BI34 = 3, Source!O34 + Source!X34 + Source!Y34, 0 )</f>
        <v>874.58</v>
      </c>
      <c r="V60">
        <f>IF( Source!BI34 = 4, Source!O34 + Source!X34 + Source!Y34, 0 )</f>
        <v>0</v>
      </c>
      <c r="W60">
        <f>ROUND((Source!CS34/IF(Source!BS34&lt;&gt; 0, Source!BS34,1) * Source!I34), 2)</f>
        <v>0</v>
      </c>
    </row>
    <row r="61" spans="1:23" ht="45">
      <c r="A61" s="28" t="str">
        <f>Source!E35</f>
        <v>8</v>
      </c>
      <c r="B61" s="28" t="str">
        <f>Source!F35</f>
        <v>цена поставщика</v>
      </c>
      <c r="C61" s="29" t="str">
        <f>Source!G35</f>
        <v>910-001246   Мышь Logitech Optical B 110 USB OEM цена 199,2/1,18/2,45</v>
      </c>
      <c r="D61" s="30" t="str">
        <f>Source!H35</f>
        <v>шт.</v>
      </c>
      <c r="E61" s="13">
        <f>ROUND(Source!I35,6)</f>
        <v>1</v>
      </c>
      <c r="F61" s="15">
        <f>IF( Source!AK35 &lt;&gt;0, Source!AK35, Source!AL35 + Source!AM35 + Source!AO35)</f>
        <v>0</v>
      </c>
      <c r="G61" s="13"/>
      <c r="H61" s="13"/>
      <c r="I61" s="31" t="str">
        <f>IF( Source!BO35 &lt;&gt;"", Source!BO35, "" )</f>
        <v/>
      </c>
      <c r="J61" s="13"/>
      <c r="K61" s="13"/>
      <c r="L61" s="13"/>
    </row>
    <row r="62" spans="1:23" ht="30">
      <c r="A62" s="33"/>
      <c r="B62" s="33"/>
      <c r="C62" s="33" t="s">
        <v>505</v>
      </c>
      <c r="D62" s="33"/>
      <c r="E62" s="33"/>
      <c r="F62" s="34">
        <f>Source!AL35</f>
        <v>0</v>
      </c>
      <c r="G62" s="35" t="str">
        <f>Source!DD35</f>
        <v>=199,2/1,18/2,45</v>
      </c>
      <c r="H62" s="34">
        <f>ROUND((Source!CQ35/IF(Source!BC35&lt;&gt; 0, Source!BC35,1) * Source!I35), 2)</f>
        <v>68.900000000000006</v>
      </c>
      <c r="I62" s="33"/>
      <c r="J62" s="33">
        <f>Source!BC35</f>
        <v>2.4500000000000002</v>
      </c>
      <c r="K62" s="34">
        <f>Source!P35</f>
        <v>168.81</v>
      </c>
      <c r="L62" s="33"/>
    </row>
    <row r="63" spans="1:23" ht="15.75">
      <c r="A63" s="13"/>
      <c r="B63" s="13"/>
      <c r="C63" s="13"/>
      <c r="D63" s="13"/>
      <c r="E63" s="13"/>
      <c r="F63" s="13"/>
      <c r="G63" s="13"/>
      <c r="H63" s="36">
        <f>ROUND((Source!CT35/IF(Source!BA35 &lt;&gt;0, Source!BA35, 1) * Source!I35), 2)+ROUND((Source!CR35 / IF(Source!BB35 &lt;&gt;0, Source!BB35, 1) * Source!I35), 2)+ H62</f>
        <v>68.900000000000006</v>
      </c>
      <c r="I63" s="37"/>
      <c r="J63" s="37"/>
      <c r="K63" s="36">
        <f>Source!S35+Source!Q35+K62</f>
        <v>168.81</v>
      </c>
      <c r="L63" s="36">
        <f>Source!U35</f>
        <v>0</v>
      </c>
      <c r="M63" s="32">
        <f>H63</f>
        <v>68.900000000000006</v>
      </c>
      <c r="N63">
        <f>ROUND((Source!CT35/IF(Source!BA35&lt;&gt; 0, Source!BA35,1) * Source!I35), 2)</f>
        <v>0</v>
      </c>
      <c r="O63">
        <f>IF( Source!BI35 = 1,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P63">
        <f>IF( Source!BI35 = 2,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Q63">
        <f>IF( Source!BI35 = 3,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68.903000000000006</v>
      </c>
      <c r="R63">
        <f>IF( Source!BI35 = 4,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S63">
        <f>IF( Source!BI35 = 1, Source!O35 + Source!X35 + Source!Y35, 0 )</f>
        <v>0</v>
      </c>
      <c r="T63">
        <f>IF( Source!BI35 = 2, Source!O35 + Source!X35 + Source!Y35, 0 )</f>
        <v>0</v>
      </c>
      <c r="U63">
        <f>IF( Source!BI35 = 3, Source!O35 + Source!X35 + Source!Y35, 0 )</f>
        <v>168.81</v>
      </c>
      <c r="V63">
        <f>IF( Source!BI35 = 4, Source!O35 + Source!X35 + Source!Y35, 0 )</f>
        <v>0</v>
      </c>
      <c r="W63">
        <f>ROUND((Source!CS35/IF(Source!BS35&lt;&gt; 0, Source!BS35,1) * Source!I35), 2)</f>
        <v>0</v>
      </c>
    </row>
    <row r="64" spans="1:23" ht="75">
      <c r="A64" s="28" t="str">
        <f>Source!E36</f>
        <v>9</v>
      </c>
      <c r="B64" s="28" t="str">
        <f>Source!F36</f>
        <v>цена поставщика</v>
      </c>
      <c r="C64" s="29" t="str">
        <f>Source!G36</f>
        <v>Кабель КВК 2П 2*0,75 (белый) высокочастотный комбинированный для систем видеонаблюдения  цена 30,24/1,18/3,53</v>
      </c>
      <c r="D64" s="30" t="str">
        <f>Source!H36</f>
        <v>м</v>
      </c>
      <c r="E64" s="13">
        <f>ROUND(Source!I36,6)</f>
        <v>100</v>
      </c>
      <c r="F64" s="15">
        <f>IF( Source!AK36 &lt;&gt;0, Source!AK36, Source!AL36 + Source!AM36 + Source!AO36)</f>
        <v>0</v>
      </c>
      <c r="G64" s="13"/>
      <c r="H64" s="13"/>
      <c r="I64" s="31" t="str">
        <f>IF( Source!BO36 &lt;&gt;"", Source!BO36, "" )</f>
        <v/>
      </c>
      <c r="J64" s="13"/>
      <c r="K64" s="13"/>
      <c r="L64" s="13"/>
    </row>
    <row r="65" spans="1:23" ht="30">
      <c r="A65" s="33"/>
      <c r="B65" s="33"/>
      <c r="C65" s="33" t="s">
        <v>505</v>
      </c>
      <c r="D65" s="33"/>
      <c r="E65" s="33"/>
      <c r="F65" s="34">
        <f>Source!AL36</f>
        <v>0</v>
      </c>
      <c r="G65" s="35" t="str">
        <f>Source!DD36</f>
        <v>=30,24/1,18</v>
      </c>
      <c r="H65" s="34">
        <f>ROUND((Source!CQ36/IF(Source!BC36&lt;&gt; 0, Source!BC36,1) * Source!I36), 2)</f>
        <v>2562.6999999999998</v>
      </c>
      <c r="I65" s="33"/>
      <c r="J65" s="33">
        <f>Source!BC36</f>
        <v>3.53</v>
      </c>
      <c r="K65" s="34">
        <f>Source!P36</f>
        <v>9046.33</v>
      </c>
      <c r="L65" s="33"/>
    </row>
    <row r="66" spans="1:23" ht="15.75">
      <c r="A66" s="13"/>
      <c r="B66" s="13"/>
      <c r="C66" s="13"/>
      <c r="D66" s="13"/>
      <c r="E66" s="13"/>
      <c r="F66" s="13"/>
      <c r="G66" s="13"/>
      <c r="H66" s="36">
        <f>ROUND((Source!CT36/IF(Source!BA36 &lt;&gt;0, Source!BA36, 1) * Source!I36), 2)+ROUND((Source!CR36 / IF(Source!BB36 &lt;&gt;0, Source!BB36, 1) * Source!I36), 2)+ H65</f>
        <v>2562.6999999999998</v>
      </c>
      <c r="I66" s="37"/>
      <c r="J66" s="37"/>
      <c r="K66" s="36">
        <f>Source!S36+Source!Q36+K65</f>
        <v>9046.33</v>
      </c>
      <c r="L66" s="36">
        <f>Source!U36</f>
        <v>0</v>
      </c>
      <c r="M66" s="32">
        <f>H66</f>
        <v>2562.6999999999998</v>
      </c>
      <c r="N66">
        <f>ROUND((Source!CT36/IF(Source!BA36&lt;&gt; 0, Source!BA36,1) * Source!I36), 2)</f>
        <v>0</v>
      </c>
      <c r="O66">
        <f>IF( Source!BI36 = 1,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P66">
        <f>IF( Source!BI36 = 2,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Q66">
        <f>IF( Source!BI36 = 3,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R66">
        <f>IF( Source!BI36 = 4,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2562.6999999999998</v>
      </c>
      <c r="S66">
        <f>IF( Source!BI36 = 1, Source!O36 + Source!X36 + Source!Y36, 0 )</f>
        <v>0</v>
      </c>
      <c r="T66">
        <f>IF( Source!BI36 = 2, Source!O36 + Source!X36 + Source!Y36, 0 )</f>
        <v>0</v>
      </c>
      <c r="U66">
        <f>IF( Source!BI36 = 3, Source!O36 + Source!X36 + Source!Y36, 0 )</f>
        <v>0</v>
      </c>
      <c r="V66">
        <f>IF( Source!BI36 = 4, Source!O36 + Source!X36 + Source!Y36, 0 )</f>
        <v>9046.33</v>
      </c>
      <c r="W66">
        <f>ROUND((Source!CS36/IF(Source!BS36&lt;&gt; 0, Source!BS36,1) * Source!I36), 2)</f>
        <v>0</v>
      </c>
    </row>
    <row r="67" spans="1:23" ht="45">
      <c r="A67" s="28" t="str">
        <f>Source!E37</f>
        <v>10</v>
      </c>
      <c r="B67" s="28" t="str">
        <f>Source!F37</f>
        <v>цена поставщика</v>
      </c>
      <c r="C67" s="29" t="str">
        <f>Source!G37</f>
        <v>Кабель-канал 40*16 DeGross в полит.упак.короб цена 26,53/1,18/2,63</v>
      </c>
      <c r="D67" s="30" t="str">
        <f>Source!H37</f>
        <v>м</v>
      </c>
      <c r="E67" s="13">
        <f>ROUND(Source!I37,6)</f>
        <v>100</v>
      </c>
      <c r="F67" s="15">
        <f>IF( Source!AK37 &lt;&gt;0, Source!AK37, Source!AL37 + Source!AM37 + Source!AO37)</f>
        <v>0</v>
      </c>
      <c r="G67" s="13"/>
      <c r="H67" s="13"/>
      <c r="I67" s="31" t="str">
        <f>IF( Source!BO37 &lt;&gt;"", Source!BO37, "" )</f>
        <v/>
      </c>
      <c r="J67" s="13"/>
      <c r="K67" s="13"/>
      <c r="L67" s="13"/>
    </row>
    <row r="68" spans="1:23" ht="30">
      <c r="A68" s="33"/>
      <c r="B68" s="33"/>
      <c r="C68" s="33" t="s">
        <v>505</v>
      </c>
      <c r="D68" s="33"/>
      <c r="E68" s="33"/>
      <c r="F68" s="34">
        <f>Source!AL37</f>
        <v>0</v>
      </c>
      <c r="G68" s="35" t="str">
        <f>Source!DD37</f>
        <v>=26,53/1,18/2,63</v>
      </c>
      <c r="H68" s="34">
        <f>ROUND((Source!CQ37/IF(Source!BC37&lt;&gt; 0, Source!BC37,1) * Source!I37), 2)</f>
        <v>854.9</v>
      </c>
      <c r="I68" s="33"/>
      <c r="J68" s="33">
        <f>Source!BC37</f>
        <v>2.63</v>
      </c>
      <c r="K68" s="34">
        <f>Source!P37</f>
        <v>2248.39</v>
      </c>
      <c r="L68" s="33"/>
    </row>
    <row r="69" spans="1:23" ht="15.75">
      <c r="A69" s="13"/>
      <c r="B69" s="13"/>
      <c r="C69" s="13"/>
      <c r="D69" s="13"/>
      <c r="E69" s="13"/>
      <c r="F69" s="13"/>
      <c r="G69" s="13"/>
      <c r="H69" s="36">
        <f>ROUND((Source!CT37/IF(Source!BA37 &lt;&gt;0, Source!BA37, 1) * Source!I37), 2)+ROUND((Source!CR37 / IF(Source!BB37 &lt;&gt;0, Source!BB37, 1) * Source!I37), 2)+ H68</f>
        <v>854.9</v>
      </c>
      <c r="I69" s="37"/>
      <c r="J69" s="37"/>
      <c r="K69" s="36">
        <f>Source!S37+Source!Q37+K68</f>
        <v>2248.39</v>
      </c>
      <c r="L69" s="36">
        <f>Source!U37</f>
        <v>0</v>
      </c>
      <c r="M69" s="32">
        <f>H69</f>
        <v>854.9</v>
      </c>
      <c r="N69">
        <f>ROUND((Source!CT37/IF(Source!BA37&lt;&gt; 0, Source!BA37,1) * Source!I37), 2)</f>
        <v>0</v>
      </c>
      <c r="O69">
        <f>IF( Source!BI37 = 1,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P69">
        <f>IF( Source!BI37 = 2,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Q69">
        <f>IF( Source!BI37 = 3,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R69">
        <f>IF( Source!BI37 = 4,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854.9</v>
      </c>
      <c r="S69">
        <f>IF( Source!BI37 = 1, Source!O37 + Source!X37 + Source!Y37, 0 )</f>
        <v>0</v>
      </c>
      <c r="T69">
        <f>IF( Source!BI37 = 2, Source!O37 + Source!X37 + Source!Y37, 0 )</f>
        <v>0</v>
      </c>
      <c r="U69">
        <f>IF( Source!BI37 = 3, Source!O37 + Source!X37 + Source!Y37, 0 )</f>
        <v>0</v>
      </c>
      <c r="V69">
        <f>IF( Source!BI37 = 4, Source!O37 + Source!X37 + Source!Y37, 0 )</f>
        <v>2248.39</v>
      </c>
      <c r="W69">
        <f>ROUND((Source!CS37/IF(Source!BS37&lt;&gt; 0, Source!BS37,1) * Source!I37), 2)</f>
        <v>0</v>
      </c>
    </row>
    <row r="70" spans="1:23" ht="45">
      <c r="A70" s="28" t="str">
        <f>Source!E38</f>
        <v>11</v>
      </c>
      <c r="B70" s="28" t="str">
        <f>Source!F38</f>
        <v>цена поставщика</v>
      </c>
      <c r="C70" s="29" t="str">
        <f>Source!G38</f>
        <v>Гофра 16мм лёгкого типа ПВХ с протяжкой, серый цена 6,0/1,18/2,51</v>
      </c>
      <c r="D70" s="30" t="str">
        <f>Source!H38</f>
        <v>м</v>
      </c>
      <c r="E70" s="13">
        <f>ROUND(Source!I38,6)</f>
        <v>10</v>
      </c>
      <c r="F70" s="15">
        <f>IF( Source!AK38 &lt;&gt;0, Source!AK38, Source!AL38 + Source!AM38 + Source!AO38)</f>
        <v>0</v>
      </c>
      <c r="G70" s="13"/>
      <c r="H70" s="13"/>
      <c r="I70" s="31" t="str">
        <f>IF( Source!BO38 &lt;&gt;"", Source!BO38, "" )</f>
        <v/>
      </c>
      <c r="J70" s="13"/>
      <c r="K70" s="13"/>
      <c r="L70" s="13"/>
    </row>
    <row r="71" spans="1:23" ht="15">
      <c r="A71" s="33"/>
      <c r="B71" s="33"/>
      <c r="C71" s="33" t="s">
        <v>505</v>
      </c>
      <c r="D71" s="33"/>
      <c r="E71" s="33"/>
      <c r="F71" s="34">
        <f>Source!AL38</f>
        <v>0</v>
      </c>
      <c r="G71" s="35" t="str">
        <f>Source!DD38</f>
        <v>=6/1,18</v>
      </c>
      <c r="H71" s="34">
        <f>ROUND((Source!CQ38/IF(Source!BC38&lt;&gt; 0, Source!BC38,1) * Source!I38), 2)</f>
        <v>50.85</v>
      </c>
      <c r="I71" s="33"/>
      <c r="J71" s="33">
        <f>Source!BC38</f>
        <v>2.5099999999999998</v>
      </c>
      <c r="K71" s="34">
        <f>Source!P38</f>
        <v>127.63</v>
      </c>
      <c r="L71" s="33"/>
    </row>
    <row r="72" spans="1:23" ht="15.75">
      <c r="A72" s="13"/>
      <c r="B72" s="13"/>
      <c r="C72" s="13"/>
      <c r="D72" s="13"/>
      <c r="E72" s="13"/>
      <c r="F72" s="13"/>
      <c r="G72" s="13"/>
      <c r="H72" s="36">
        <f>ROUND((Source!CT38/IF(Source!BA38 &lt;&gt;0, Source!BA38, 1) * Source!I38), 2)+ROUND((Source!CR38 / IF(Source!BB38 &lt;&gt;0, Source!BB38, 1) * Source!I38), 2)+ H71</f>
        <v>50.85</v>
      </c>
      <c r="I72" s="37"/>
      <c r="J72" s="37"/>
      <c r="K72" s="36">
        <f>Source!S38+Source!Q38+K71</f>
        <v>127.63</v>
      </c>
      <c r="L72" s="36">
        <f>Source!U38</f>
        <v>0</v>
      </c>
      <c r="M72" s="32">
        <f>H72</f>
        <v>50.85</v>
      </c>
      <c r="N72">
        <f>ROUND((Source!CT38/IF(Source!BA38&lt;&gt; 0, Source!BA38,1) * Source!I38), 2)</f>
        <v>0</v>
      </c>
      <c r="O72">
        <f>IF( Source!BI38 = 1,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P72">
        <f>IF( Source!BI38 = 2,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Q72">
        <f>IF( Source!BI38 = 3,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R72">
        <f>IF( Source!BI38 = 4,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50.85</v>
      </c>
      <c r="S72">
        <f>IF( Source!BI38 = 1, Source!O38 + Source!X38 + Source!Y38, 0 )</f>
        <v>0</v>
      </c>
      <c r="T72">
        <f>IF( Source!BI38 = 2, Source!O38 + Source!X38 + Source!Y38, 0 )</f>
        <v>0</v>
      </c>
      <c r="U72">
        <f>IF( Source!BI38 = 3, Source!O38 + Source!X38 + Source!Y38, 0 )</f>
        <v>0</v>
      </c>
      <c r="V72">
        <f>IF( Source!BI38 = 4, Source!O38 + Source!X38 + Source!Y38, 0 )</f>
        <v>127.63</v>
      </c>
      <c r="W72">
        <f>ROUND((Source!CS38/IF(Source!BS38&lt;&gt; 0, Source!BS38,1) * Source!I38), 2)</f>
        <v>0</v>
      </c>
    </row>
    <row r="73" spans="1:23" ht="45">
      <c r="A73" s="28" t="str">
        <f>Source!E39</f>
        <v>12</v>
      </c>
      <c r="B73" s="28" t="str">
        <f>Source!F39</f>
        <v>цена поставщика</v>
      </c>
      <c r="C73" s="29" t="str">
        <f>Source!G39</f>
        <v>049-012 Разъём питания для камер цена 24/1,18/5,52</v>
      </c>
      <c r="D73" s="30" t="str">
        <f>Source!H39</f>
        <v>шт.</v>
      </c>
      <c r="E73" s="13">
        <f>ROUND(Source!I39,6)</f>
        <v>4</v>
      </c>
      <c r="F73" s="15">
        <f>IF( Source!AK39 &lt;&gt;0, Source!AK39, Source!AL39 + Source!AM39 + Source!AO39)</f>
        <v>0</v>
      </c>
      <c r="G73" s="13"/>
      <c r="H73" s="13"/>
      <c r="I73" s="31" t="str">
        <f>IF( Source!BO39 &lt;&gt;"", Source!BO39, "" )</f>
        <v/>
      </c>
      <c r="J73" s="13"/>
      <c r="K73" s="13"/>
      <c r="L73" s="13"/>
    </row>
    <row r="74" spans="1:23" ht="30">
      <c r="A74" s="33"/>
      <c r="B74" s="33"/>
      <c r="C74" s="33" t="s">
        <v>505</v>
      </c>
      <c r="D74" s="33"/>
      <c r="E74" s="33"/>
      <c r="F74" s="34">
        <f>Source!AL39</f>
        <v>0</v>
      </c>
      <c r="G74" s="35" t="str">
        <f>Source!DD39</f>
        <v>=24/1,18/5,52</v>
      </c>
      <c r="H74" s="34">
        <f>ROUND((Source!CQ39/IF(Source!BC39&lt;&gt; 0, Source!BC39,1) * Source!I39), 2)</f>
        <v>14.74</v>
      </c>
      <c r="I74" s="33"/>
      <c r="J74" s="33">
        <f>Source!BC39</f>
        <v>5.52</v>
      </c>
      <c r="K74" s="34">
        <f>Source!P39</f>
        <v>81.36</v>
      </c>
      <c r="L74" s="33"/>
    </row>
    <row r="75" spans="1:23" ht="15.75">
      <c r="A75" s="13"/>
      <c r="B75" s="13"/>
      <c r="C75" s="13"/>
      <c r="D75" s="13"/>
      <c r="E75" s="13"/>
      <c r="F75" s="13"/>
      <c r="G75" s="13"/>
      <c r="H75" s="36">
        <f>ROUND((Source!CT39/IF(Source!BA39 &lt;&gt;0, Source!BA39, 1) * Source!I39), 2)+ROUND((Source!CR39 / IF(Source!BB39 &lt;&gt;0, Source!BB39, 1) * Source!I39), 2)+ H74</f>
        <v>14.74</v>
      </c>
      <c r="I75" s="37"/>
      <c r="J75" s="37"/>
      <c r="K75" s="36">
        <f>Source!S39+Source!Q39+K74</f>
        <v>81.36</v>
      </c>
      <c r="L75" s="36">
        <f>Source!U39</f>
        <v>0</v>
      </c>
      <c r="M75" s="32">
        <f>H75</f>
        <v>14.74</v>
      </c>
      <c r="N75">
        <f>ROUND((Source!CT39/IF(Source!BA39&lt;&gt; 0, Source!BA39,1) * Source!I39), 2)</f>
        <v>0</v>
      </c>
      <c r="O75">
        <f>IF( Source!BI39 = 1,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P75">
        <f>IF( Source!BI39 = 2,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Q75">
        <f>IF( Source!BI39 = 3,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R75">
        <f>IF( Source!BI39 = 4,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14.739999999999998</v>
      </c>
      <c r="S75">
        <f>IF( Source!BI39 = 1, Source!O39 + Source!X39 + Source!Y39, 0 )</f>
        <v>0</v>
      </c>
      <c r="T75">
        <f>IF( Source!BI39 = 2, Source!O39 + Source!X39 + Source!Y39, 0 )</f>
        <v>0</v>
      </c>
      <c r="U75">
        <f>IF( Source!BI39 = 3, Source!O39 + Source!X39 + Source!Y39, 0 )</f>
        <v>0</v>
      </c>
      <c r="V75">
        <f>IF( Source!BI39 = 4, Source!O39 + Source!X39 + Source!Y39, 0 )</f>
        <v>81.36</v>
      </c>
      <c r="W75">
        <f>ROUND((Source!CS39/IF(Source!BS39&lt;&gt; 0, Source!BS39,1) * Source!I39), 2)</f>
        <v>0</v>
      </c>
    </row>
    <row r="76" spans="1:23" ht="45">
      <c r="A76" s="28" t="str">
        <f>Source!E40</f>
        <v>13</v>
      </c>
      <c r="B76" s="28" t="str">
        <f>Source!F40</f>
        <v>цена поставщика</v>
      </c>
      <c r="C76" s="29" t="str">
        <f>Source!G40</f>
        <v>049-003  BNC разъём для RG-58(RG-59) под пайку цена 40,32/1,18/5,52</v>
      </c>
      <c r="D76" s="30" t="str">
        <f>Source!H40</f>
        <v>шт.</v>
      </c>
      <c r="E76" s="13">
        <f>ROUND(Source!I40,6)</f>
        <v>8</v>
      </c>
      <c r="F76" s="15">
        <f>IF( Source!AK40 &lt;&gt;0, Source!AK40, Source!AL40 + Source!AM40 + Source!AO40)</f>
        <v>0</v>
      </c>
      <c r="G76" s="13"/>
      <c r="H76" s="13"/>
      <c r="I76" s="31" t="str">
        <f>IF( Source!BO40 &lt;&gt;"", Source!BO40, "" )</f>
        <v/>
      </c>
      <c r="J76" s="13"/>
      <c r="K76" s="13"/>
      <c r="L76" s="13"/>
    </row>
    <row r="77" spans="1:23" ht="30">
      <c r="A77" s="33"/>
      <c r="B77" s="33"/>
      <c r="C77" s="33" t="s">
        <v>505</v>
      </c>
      <c r="D77" s="33"/>
      <c r="E77" s="33"/>
      <c r="F77" s="34">
        <f>Source!AL40</f>
        <v>0</v>
      </c>
      <c r="G77" s="35" t="str">
        <f>Source!DD40</f>
        <v>=40,32/1,18/5,52</v>
      </c>
      <c r="H77" s="34">
        <f>ROUND((Source!CQ40/IF(Source!BC40&lt;&gt; 0, Source!BC40,1) * Source!I40), 2)</f>
        <v>49.52</v>
      </c>
      <c r="I77" s="33"/>
      <c r="J77" s="33">
        <f>Source!BC40</f>
        <v>5.52</v>
      </c>
      <c r="K77" s="34">
        <f>Source!P40</f>
        <v>273.35000000000002</v>
      </c>
      <c r="L77" s="33"/>
    </row>
    <row r="78" spans="1:23" ht="15.75">
      <c r="A78" s="13"/>
      <c r="B78" s="13"/>
      <c r="C78" s="13"/>
      <c r="D78" s="13"/>
      <c r="E78" s="13"/>
      <c r="F78" s="13"/>
      <c r="G78" s="13"/>
      <c r="H78" s="36">
        <f>ROUND((Source!CT40/IF(Source!BA40 &lt;&gt;0, Source!BA40, 1) * Source!I40), 2)+ROUND((Source!CR40 / IF(Source!BB40 &lt;&gt;0, Source!BB40, 1) * Source!I40), 2)+ H77</f>
        <v>49.52</v>
      </c>
      <c r="I78" s="37"/>
      <c r="J78" s="37"/>
      <c r="K78" s="36">
        <f>Source!S40+Source!Q40+K77</f>
        <v>273.35000000000002</v>
      </c>
      <c r="L78" s="36">
        <f>Source!U40</f>
        <v>0</v>
      </c>
      <c r="M78" s="32">
        <f>H78</f>
        <v>49.52</v>
      </c>
      <c r="N78">
        <f>ROUND((Source!CT40/IF(Source!BA40&lt;&gt; 0, Source!BA40,1) * Source!I40), 2)</f>
        <v>0</v>
      </c>
      <c r="O78">
        <f>IF( Source!BI40 = 1,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P78">
        <f>IF( Source!BI40 = 2,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Q78">
        <f>IF( Source!BI40 = 3,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R78">
        <f>IF( Source!BI40 = 4,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49.52</v>
      </c>
      <c r="S78">
        <f>IF( Source!BI40 = 1, Source!O40 + Source!X40 + Source!Y40, 0 )</f>
        <v>0</v>
      </c>
      <c r="T78">
        <f>IF( Source!BI40 = 2, Source!O40 + Source!X40 + Source!Y40, 0 )</f>
        <v>0</v>
      </c>
      <c r="U78">
        <f>IF( Source!BI40 = 3, Source!O40 + Source!X40 + Source!Y40, 0 )</f>
        <v>0</v>
      </c>
      <c r="V78">
        <f>IF( Source!BI40 = 4, Source!O40 + Source!X40 + Source!Y40, 0 )</f>
        <v>273.35000000000002</v>
      </c>
      <c r="W78">
        <f>ROUND((Source!CS40/IF(Source!BS40&lt;&gt; 0, Source!BS40,1) * Source!I40), 2)</f>
        <v>0</v>
      </c>
    </row>
    <row r="79" spans="1:23" ht="45">
      <c r="A79" s="28" t="str">
        <f>Source!E41</f>
        <v>14</v>
      </c>
      <c r="B79" s="28" t="str">
        <f>Source!F41</f>
        <v>цена поставщика</v>
      </c>
      <c r="C79" s="29" t="str">
        <f>Source!G41</f>
        <v>Коробка распаячная TYCO 100*100  цена 96,0/1,18/2,51</v>
      </c>
      <c r="D79" s="30" t="str">
        <f>Source!H41</f>
        <v/>
      </c>
      <c r="E79" s="13">
        <f>ROUND(Source!I41,6)</f>
        <v>4</v>
      </c>
      <c r="F79" s="15">
        <f>IF( Source!AK41 &lt;&gt;0, Source!AK41, Source!AL41 + Source!AM41 + Source!AO41)</f>
        <v>0</v>
      </c>
      <c r="G79" s="13"/>
      <c r="H79" s="13"/>
      <c r="I79" s="31" t="str">
        <f>IF( Source!BO41 &lt;&gt;"", Source!BO41, "" )</f>
        <v/>
      </c>
      <c r="J79" s="13"/>
      <c r="K79" s="13"/>
      <c r="L79" s="13"/>
    </row>
    <row r="80" spans="1:23" ht="30">
      <c r="A80" s="33"/>
      <c r="B80" s="33"/>
      <c r="C80" s="33" t="s">
        <v>505</v>
      </c>
      <c r="D80" s="33"/>
      <c r="E80" s="33"/>
      <c r="F80" s="34">
        <f>Source!AL41</f>
        <v>0</v>
      </c>
      <c r="G80" s="35" t="str">
        <f>Source!DD41</f>
        <v>=96/1,18/2,51</v>
      </c>
      <c r="H80" s="34">
        <f>ROUND((Source!CQ41/IF(Source!BC41&lt;&gt; 0, Source!BC41,1) * Source!I41), 2)</f>
        <v>129.65</v>
      </c>
      <c r="I80" s="33"/>
      <c r="J80" s="33">
        <f>Source!BC41</f>
        <v>2.5099999999999998</v>
      </c>
      <c r="K80" s="34">
        <f>Source!P41</f>
        <v>325.43</v>
      </c>
      <c r="L80" s="33"/>
    </row>
    <row r="81" spans="1:30" ht="15.75">
      <c r="A81" s="13"/>
      <c r="B81" s="13"/>
      <c r="C81" s="13"/>
      <c r="D81" s="13"/>
      <c r="E81" s="13"/>
      <c r="F81" s="13"/>
      <c r="G81" s="13"/>
      <c r="H81" s="36">
        <f>ROUND((Source!CT41/IF(Source!BA41 &lt;&gt;0, Source!BA41, 1) * Source!I41), 2)+ROUND((Source!CR41 / IF(Source!BB41 &lt;&gt;0, Source!BB41, 1) * Source!I41), 2)+ H80</f>
        <v>129.65</v>
      </c>
      <c r="I81" s="37"/>
      <c r="J81" s="37"/>
      <c r="K81" s="36">
        <f>Source!S41+Source!Q41+K80</f>
        <v>325.43</v>
      </c>
      <c r="L81" s="36">
        <f>Source!U41</f>
        <v>0</v>
      </c>
      <c r="M81" s="32">
        <f>H81</f>
        <v>129.65</v>
      </c>
      <c r="N81">
        <f>ROUND((Source!CT41/IF(Source!BA41&lt;&gt; 0, Source!BA41,1) * Source!I41), 2)</f>
        <v>0</v>
      </c>
      <c r="O81">
        <f>IF( Source!BI41 = 1,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P81">
        <f>IF( Source!BI41 = 2,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Q81">
        <f>IF( Source!BI41 = 3,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R81">
        <f>IF( Source!BI41 = 4,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129.65199999999999</v>
      </c>
      <c r="S81">
        <f>IF( Source!BI41 = 1, Source!O41 + Source!X41 + Source!Y41, 0 )</f>
        <v>0</v>
      </c>
      <c r="T81">
        <f>IF( Source!BI41 = 2, Source!O41 + Source!X41 + Source!Y41, 0 )</f>
        <v>0</v>
      </c>
      <c r="U81">
        <f>IF( Source!BI41 = 3, Source!O41 + Source!X41 + Source!Y41, 0 )</f>
        <v>0</v>
      </c>
      <c r="V81">
        <f>IF( Source!BI41 = 4, Source!O41 + Source!X41 + Source!Y41, 0 )</f>
        <v>325.43</v>
      </c>
      <c r="W81">
        <f>ROUND((Source!CS41/IF(Source!BS41&lt;&gt; 0, Source!BS41,1) * Source!I41), 2)</f>
        <v>0</v>
      </c>
    </row>
    <row r="83" spans="1:30" s="37" customFormat="1" ht="15.75">
      <c r="C83" s="37" t="s">
        <v>94</v>
      </c>
      <c r="G83" s="128">
        <f>SUM(M40:M82)</f>
        <v>20365.460000000003</v>
      </c>
      <c r="H83" s="128"/>
      <c r="J83" s="128">
        <f>ROUND(Source!AB26+Source!AK26+Source!AL26+Source!AE26*0/100,2)</f>
        <v>53504.65</v>
      </c>
      <c r="K83" s="128"/>
      <c r="L83" s="36">
        <f>Source!AH26</f>
        <v>0</v>
      </c>
      <c r="N83" s="36">
        <f t="shared" ref="N83:W83" si="0">SUM(N40:N82)</f>
        <v>0</v>
      </c>
      <c r="O83" s="36">
        <f t="shared" si="0"/>
        <v>0</v>
      </c>
      <c r="P83" s="36">
        <f t="shared" si="0"/>
        <v>0</v>
      </c>
      <c r="Q83" s="36">
        <f t="shared" si="0"/>
        <v>16703.093000000001</v>
      </c>
      <c r="R83" s="36">
        <f t="shared" si="0"/>
        <v>3662.3619999999996</v>
      </c>
      <c r="S83" s="36">
        <f t="shared" si="0"/>
        <v>0</v>
      </c>
      <c r="T83" s="36">
        <f t="shared" si="0"/>
        <v>0</v>
      </c>
      <c r="U83" s="36">
        <f t="shared" si="0"/>
        <v>41402.159999999996</v>
      </c>
      <c r="V83" s="36">
        <f t="shared" si="0"/>
        <v>12102.49</v>
      </c>
      <c r="W83" s="37">
        <f t="shared" si="0"/>
        <v>0</v>
      </c>
    </row>
    <row r="86" spans="1:30" s="13" customFormat="1" ht="15.75">
      <c r="C86" s="37" t="s">
        <v>506</v>
      </c>
      <c r="D86" s="127" t="str">
        <f>Source!G43</f>
        <v>1. Оборудование и материалы неучтённые ценниками</v>
      </c>
      <c r="E86" s="127"/>
      <c r="F86" s="127"/>
      <c r="G86" s="127"/>
      <c r="H86" s="127"/>
      <c r="I86" s="127"/>
      <c r="J86" s="127"/>
      <c r="K86" s="127"/>
    </row>
    <row r="87" spans="1:30" s="37" customFormat="1" ht="15.75">
      <c r="C87" s="127" t="str">
        <f>Source!H58</f>
        <v>Итого</v>
      </c>
      <c r="D87" s="127"/>
      <c r="E87" s="127"/>
      <c r="F87" s="127"/>
      <c r="G87" s="127"/>
      <c r="H87" s="127"/>
      <c r="I87" s="127"/>
      <c r="J87" s="128">
        <f>Source!F58</f>
        <v>53504.65</v>
      </c>
      <c r="K87" s="129"/>
    </row>
    <row r="88" spans="1:30" ht="18">
      <c r="C88" s="25" t="s">
        <v>504</v>
      </c>
      <c r="D88" s="130" t="str">
        <f>IF(Source!C12="1", Source!F60, Source!G60)</f>
        <v>2. Монтажные работы</v>
      </c>
      <c r="E88" s="131"/>
      <c r="F88" s="131"/>
      <c r="G88" s="131"/>
      <c r="H88" s="131"/>
      <c r="I88" s="131"/>
      <c r="J88" s="131"/>
      <c r="K88" s="131"/>
      <c r="L88" s="131"/>
      <c r="AD88" s="27" t="str">
        <f>IF(Source!C12="1", Source!F60, Source!G60)</f>
        <v>2. Монтажные работы</v>
      </c>
    </row>
    <row r="90" spans="1:30" ht="45">
      <c r="A90" s="28" t="str">
        <f>Source!E64</f>
        <v>15</v>
      </c>
      <c r="B90" s="28" t="str">
        <f>Source!F64</f>
        <v>м10-04-067-22</v>
      </c>
      <c r="C90" s="29" t="str">
        <f>Source!G64</f>
        <v>Аппаратура цветного телевидения. Камера телевизионная передающая</v>
      </c>
      <c r="D90" s="30" t="str">
        <f>Source!H64</f>
        <v>1шт.</v>
      </c>
      <c r="E90" s="13">
        <f>ROUND(Source!I64,6)</f>
        <v>1</v>
      </c>
      <c r="F90" s="15">
        <f>IF( Source!AK64 &lt;&gt;0, Source!AK64, Source!AL64 + Source!AM64 + Source!AO64)</f>
        <v>296.31</v>
      </c>
      <c r="G90" s="13"/>
      <c r="H90" s="13"/>
      <c r="I90" s="31" t="str">
        <f>IF( Source!BO64 &lt;&gt;"", Source!BO64, "" )</f>
        <v>м10-04-067-22</v>
      </c>
      <c r="J90" s="13"/>
      <c r="K90" s="13"/>
      <c r="L90" s="13"/>
    </row>
    <row r="91" spans="1:30" ht="15">
      <c r="A91" s="13"/>
      <c r="B91" s="13"/>
      <c r="C91" s="13" t="s">
        <v>507</v>
      </c>
      <c r="D91" s="13"/>
      <c r="E91" s="13"/>
      <c r="F91" s="15">
        <f>Source!AO64</f>
        <v>241.54000000000002</v>
      </c>
      <c r="G91" s="31" t="str">
        <f>Source!DG64</f>
        <v/>
      </c>
      <c r="H91" s="15">
        <f>ROUND((Source!CT64/IF(Source!BA64&lt;&gt; 0, Source!BA64,1) * Source!I64), 2)</f>
        <v>241.54</v>
      </c>
      <c r="I91" s="13"/>
      <c r="J91" s="13">
        <f>Source!BA64</f>
        <v>16.48</v>
      </c>
      <c r="K91" s="15">
        <f>Source!S64</f>
        <v>3980.58</v>
      </c>
      <c r="L91" s="13"/>
    </row>
    <row r="92" spans="1:30" ht="15">
      <c r="A92" s="13"/>
      <c r="B92" s="13"/>
      <c r="C92" s="13" t="s">
        <v>77</v>
      </c>
      <c r="D92" s="13"/>
      <c r="E92" s="13"/>
      <c r="F92" s="15">
        <f>Source!AM64</f>
        <v>2.7</v>
      </c>
      <c r="G92" s="31" t="str">
        <f>Source!DE64</f>
        <v/>
      </c>
      <c r="H92" s="15">
        <f>ROUND((Source!CR64/IF(Source!BB64&lt;&gt; 0, Source!BB64,1) * Source!I64), 2)</f>
        <v>2.7</v>
      </c>
      <c r="I92" s="13"/>
      <c r="J92" s="13">
        <f>Source!BB64</f>
        <v>5.14</v>
      </c>
      <c r="K92" s="15">
        <f>Source!Q64</f>
        <v>13.88</v>
      </c>
      <c r="L92" s="13"/>
    </row>
    <row r="93" spans="1:30" ht="15">
      <c r="A93" s="13"/>
      <c r="B93" s="13"/>
      <c r="C93" s="13" t="s">
        <v>508</v>
      </c>
      <c r="D93" s="13"/>
      <c r="E93" s="13"/>
      <c r="F93" s="15">
        <f>Source!AN64</f>
        <v>0.3</v>
      </c>
      <c r="G93" s="31" t="str">
        <f>Source!DF64</f>
        <v/>
      </c>
      <c r="H93" s="38">
        <f>ROUND((Source!CS64/IF(Source!BS64&lt;&gt; 0, Source!BS64,1) * Source!I64), 2)</f>
        <v>0.3</v>
      </c>
      <c r="I93" s="13"/>
      <c r="J93" s="13">
        <f>Source!BS64</f>
        <v>16.48</v>
      </c>
      <c r="K93" s="38">
        <f>Source!R64</f>
        <v>4.9400000000000004</v>
      </c>
      <c r="L93" s="13"/>
    </row>
    <row r="94" spans="1:30" ht="15">
      <c r="A94" s="13"/>
      <c r="B94" s="13"/>
      <c r="C94" s="13" t="s">
        <v>505</v>
      </c>
      <c r="D94" s="13"/>
      <c r="E94" s="13"/>
      <c r="F94" s="15">
        <f>Source!AL64</f>
        <v>52.07</v>
      </c>
      <c r="G94" s="31" t="str">
        <f>Source!DD64</f>
        <v/>
      </c>
      <c r="H94" s="15">
        <f>ROUND((Source!CQ64/IF(Source!BC64&lt;&gt; 0, Source!BC64,1) * Source!I64), 2)</f>
        <v>52.07</v>
      </c>
      <c r="I94" s="13"/>
      <c r="J94" s="13">
        <f>Source!BC64</f>
        <v>8.44</v>
      </c>
      <c r="K94" s="15">
        <f>Source!P64</f>
        <v>439.47</v>
      </c>
      <c r="L94" s="13"/>
    </row>
    <row r="95" spans="1:30" ht="15">
      <c r="A95" s="13"/>
      <c r="B95" s="13"/>
      <c r="C95" s="13" t="s">
        <v>509</v>
      </c>
      <c r="D95" s="16" t="s">
        <v>510</v>
      </c>
      <c r="E95" s="13"/>
      <c r="F95" s="15">
        <f>Source!BZ64</f>
        <v>92</v>
      </c>
      <c r="G95" s="13"/>
      <c r="H95" s="15">
        <f>X95</f>
        <v>222.49</v>
      </c>
      <c r="I95" s="13" t="str">
        <f>Source!FV64</f>
        <v>((*0.85))</v>
      </c>
      <c r="J95" s="15">
        <f>Source!AT64</f>
        <v>78</v>
      </c>
      <c r="K95" s="15">
        <f>Source!X64</f>
        <v>3108.71</v>
      </c>
      <c r="L95" s="13"/>
      <c r="X95">
        <f>ROUND((Source!FX64/100)*(ROUND((Source!CT64/IF(Source!BA64 &lt;&gt; 0, Source!BA64,1) * Source!I64), 2) + ROUND((Source!CS64/IF(Source!BS64 &lt;&gt; 0, Source!BS64, 1) * Source!I64), 2)), 2)</f>
        <v>222.49</v>
      </c>
    </row>
    <row r="96" spans="1:30" ht="15">
      <c r="A96" s="13"/>
      <c r="B96" s="13"/>
      <c r="C96" s="13" t="s">
        <v>93</v>
      </c>
      <c r="D96" s="16" t="s">
        <v>510</v>
      </c>
      <c r="E96" s="13"/>
      <c r="F96" s="15">
        <f>Source!CA64</f>
        <v>65</v>
      </c>
      <c r="G96" s="13"/>
      <c r="H96" s="15">
        <f>Y96</f>
        <v>157.19999999999999</v>
      </c>
      <c r="I96" s="13" t="str">
        <f>Source!FW64</f>
        <v>((*0.8))</v>
      </c>
      <c r="J96" s="15">
        <f>Source!AU64</f>
        <v>52</v>
      </c>
      <c r="K96" s="15">
        <f>Source!Y64</f>
        <v>2072.4699999999998</v>
      </c>
      <c r="L96" s="13"/>
      <c r="Y96">
        <f>ROUND((Source!FY64/100)*(ROUND((Source!CT64/IF(Source!BA64 &lt;&gt; 0, Source!BA64,1) * Source!I64), 2) + ROUND((Source!CS64/IF(Source!BS64 &lt;&gt; 0, Source!BS64, 1) * Source!I64), 2)), 2)</f>
        <v>157.19999999999999</v>
      </c>
    </row>
    <row r="97" spans="1:25" ht="15">
      <c r="A97" s="33"/>
      <c r="B97" s="33"/>
      <c r="C97" s="33" t="s">
        <v>511</v>
      </c>
      <c r="D97" s="41" t="s">
        <v>512</v>
      </c>
      <c r="E97" s="33">
        <f>Source!AQ64</f>
        <v>21.8</v>
      </c>
      <c r="F97" s="33"/>
      <c r="G97" s="35" t="str">
        <f>Source!DI64</f>
        <v/>
      </c>
      <c r="H97" s="33"/>
      <c r="I97" s="33"/>
      <c r="J97" s="33"/>
      <c r="K97" s="33"/>
      <c r="L97" s="34">
        <f>Source!U64</f>
        <v>21.8</v>
      </c>
    </row>
    <row r="98" spans="1:25" ht="15.75">
      <c r="A98" s="13"/>
      <c r="B98" s="13"/>
      <c r="C98" s="13"/>
      <c r="D98" s="13"/>
      <c r="E98" s="13"/>
      <c r="F98" s="13"/>
      <c r="G98" s="13"/>
      <c r="H98" s="36">
        <f>ROUND((Source!CT64/IF(Source!BA64 &lt;&gt;0, Source!BA64, 1) * Source!I64), 2)+ROUND((Source!CR64 / IF(Source!BB64 &lt;&gt;0, Source!BB64, 1) * Source!I64), 2)+ H94 + H95 + H96</f>
        <v>676</v>
      </c>
      <c r="I98" s="37"/>
      <c r="J98" s="37"/>
      <c r="K98" s="36">
        <f>Source!S64+Source!Q64+K94 + K95 + K96</f>
        <v>9615.11</v>
      </c>
      <c r="L98" s="36">
        <f>Source!U64</f>
        <v>21.8</v>
      </c>
      <c r="M98" s="32">
        <f>H98</f>
        <v>676</v>
      </c>
      <c r="N98">
        <f>ROUND((Source!CT64/IF(Source!BA64&lt;&gt; 0, Source!BA64,1) * Source!I64), 2)</f>
        <v>241.54</v>
      </c>
      <c r="O98">
        <f>IF( Source!BI64 = 1,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P98">
        <f>IF( Source!BI64 = 2,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675.99880000000007</v>
      </c>
      <c r="Q98">
        <f>IF( Source!BI64 = 3,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R98">
        <f>IF( Source!BI64 = 4,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S98">
        <f>IF( Source!BI64 = 1, Source!O64 + Source!X64 + Source!Y64, 0 )</f>
        <v>0</v>
      </c>
      <c r="T98">
        <f>IF( Source!BI64 = 2, Source!O64 + Source!X64 + Source!Y64, 0 )</f>
        <v>9615.11</v>
      </c>
      <c r="U98">
        <f>IF( Source!BI64 = 3, Source!O64 + Source!X64 + Source!Y64, 0 )</f>
        <v>0</v>
      </c>
      <c r="V98">
        <f>IF( Source!BI64 = 4, Source!O64 + Source!X64 + Source!Y64, 0 )</f>
        <v>0</v>
      </c>
      <c r="W98">
        <f>ROUND((Source!CS64/IF(Source!BS64&lt;&gt; 0, Source!BS64,1) * Source!I64), 2)</f>
        <v>0.3</v>
      </c>
    </row>
    <row r="99" spans="1:25" ht="45">
      <c r="A99" s="28" t="str">
        <f>Source!E65</f>
        <v>16</v>
      </c>
      <c r="B99" s="28" t="str">
        <f>Source!F65</f>
        <v>м10-09-001-2</v>
      </c>
      <c r="C99" s="29" t="str">
        <f>Source!G65</f>
        <v>Аппаратура телевизионная с 1 малогабаритной беструбочной камерой</v>
      </c>
      <c r="D99" s="30" t="str">
        <f>Source!H65</f>
        <v>1КОМПЛ.</v>
      </c>
      <c r="E99" s="13">
        <f>ROUND(Source!I65,6)</f>
        <v>3</v>
      </c>
      <c r="F99" s="15">
        <f>IF( Source!AK65 &lt;&gt;0, Source!AK65, Source!AL65 + Source!AM65 + Source!AO65)</f>
        <v>205.91</v>
      </c>
      <c r="G99" s="13"/>
      <c r="H99" s="13"/>
      <c r="I99" s="31" t="str">
        <f>IF( Source!BO65 &lt;&gt;"", Source!BO65, "" )</f>
        <v>м10-09-001-2</v>
      </c>
      <c r="J99" s="13"/>
      <c r="K99" s="13"/>
      <c r="L99" s="13"/>
    </row>
    <row r="100" spans="1:25" ht="15">
      <c r="A100" s="13"/>
      <c r="B100" s="13"/>
      <c r="C100" s="13" t="s">
        <v>507</v>
      </c>
      <c r="D100" s="13"/>
      <c r="E100" s="13"/>
      <c r="F100" s="15">
        <f>Source!AO65</f>
        <v>155.25</v>
      </c>
      <c r="G100" s="31" t="str">
        <f>Source!DG65</f>
        <v/>
      </c>
      <c r="H100" s="15">
        <f>ROUND((Source!CT65/IF(Source!BA65&lt;&gt; 0, Source!BA65,1) * Source!I65), 2)</f>
        <v>465.75</v>
      </c>
      <c r="I100" s="13"/>
      <c r="J100" s="13">
        <f>Source!BA65</f>
        <v>16.48</v>
      </c>
      <c r="K100" s="15">
        <f>Source!S65</f>
        <v>7675.56</v>
      </c>
      <c r="L100" s="13"/>
    </row>
    <row r="101" spans="1:25" ht="15">
      <c r="A101" s="13"/>
      <c r="B101" s="13"/>
      <c r="C101" s="13" t="s">
        <v>505</v>
      </c>
      <c r="D101" s="13"/>
      <c r="E101" s="13"/>
      <c r="F101" s="15">
        <f>Source!AL65</f>
        <v>50.660000000000004</v>
      </c>
      <c r="G101" s="31" t="str">
        <f>Source!DD65</f>
        <v/>
      </c>
      <c r="H101" s="15">
        <f>ROUND((Source!CQ65/IF(Source!BC65&lt;&gt; 0, Source!BC65,1) * Source!I65), 2)</f>
        <v>151.97999999999999</v>
      </c>
      <c r="I101" s="13"/>
      <c r="J101" s="13">
        <f>Source!BC65</f>
        <v>2.87</v>
      </c>
      <c r="K101" s="15">
        <f>Source!P65</f>
        <v>436.18</v>
      </c>
      <c r="L101" s="13"/>
    </row>
    <row r="102" spans="1:25" ht="15">
      <c r="A102" s="13"/>
      <c r="B102" s="13"/>
      <c r="C102" s="13" t="s">
        <v>509</v>
      </c>
      <c r="D102" s="16" t="s">
        <v>510</v>
      </c>
      <c r="E102" s="13"/>
      <c r="F102" s="15">
        <f>Source!BZ65</f>
        <v>80</v>
      </c>
      <c r="G102" s="13"/>
      <c r="H102" s="15">
        <f>X102</f>
        <v>372.6</v>
      </c>
      <c r="I102" s="13" t="str">
        <f>Source!FV65</f>
        <v>((*0.85))</v>
      </c>
      <c r="J102" s="15">
        <f>Source!AT65</f>
        <v>68</v>
      </c>
      <c r="K102" s="15">
        <f>Source!X65</f>
        <v>5219.38</v>
      </c>
      <c r="L102" s="13"/>
      <c r="X102">
        <f>ROUND((Source!FX65/100)*(ROUND((Source!CT65/IF(Source!BA65 &lt;&gt; 0, Source!BA65,1) * Source!I65), 2) + ROUND((Source!CS65/IF(Source!BS65 &lt;&gt; 0, Source!BS65, 1) * Source!I65), 2)), 2)</f>
        <v>372.6</v>
      </c>
    </row>
    <row r="103" spans="1:25" ht="15">
      <c r="A103" s="13"/>
      <c r="B103" s="13"/>
      <c r="C103" s="13" t="s">
        <v>93</v>
      </c>
      <c r="D103" s="16" t="s">
        <v>510</v>
      </c>
      <c r="E103" s="13"/>
      <c r="F103" s="15">
        <f>Source!CA65</f>
        <v>60</v>
      </c>
      <c r="G103" s="13"/>
      <c r="H103" s="15">
        <f>Y103</f>
        <v>279.45</v>
      </c>
      <c r="I103" s="13" t="str">
        <f>Source!FW65</f>
        <v>((*0.8))</v>
      </c>
      <c r="J103" s="15">
        <f>Source!AU65</f>
        <v>48</v>
      </c>
      <c r="K103" s="15">
        <f>Source!Y65</f>
        <v>3684.27</v>
      </c>
      <c r="L103" s="13"/>
      <c r="Y103">
        <f>ROUND((Source!FY65/100)*(ROUND((Source!CT65/IF(Source!BA65 &lt;&gt; 0, Source!BA65,1) * Source!I65), 2) + ROUND((Source!CS65/IF(Source!BS65 &lt;&gt; 0, Source!BS65, 1) * Source!I65), 2)), 2)</f>
        <v>279.45</v>
      </c>
    </row>
    <row r="104" spans="1:25" ht="15">
      <c r="A104" s="33"/>
      <c r="B104" s="33"/>
      <c r="C104" s="33" t="s">
        <v>511</v>
      </c>
      <c r="D104" s="41" t="s">
        <v>512</v>
      </c>
      <c r="E104" s="33">
        <f>Source!AQ65</f>
        <v>15</v>
      </c>
      <c r="F104" s="33"/>
      <c r="G104" s="35" t="str">
        <f>Source!DI65</f>
        <v/>
      </c>
      <c r="H104" s="33"/>
      <c r="I104" s="33"/>
      <c r="J104" s="33"/>
      <c r="K104" s="33"/>
      <c r="L104" s="34">
        <f>Source!U65</f>
        <v>45</v>
      </c>
    </row>
    <row r="105" spans="1:25" ht="15.75">
      <c r="A105" s="13"/>
      <c r="B105" s="13"/>
      <c r="C105" s="13"/>
      <c r="D105" s="13"/>
      <c r="E105" s="13"/>
      <c r="F105" s="13"/>
      <c r="G105" s="13"/>
      <c r="H105" s="36">
        <f>ROUND((Source!CT65/IF(Source!BA65 &lt;&gt;0, Source!BA65, 1) * Source!I65), 2)+ROUND((Source!CR65 / IF(Source!BB65 &lt;&gt;0, Source!BB65, 1) * Source!I65), 2)+ H101 + H102 + H103</f>
        <v>1269.78</v>
      </c>
      <c r="I105" s="37"/>
      <c r="J105" s="37"/>
      <c r="K105" s="36">
        <f>Source!S65+Source!Q65+K101 + K102 + K103</f>
        <v>17015.39</v>
      </c>
      <c r="L105" s="36">
        <f>Source!U65</f>
        <v>45</v>
      </c>
      <c r="M105" s="32">
        <f>H105</f>
        <v>1269.78</v>
      </c>
      <c r="N105">
        <f>ROUND((Source!CT65/IF(Source!BA65&lt;&gt; 0, Source!BA65,1) * Source!I65), 2)</f>
        <v>465.75</v>
      </c>
      <c r="O105">
        <f>IF( Source!BI65 = 1,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P105">
        <f>IF( Source!BI65 = 2,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1269.78</v>
      </c>
      <c r="Q105">
        <f>IF( Source!BI65 = 3,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R105">
        <f>IF( Source!BI65 = 4,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S105">
        <f>IF( Source!BI65 = 1, Source!O65 + Source!X65 + Source!Y65, 0 )</f>
        <v>0</v>
      </c>
      <c r="T105">
        <f>IF( Source!BI65 = 2, Source!O65 + Source!X65 + Source!Y65, 0 )</f>
        <v>17015.39</v>
      </c>
      <c r="U105">
        <f>IF( Source!BI65 = 3, Source!O65 + Source!X65 + Source!Y65, 0 )</f>
        <v>0</v>
      </c>
      <c r="V105">
        <f>IF( Source!BI65 = 4, Source!O65 + Source!X65 + Source!Y65, 0 )</f>
        <v>0</v>
      </c>
      <c r="W105">
        <f>ROUND((Source!CS65/IF(Source!BS65&lt;&gt; 0, Source!BS65,1) * Source!I65), 2)</f>
        <v>0</v>
      </c>
    </row>
    <row r="106" spans="1:25" ht="30">
      <c r="A106" s="28" t="str">
        <f>Source!E66</f>
        <v>17</v>
      </c>
      <c r="B106" s="28" t="str">
        <f>Source!F66</f>
        <v>м10-04-087-14</v>
      </c>
      <c r="C106" s="29" t="str">
        <f>Source!G66</f>
        <v>Устройство цифровой регистрации</v>
      </c>
      <c r="D106" s="30" t="str">
        <f>Source!H66</f>
        <v>устройство</v>
      </c>
      <c r="E106" s="13">
        <f>ROUND(Source!I66,6)</f>
        <v>1</v>
      </c>
      <c r="F106" s="15">
        <f>IF( Source!AK66 &lt;&gt;0, Source!AK66, Source!AL66 + Source!AM66 + Source!AO66)</f>
        <v>86.710000000000008</v>
      </c>
      <c r="G106" s="13"/>
      <c r="H106" s="13"/>
      <c r="I106" s="31" t="str">
        <f>IF( Source!BO66 &lt;&gt;"", Source!BO66, "" )</f>
        <v>м10-04-087-14</v>
      </c>
      <c r="J106" s="13"/>
      <c r="K106" s="13"/>
      <c r="L106" s="13"/>
    </row>
    <row r="107" spans="1:25" ht="15">
      <c r="A107" s="13"/>
      <c r="B107" s="13"/>
      <c r="C107" s="13" t="s">
        <v>507</v>
      </c>
      <c r="D107" s="13"/>
      <c r="E107" s="13"/>
      <c r="F107" s="15">
        <f>Source!AO66</f>
        <v>72.56</v>
      </c>
      <c r="G107" s="31" t="str">
        <f>Source!DG66</f>
        <v/>
      </c>
      <c r="H107" s="15">
        <f>ROUND((Source!CT66/IF(Source!BA66&lt;&gt; 0, Source!BA66,1) * Source!I66), 2)</f>
        <v>72.56</v>
      </c>
      <c r="I107" s="13"/>
      <c r="J107" s="13">
        <f>Source!BA66</f>
        <v>16.48</v>
      </c>
      <c r="K107" s="15">
        <f>Source!S66</f>
        <v>1195.79</v>
      </c>
      <c r="L107" s="13"/>
    </row>
    <row r="108" spans="1:25" ht="15">
      <c r="A108" s="13"/>
      <c r="B108" s="13"/>
      <c r="C108" s="13" t="s">
        <v>505</v>
      </c>
      <c r="D108" s="13"/>
      <c r="E108" s="13"/>
      <c r="F108" s="15">
        <f>Source!AL66</f>
        <v>14.15</v>
      </c>
      <c r="G108" s="31" t="str">
        <f>Source!DD66</f>
        <v/>
      </c>
      <c r="H108" s="15">
        <f>ROUND((Source!CQ66/IF(Source!BC66&lt;&gt; 0, Source!BC66,1) * Source!I66), 2)</f>
        <v>14.15</v>
      </c>
      <c r="I108" s="13"/>
      <c r="J108" s="13">
        <f>Source!BC66</f>
        <v>4.0599999999999996</v>
      </c>
      <c r="K108" s="15">
        <f>Source!P66</f>
        <v>57.45</v>
      </c>
      <c r="L108" s="13"/>
    </row>
    <row r="109" spans="1:25" ht="15">
      <c r="A109" s="13"/>
      <c r="B109" s="13"/>
      <c r="C109" s="13" t="s">
        <v>509</v>
      </c>
      <c r="D109" s="16" t="s">
        <v>510</v>
      </c>
      <c r="E109" s="13"/>
      <c r="F109" s="15">
        <f>Source!BZ66</f>
        <v>92</v>
      </c>
      <c r="G109" s="13"/>
      <c r="H109" s="15">
        <f>X109</f>
        <v>66.760000000000005</v>
      </c>
      <c r="I109" s="13" t="str">
        <f>Source!FV66</f>
        <v>((*0.85))</v>
      </c>
      <c r="J109" s="15">
        <f>Source!AT66</f>
        <v>78</v>
      </c>
      <c r="K109" s="15">
        <f>Source!X66</f>
        <v>932.72</v>
      </c>
      <c r="L109" s="13"/>
      <c r="X109">
        <f>ROUND((Source!FX66/100)*(ROUND((Source!CT66/IF(Source!BA66 &lt;&gt; 0, Source!BA66,1) * Source!I66), 2) + ROUND((Source!CS66/IF(Source!BS66 &lt;&gt; 0, Source!BS66, 1) * Source!I66), 2)), 2)</f>
        <v>66.760000000000005</v>
      </c>
    </row>
    <row r="110" spans="1:25" ht="15">
      <c r="A110" s="13"/>
      <c r="B110" s="13"/>
      <c r="C110" s="13" t="s">
        <v>93</v>
      </c>
      <c r="D110" s="16" t="s">
        <v>510</v>
      </c>
      <c r="E110" s="13"/>
      <c r="F110" s="15">
        <f>Source!CA66</f>
        <v>65</v>
      </c>
      <c r="G110" s="13"/>
      <c r="H110" s="15">
        <f>Y110</f>
        <v>47.16</v>
      </c>
      <c r="I110" s="13" t="str">
        <f>Source!FW66</f>
        <v>((*0.8))</v>
      </c>
      <c r="J110" s="15">
        <f>Source!AU66</f>
        <v>52</v>
      </c>
      <c r="K110" s="15">
        <f>Source!Y66</f>
        <v>621.80999999999995</v>
      </c>
      <c r="L110" s="13"/>
      <c r="Y110">
        <f>ROUND((Source!FY66/100)*(ROUND((Source!CT66/IF(Source!BA66 &lt;&gt; 0, Source!BA66,1) * Source!I66), 2) + ROUND((Source!CS66/IF(Source!BS66 &lt;&gt; 0, Source!BS66, 1) * Source!I66), 2)), 2)</f>
        <v>47.16</v>
      </c>
    </row>
    <row r="111" spans="1:25" ht="15">
      <c r="A111" s="33"/>
      <c r="B111" s="33"/>
      <c r="C111" s="33" t="s">
        <v>511</v>
      </c>
      <c r="D111" s="41" t="s">
        <v>512</v>
      </c>
      <c r="E111" s="33">
        <f>Source!AQ66</f>
        <v>8</v>
      </c>
      <c r="F111" s="33"/>
      <c r="G111" s="35" t="str">
        <f>Source!DI66</f>
        <v/>
      </c>
      <c r="H111" s="33"/>
      <c r="I111" s="33"/>
      <c r="J111" s="33"/>
      <c r="K111" s="33"/>
      <c r="L111" s="34">
        <f>Source!U66</f>
        <v>8</v>
      </c>
    </row>
    <row r="112" spans="1:25" ht="15.75">
      <c r="A112" s="13"/>
      <c r="B112" s="13"/>
      <c r="C112" s="13"/>
      <c r="D112" s="13"/>
      <c r="E112" s="13"/>
      <c r="F112" s="13"/>
      <c r="G112" s="13"/>
      <c r="H112" s="36">
        <f>ROUND((Source!CT66/IF(Source!BA66 &lt;&gt;0, Source!BA66, 1) * Source!I66), 2)+ROUND((Source!CR66 / IF(Source!BB66 &lt;&gt;0, Source!BB66, 1) * Source!I66), 2)+ H108 + H109 + H110</f>
        <v>200.63000000000002</v>
      </c>
      <c r="I112" s="37"/>
      <c r="J112" s="37"/>
      <c r="K112" s="36">
        <f>Source!S66+Source!Q66+K108 + K109 + K110</f>
        <v>2807.77</v>
      </c>
      <c r="L112" s="36">
        <f>Source!U66</f>
        <v>8</v>
      </c>
      <c r="M112" s="32">
        <f>H112</f>
        <v>200.63000000000002</v>
      </c>
      <c r="N112">
        <f>ROUND((Source!CT66/IF(Source!BA66&lt;&gt; 0, Source!BA66,1) * Source!I66), 2)</f>
        <v>72.56</v>
      </c>
      <c r="O112">
        <f>IF( Source!BI66 = 1,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P112">
        <f>IF( Source!BI66 = 2,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200.62920000000003</v>
      </c>
      <c r="Q112">
        <f>IF( Source!BI66 = 3,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R112">
        <f>IF( Source!BI66 = 4,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S112">
        <f>IF( Source!BI66 = 1, Source!O66 + Source!X66 + Source!Y66, 0 )</f>
        <v>0</v>
      </c>
      <c r="T112">
        <f>IF( Source!BI66 = 2, Source!O66 + Source!X66 + Source!Y66, 0 )</f>
        <v>2807.77</v>
      </c>
      <c r="U112">
        <f>IF( Source!BI66 = 3, Source!O66 + Source!X66 + Source!Y66, 0 )</f>
        <v>0</v>
      </c>
      <c r="V112">
        <f>IF( Source!BI66 = 4, Source!O66 + Source!X66 + Source!Y66, 0 )</f>
        <v>0</v>
      </c>
      <c r="W112">
        <f>ROUND((Source!CS66/IF(Source!BS66&lt;&gt; 0, Source!BS66,1) * Source!I66), 2)</f>
        <v>0</v>
      </c>
    </row>
    <row r="113" spans="1:25" ht="30">
      <c r="A113" s="28" t="str">
        <f>Source!E67</f>
        <v>18</v>
      </c>
      <c r="B113" s="28" t="str">
        <f>Source!F67</f>
        <v>м10-04-067-23</v>
      </c>
      <c r="C113" s="29" t="str">
        <f>Source!G67</f>
        <v>Устройство видеоконтрольное</v>
      </c>
      <c r="D113" s="30" t="str">
        <f>Source!H67</f>
        <v>шт.</v>
      </c>
      <c r="E113" s="13">
        <f>ROUND(Source!I67,6)</f>
        <v>1</v>
      </c>
      <c r="F113" s="15">
        <f>IF( Source!AK67 &lt;&gt;0, Source!AK67, Source!AL67 + Source!AM67 + Source!AO67)</f>
        <v>25.56</v>
      </c>
      <c r="G113" s="13"/>
      <c r="H113" s="13"/>
      <c r="I113" s="31" t="str">
        <f>IF( Source!BO67 &lt;&gt;"", Source!BO67, "" )</f>
        <v>м10-04-067-23</v>
      </c>
      <c r="J113" s="13"/>
      <c r="K113" s="13"/>
      <c r="L113" s="13"/>
    </row>
    <row r="114" spans="1:25" ht="15">
      <c r="A114" s="13"/>
      <c r="B114" s="13"/>
      <c r="C114" s="13" t="s">
        <v>507</v>
      </c>
      <c r="D114" s="13"/>
      <c r="E114" s="13"/>
      <c r="F114" s="15">
        <f>Source!AO67</f>
        <v>24.18</v>
      </c>
      <c r="G114" s="31" t="str">
        <f>Source!DG67</f>
        <v/>
      </c>
      <c r="H114" s="15">
        <f>ROUND((Source!CT67/IF(Source!BA67&lt;&gt; 0, Source!BA67,1) * Source!I67), 2)</f>
        <v>24.18</v>
      </c>
      <c r="I114" s="13"/>
      <c r="J114" s="13">
        <f>Source!BA67</f>
        <v>16.48</v>
      </c>
      <c r="K114" s="15">
        <f>Source!S67</f>
        <v>398.49</v>
      </c>
      <c r="L114" s="13"/>
    </row>
    <row r="115" spans="1:25" ht="15">
      <c r="A115" s="13"/>
      <c r="B115" s="13"/>
      <c r="C115" s="13" t="s">
        <v>77</v>
      </c>
      <c r="D115" s="13"/>
      <c r="E115" s="13"/>
      <c r="F115" s="15">
        <f>Source!AM67</f>
        <v>0.9</v>
      </c>
      <c r="G115" s="31" t="str">
        <f>Source!DE67</f>
        <v/>
      </c>
      <c r="H115" s="15">
        <f>ROUND((Source!CR67/IF(Source!BB67&lt;&gt; 0, Source!BB67,1) * Source!I67), 2)</f>
        <v>0.9</v>
      </c>
      <c r="I115" s="13"/>
      <c r="J115" s="13">
        <f>Source!BB67</f>
        <v>5.14</v>
      </c>
      <c r="K115" s="15">
        <f>Source!Q67</f>
        <v>4.63</v>
      </c>
      <c r="L115" s="13"/>
    </row>
    <row r="116" spans="1:25" ht="15">
      <c r="A116" s="13"/>
      <c r="B116" s="13"/>
      <c r="C116" s="13" t="s">
        <v>508</v>
      </c>
      <c r="D116" s="13"/>
      <c r="E116" s="13"/>
      <c r="F116" s="15">
        <f>Source!AN67</f>
        <v>0.1</v>
      </c>
      <c r="G116" s="31" t="str">
        <f>Source!DF67</f>
        <v/>
      </c>
      <c r="H116" s="38">
        <f>ROUND((Source!CS67/IF(Source!BS67&lt;&gt; 0, Source!BS67,1) * Source!I67), 2)</f>
        <v>0.1</v>
      </c>
      <c r="I116" s="13"/>
      <c r="J116" s="13">
        <f>Source!BS67</f>
        <v>16.48</v>
      </c>
      <c r="K116" s="38">
        <f>Source!R67</f>
        <v>1.65</v>
      </c>
      <c r="L116" s="13"/>
    </row>
    <row r="117" spans="1:25" ht="15">
      <c r="A117" s="13"/>
      <c r="B117" s="13"/>
      <c r="C117" s="13" t="s">
        <v>505</v>
      </c>
      <c r="D117" s="13"/>
      <c r="E117" s="13"/>
      <c r="F117" s="15">
        <f>Source!AL67</f>
        <v>0.48</v>
      </c>
      <c r="G117" s="31" t="str">
        <f>Source!DD67</f>
        <v/>
      </c>
      <c r="H117" s="15">
        <f>ROUND((Source!CQ67/IF(Source!BC67&lt;&gt; 0, Source!BC67,1) * Source!I67), 2)</f>
        <v>0.48</v>
      </c>
      <c r="I117" s="13"/>
      <c r="J117" s="13">
        <f>Source!BC67</f>
        <v>16.48</v>
      </c>
      <c r="K117" s="15">
        <f>Source!P67</f>
        <v>7.91</v>
      </c>
      <c r="L117" s="13"/>
    </row>
    <row r="118" spans="1:25" ht="15">
      <c r="A118" s="13"/>
      <c r="B118" s="13"/>
      <c r="C118" s="13" t="s">
        <v>509</v>
      </c>
      <c r="D118" s="16" t="s">
        <v>510</v>
      </c>
      <c r="E118" s="13"/>
      <c r="F118" s="15">
        <f>Source!BZ67</f>
        <v>92</v>
      </c>
      <c r="G118" s="13"/>
      <c r="H118" s="15">
        <f>X118</f>
        <v>22.34</v>
      </c>
      <c r="I118" s="13" t="str">
        <f>Source!FV67</f>
        <v>((*0.85))</v>
      </c>
      <c r="J118" s="15">
        <f>Source!AT67</f>
        <v>78</v>
      </c>
      <c r="K118" s="15">
        <f>Source!X67</f>
        <v>312.11</v>
      </c>
      <c r="L118" s="13"/>
      <c r="X118">
        <f>ROUND((Source!FX67/100)*(ROUND((Source!CT67/IF(Source!BA67 &lt;&gt; 0, Source!BA67,1) * Source!I67), 2) + ROUND((Source!CS67/IF(Source!BS67 &lt;&gt; 0, Source!BS67, 1) * Source!I67), 2)), 2)</f>
        <v>22.34</v>
      </c>
    </row>
    <row r="119" spans="1:25" ht="15">
      <c r="A119" s="13"/>
      <c r="B119" s="13"/>
      <c r="C119" s="13" t="s">
        <v>93</v>
      </c>
      <c r="D119" s="16" t="s">
        <v>510</v>
      </c>
      <c r="E119" s="13"/>
      <c r="F119" s="15">
        <f>Source!CA67</f>
        <v>65</v>
      </c>
      <c r="G119" s="13"/>
      <c r="H119" s="15">
        <f>Y119</f>
        <v>15.78</v>
      </c>
      <c r="I119" s="13" t="str">
        <f>Source!FW67</f>
        <v>((*0.8))</v>
      </c>
      <c r="J119" s="15">
        <f>Source!AU67</f>
        <v>52</v>
      </c>
      <c r="K119" s="15">
        <f>Source!Y67</f>
        <v>208.07</v>
      </c>
      <c r="L119" s="13"/>
      <c r="Y119">
        <f>ROUND((Source!FY67/100)*(ROUND((Source!CT67/IF(Source!BA67 &lt;&gt; 0, Source!BA67,1) * Source!I67), 2) + ROUND((Source!CS67/IF(Source!BS67 &lt;&gt; 0, Source!BS67, 1) * Source!I67), 2)), 2)</f>
        <v>15.78</v>
      </c>
    </row>
    <row r="120" spans="1:25" ht="15">
      <c r="A120" s="33"/>
      <c r="B120" s="33"/>
      <c r="C120" s="33" t="s">
        <v>511</v>
      </c>
      <c r="D120" s="41" t="s">
        <v>512</v>
      </c>
      <c r="E120" s="33">
        <f>Source!AQ67</f>
        <v>2.1800000000000002</v>
      </c>
      <c r="F120" s="33"/>
      <c r="G120" s="35" t="str">
        <f>Source!DI67</f>
        <v/>
      </c>
      <c r="H120" s="33"/>
      <c r="I120" s="33"/>
      <c r="J120" s="33"/>
      <c r="K120" s="33"/>
      <c r="L120" s="34">
        <f>Source!U67</f>
        <v>2.1800000000000002</v>
      </c>
    </row>
    <row r="121" spans="1:25" ht="15.75">
      <c r="A121" s="13"/>
      <c r="B121" s="13"/>
      <c r="C121" s="13"/>
      <c r="D121" s="13"/>
      <c r="E121" s="13"/>
      <c r="F121" s="13"/>
      <c r="G121" s="13"/>
      <c r="H121" s="36">
        <f>ROUND((Source!CT67/IF(Source!BA67 &lt;&gt;0, Source!BA67, 1) * Source!I67), 2)+ROUND((Source!CR67 / IF(Source!BB67 &lt;&gt;0, Source!BB67, 1) * Source!I67), 2)+ H117 + H118 + H119</f>
        <v>63.68</v>
      </c>
      <c r="I121" s="37"/>
      <c r="J121" s="37"/>
      <c r="K121" s="36">
        <f>Source!S67+Source!Q67+K117 + K118 + K119</f>
        <v>931.21</v>
      </c>
      <c r="L121" s="36">
        <f>Source!U67</f>
        <v>2.1800000000000002</v>
      </c>
      <c r="M121" s="32">
        <f>H121</f>
        <v>63.68</v>
      </c>
      <c r="N121">
        <f>ROUND((Source!CT67/IF(Source!BA67&lt;&gt; 0, Source!BA67,1) * Source!I67), 2)</f>
        <v>24.18</v>
      </c>
      <c r="O121">
        <f>IF( Source!BI67 = 1,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P121">
        <f>IF( Source!BI67 = 2,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63.679600000000001</v>
      </c>
      <c r="Q121">
        <f>IF( Source!BI67 = 3,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R121">
        <f>IF( Source!BI67 = 4,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S121">
        <f>IF( Source!BI67 = 1, Source!O67 + Source!X67 + Source!Y67, 0 )</f>
        <v>0</v>
      </c>
      <c r="T121">
        <f>IF( Source!BI67 = 2, Source!O67 + Source!X67 + Source!Y67, 0 )</f>
        <v>931.21</v>
      </c>
      <c r="U121">
        <f>IF( Source!BI67 = 3, Source!O67 + Source!X67 + Source!Y67, 0 )</f>
        <v>0</v>
      </c>
      <c r="V121">
        <f>IF( Source!BI67 = 4, Source!O67 + Source!X67 + Source!Y67, 0 )</f>
        <v>0</v>
      </c>
      <c r="W121">
        <f>ROUND((Source!CS67/IF(Source!BS67&lt;&gt; 0, Source!BS67,1) * Source!I67), 2)</f>
        <v>0.1</v>
      </c>
    </row>
    <row r="122" spans="1:25" ht="60">
      <c r="A122" s="28" t="str">
        <f>Source!E68</f>
        <v>19</v>
      </c>
      <c r="B122" s="28" t="str">
        <f>Source!F68</f>
        <v>м11-04-026-1 применительно</v>
      </c>
      <c r="C122" s="29" t="str">
        <f>Source!G68</f>
        <v>Разъемы штепсельные с разделкой и включением кабеля</v>
      </c>
      <c r="D122" s="30" t="str">
        <f>Source!H68</f>
        <v>шт.</v>
      </c>
      <c r="E122" s="13">
        <f>ROUND(Source!I68,6)</f>
        <v>12</v>
      </c>
      <c r="F122" s="15">
        <f>IF( Source!AK68 &lt;&gt;0, Source!AK68, Source!AL68 + Source!AM68 + Source!AO68)</f>
        <v>15.68</v>
      </c>
      <c r="G122" s="13"/>
      <c r="H122" s="13"/>
      <c r="I122" s="31" t="str">
        <f>IF( Source!BO68 &lt;&gt;"", Source!BO68, "" )</f>
        <v>м11-04-026-1</v>
      </c>
      <c r="J122" s="13"/>
      <c r="K122" s="13"/>
      <c r="L122" s="13"/>
    </row>
    <row r="123" spans="1:25" ht="15">
      <c r="A123" s="13"/>
      <c r="B123" s="13"/>
      <c r="C123" s="13" t="s">
        <v>507</v>
      </c>
      <c r="D123" s="13"/>
      <c r="E123" s="13"/>
      <c r="F123" s="15">
        <f>Source!AO68</f>
        <v>9.91</v>
      </c>
      <c r="G123" s="31" t="str">
        <f>Source!DG68</f>
        <v/>
      </c>
      <c r="H123" s="15">
        <f>ROUND((Source!CT68/IF(Source!BA68&lt;&gt; 0, Source!BA68,1) * Source!I68), 2)</f>
        <v>118.92</v>
      </c>
      <c r="I123" s="13"/>
      <c r="J123" s="13">
        <f>Source!BA68</f>
        <v>17.52</v>
      </c>
      <c r="K123" s="15">
        <f>Source!S68</f>
        <v>2083.48</v>
      </c>
      <c r="L123" s="13"/>
    </row>
    <row r="124" spans="1:25" ht="15">
      <c r="A124" s="13"/>
      <c r="B124" s="13"/>
      <c r="C124" s="13" t="s">
        <v>505</v>
      </c>
      <c r="D124" s="13"/>
      <c r="E124" s="13"/>
      <c r="F124" s="15">
        <f>Source!AL68</f>
        <v>5.77</v>
      </c>
      <c r="G124" s="31" t="str">
        <f>Source!DD68</f>
        <v/>
      </c>
      <c r="H124" s="15">
        <f>ROUND((Source!CQ68/IF(Source!BC68&lt;&gt; 0, Source!BC68,1) * Source!I68), 2)</f>
        <v>69.239999999999995</v>
      </c>
      <c r="I124" s="13"/>
      <c r="J124" s="13">
        <f>Source!BC68</f>
        <v>5.52</v>
      </c>
      <c r="K124" s="15">
        <f>Source!P68</f>
        <v>382.2</v>
      </c>
      <c r="L124" s="13"/>
    </row>
    <row r="125" spans="1:25" ht="15">
      <c r="A125" s="13"/>
      <c r="B125" s="13"/>
      <c r="C125" s="13" t="s">
        <v>509</v>
      </c>
      <c r="D125" s="16" t="s">
        <v>510</v>
      </c>
      <c r="E125" s="13"/>
      <c r="F125" s="15">
        <f>Source!BZ68</f>
        <v>92</v>
      </c>
      <c r="G125" s="13"/>
      <c r="H125" s="15">
        <f>X125</f>
        <v>109.41</v>
      </c>
      <c r="I125" s="13" t="str">
        <f>Source!FV68</f>
        <v>((*0.85))</v>
      </c>
      <c r="J125" s="15">
        <f>Source!AT68</f>
        <v>78</v>
      </c>
      <c r="K125" s="15">
        <f>Source!X68</f>
        <v>1625.11</v>
      </c>
      <c r="L125" s="13"/>
      <c r="X125">
        <f>ROUND((Source!FX68/100)*(ROUND((Source!CT68/IF(Source!BA68 &lt;&gt; 0, Source!BA68,1) * Source!I68), 2) + ROUND((Source!CS68/IF(Source!BS68 &lt;&gt; 0, Source!BS68, 1) * Source!I68), 2)), 2)</f>
        <v>109.41</v>
      </c>
    </row>
    <row r="126" spans="1:25" ht="15">
      <c r="A126" s="13"/>
      <c r="B126" s="13"/>
      <c r="C126" s="13" t="s">
        <v>93</v>
      </c>
      <c r="D126" s="16" t="s">
        <v>510</v>
      </c>
      <c r="E126" s="13"/>
      <c r="F126" s="15">
        <f>Source!CA68</f>
        <v>65</v>
      </c>
      <c r="G126" s="13"/>
      <c r="H126" s="15">
        <f>Y126</f>
        <v>77.3</v>
      </c>
      <c r="I126" s="13" t="str">
        <f>Source!FW68</f>
        <v>((*0.8))</v>
      </c>
      <c r="J126" s="15">
        <f>Source!AU68</f>
        <v>52</v>
      </c>
      <c r="K126" s="15">
        <f>Source!Y68</f>
        <v>1083.4100000000001</v>
      </c>
      <c r="L126" s="13"/>
      <c r="Y126">
        <f>ROUND((Source!FY68/100)*(ROUND((Source!CT68/IF(Source!BA68 &lt;&gt; 0, Source!BA68,1) * Source!I68), 2) + ROUND((Source!CS68/IF(Source!BS68 &lt;&gt; 0, Source!BS68, 1) * Source!I68), 2)), 2)</f>
        <v>77.3</v>
      </c>
    </row>
    <row r="127" spans="1:25" ht="15">
      <c r="A127" s="33"/>
      <c r="B127" s="33"/>
      <c r="C127" s="33" t="s">
        <v>511</v>
      </c>
      <c r="D127" s="41" t="s">
        <v>512</v>
      </c>
      <c r="E127" s="33">
        <f>Source!AQ68</f>
        <v>1.03</v>
      </c>
      <c r="F127" s="33"/>
      <c r="G127" s="35" t="str">
        <f>Source!DI68</f>
        <v/>
      </c>
      <c r="H127" s="33"/>
      <c r="I127" s="33"/>
      <c r="J127" s="33"/>
      <c r="K127" s="33"/>
      <c r="L127" s="34">
        <f>Source!U68</f>
        <v>12.36</v>
      </c>
    </row>
    <row r="128" spans="1:25" ht="15.75">
      <c r="A128" s="13"/>
      <c r="B128" s="13"/>
      <c r="C128" s="13"/>
      <c r="D128" s="13"/>
      <c r="E128" s="13"/>
      <c r="F128" s="13"/>
      <c r="G128" s="13"/>
      <c r="H128" s="36">
        <f>ROUND((Source!CT68/IF(Source!BA68 &lt;&gt;0, Source!BA68, 1) * Source!I68), 2)+ROUND((Source!CR68 / IF(Source!BB68 &lt;&gt;0, Source!BB68, 1) * Source!I68), 2)+ H124 + H125 + H126</f>
        <v>374.87</v>
      </c>
      <c r="I128" s="37"/>
      <c r="J128" s="37"/>
      <c r="K128" s="36">
        <f>Source!S68+Source!Q68+K124 + K125 + K126</f>
        <v>5174.2</v>
      </c>
      <c r="L128" s="36">
        <f>Source!U68</f>
        <v>12.36</v>
      </c>
      <c r="M128" s="32">
        <f>H128</f>
        <v>374.87</v>
      </c>
      <c r="N128">
        <f>ROUND((Source!CT68/IF(Source!BA68&lt;&gt; 0, Source!BA68,1) * Source!I68), 2)</f>
        <v>118.92</v>
      </c>
      <c r="O128">
        <f>IF( Source!BI68 = 1,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P128">
        <f>IF( Source!BI68 = 2,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374.86439999999999</v>
      </c>
      <c r="Q128">
        <f>IF( Source!BI68 = 3,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R128">
        <f>IF( Source!BI68 = 4,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S128">
        <f>IF( Source!BI68 = 1, Source!O68 + Source!X68 + Source!Y68, 0 )</f>
        <v>0</v>
      </c>
      <c r="T128">
        <f>IF( Source!BI68 = 2, Source!O68 + Source!X68 + Source!Y68, 0 )</f>
        <v>5174.2</v>
      </c>
      <c r="U128">
        <f>IF( Source!BI68 = 3, Source!O68 + Source!X68 + Source!Y68, 0 )</f>
        <v>0</v>
      </c>
      <c r="V128">
        <f>IF( Source!BI68 = 4, Source!O68 + Source!X68 + Source!Y68, 0 )</f>
        <v>0</v>
      </c>
      <c r="W128">
        <f>ROUND((Source!CS68/IF(Source!BS68&lt;&gt; 0, Source!BS68,1) * Source!I68), 2)</f>
        <v>0</v>
      </c>
    </row>
    <row r="129" spans="1:25" ht="30">
      <c r="A129" s="28" t="str">
        <f>Source!E69</f>
        <v>20</v>
      </c>
      <c r="B129" s="28" t="str">
        <f>Source!F69</f>
        <v>м10-08-003-3</v>
      </c>
      <c r="C129" s="29" t="str">
        <f>Source!G69</f>
        <v>Блок питания и контроля</v>
      </c>
      <c r="D129" s="30" t="str">
        <f>Source!H69</f>
        <v>шт.</v>
      </c>
      <c r="E129" s="13">
        <f>ROUND(Source!I69,6)</f>
        <v>1</v>
      </c>
      <c r="F129" s="15">
        <f>IF( Source!AK69 &lt;&gt;0, Source!AK69, Source!AL69 + Source!AM69 + Source!AO69)</f>
        <v>41.349999999999994</v>
      </c>
      <c r="G129" s="13"/>
      <c r="H129" s="13"/>
      <c r="I129" s="31" t="str">
        <f>IF( Source!BO69 &lt;&gt;"", Source!BO69, "" )</f>
        <v>м10-08-003-3</v>
      </c>
      <c r="J129" s="13"/>
      <c r="K129" s="13"/>
      <c r="L129" s="13"/>
    </row>
    <row r="130" spans="1:25" ht="15">
      <c r="A130" s="13"/>
      <c r="B130" s="13"/>
      <c r="C130" s="13" t="s">
        <v>507</v>
      </c>
      <c r="D130" s="13"/>
      <c r="E130" s="13"/>
      <c r="F130" s="15">
        <f>Source!AO69</f>
        <v>36.76</v>
      </c>
      <c r="G130" s="31" t="str">
        <f>Source!DG69</f>
        <v/>
      </c>
      <c r="H130" s="15">
        <f>ROUND((Source!CT69/IF(Source!BA69&lt;&gt; 0, Source!BA69,1) * Source!I69), 2)</f>
        <v>36.76</v>
      </c>
      <c r="I130" s="13"/>
      <c r="J130" s="13">
        <f>Source!BA69</f>
        <v>17.52</v>
      </c>
      <c r="K130" s="15">
        <f>Source!S69</f>
        <v>644.04</v>
      </c>
      <c r="L130" s="13"/>
    </row>
    <row r="131" spans="1:25" ht="15">
      <c r="A131" s="13"/>
      <c r="B131" s="13"/>
      <c r="C131" s="13" t="s">
        <v>77</v>
      </c>
      <c r="D131" s="13"/>
      <c r="E131" s="13"/>
      <c r="F131" s="15">
        <f>Source!AM69</f>
        <v>0.25</v>
      </c>
      <c r="G131" s="31" t="str">
        <f>Source!DE69</f>
        <v/>
      </c>
      <c r="H131" s="15">
        <f>ROUND((Source!CR69/IF(Source!BB69&lt;&gt; 0, Source!BB69,1) * Source!I69), 2)</f>
        <v>0.25</v>
      </c>
      <c r="I131" s="13"/>
      <c r="J131" s="13">
        <f>Source!BB69</f>
        <v>8.44</v>
      </c>
      <c r="K131" s="15">
        <f>Source!Q69</f>
        <v>2.11</v>
      </c>
      <c r="L131" s="13"/>
    </row>
    <row r="132" spans="1:25" ht="15">
      <c r="A132" s="13"/>
      <c r="B132" s="13"/>
      <c r="C132" s="13" t="s">
        <v>505</v>
      </c>
      <c r="D132" s="13"/>
      <c r="E132" s="13"/>
      <c r="F132" s="15">
        <f>Source!AL69</f>
        <v>4.34</v>
      </c>
      <c r="G132" s="31" t="str">
        <f>Source!DD69</f>
        <v/>
      </c>
      <c r="H132" s="15">
        <f>ROUND((Source!CQ69/IF(Source!BC69&lt;&gt; 0, Source!BC69,1) * Source!I69), 2)</f>
        <v>4.34</v>
      </c>
      <c r="I132" s="13"/>
      <c r="J132" s="13">
        <f>Source!BC69</f>
        <v>6.41</v>
      </c>
      <c r="K132" s="15">
        <f>Source!P69</f>
        <v>27.82</v>
      </c>
      <c r="L132" s="13"/>
    </row>
    <row r="133" spans="1:25" ht="15">
      <c r="A133" s="13"/>
      <c r="B133" s="13"/>
      <c r="C133" s="13" t="s">
        <v>509</v>
      </c>
      <c r="D133" s="16" t="s">
        <v>510</v>
      </c>
      <c r="E133" s="13"/>
      <c r="F133" s="15">
        <f>Source!BZ69</f>
        <v>80</v>
      </c>
      <c r="G133" s="13"/>
      <c r="H133" s="15">
        <f>X133</f>
        <v>29.41</v>
      </c>
      <c r="I133" s="13" t="str">
        <f>Source!FV69</f>
        <v>((*0.85))</v>
      </c>
      <c r="J133" s="15">
        <f>Source!AT69</f>
        <v>68</v>
      </c>
      <c r="K133" s="15">
        <f>Source!X69</f>
        <v>437.95</v>
      </c>
      <c r="L133" s="13"/>
      <c r="X133">
        <f>ROUND((Source!FX69/100)*(ROUND((Source!CT69/IF(Source!BA69 &lt;&gt; 0, Source!BA69,1) * Source!I69), 2) + ROUND((Source!CS69/IF(Source!BS69 &lt;&gt; 0, Source!BS69, 1) * Source!I69), 2)), 2)</f>
        <v>29.41</v>
      </c>
    </row>
    <row r="134" spans="1:25" ht="15">
      <c r="A134" s="13"/>
      <c r="B134" s="13"/>
      <c r="C134" s="13" t="s">
        <v>93</v>
      </c>
      <c r="D134" s="16" t="s">
        <v>510</v>
      </c>
      <c r="E134" s="13"/>
      <c r="F134" s="15">
        <f>Source!CA69</f>
        <v>60</v>
      </c>
      <c r="G134" s="13"/>
      <c r="H134" s="15">
        <f>Y134</f>
        <v>22.06</v>
      </c>
      <c r="I134" s="13" t="str">
        <f>Source!FW69</f>
        <v>((*0.8))</v>
      </c>
      <c r="J134" s="15">
        <f>Source!AU69</f>
        <v>48</v>
      </c>
      <c r="K134" s="15">
        <f>Source!Y69</f>
        <v>309.14</v>
      </c>
      <c r="L134" s="13"/>
      <c r="Y134">
        <f>ROUND((Source!FY69/100)*(ROUND((Source!CT69/IF(Source!BA69 &lt;&gt; 0, Source!BA69,1) * Source!I69), 2) + ROUND((Source!CS69/IF(Source!BS69 &lt;&gt; 0, Source!BS69, 1) * Source!I69), 2)), 2)</f>
        <v>22.06</v>
      </c>
    </row>
    <row r="135" spans="1:25" ht="15">
      <c r="A135" s="33"/>
      <c r="B135" s="33"/>
      <c r="C135" s="33" t="s">
        <v>511</v>
      </c>
      <c r="D135" s="41" t="s">
        <v>512</v>
      </c>
      <c r="E135" s="33">
        <f>Source!AQ69</f>
        <v>3.6</v>
      </c>
      <c r="F135" s="33"/>
      <c r="G135" s="35" t="str">
        <f>Source!DI69</f>
        <v/>
      </c>
      <c r="H135" s="33"/>
      <c r="I135" s="33"/>
      <c r="J135" s="33"/>
      <c r="K135" s="33"/>
      <c r="L135" s="34">
        <f>Source!U69</f>
        <v>3.6</v>
      </c>
    </row>
    <row r="136" spans="1:25" ht="15.75">
      <c r="A136" s="13"/>
      <c r="B136" s="13"/>
      <c r="C136" s="13"/>
      <c r="D136" s="13"/>
      <c r="E136" s="13"/>
      <c r="F136" s="13"/>
      <c r="G136" s="13"/>
      <c r="H136" s="36">
        <f>ROUND((Source!CT69/IF(Source!BA69 &lt;&gt;0, Source!BA69, 1) * Source!I69), 2)+ROUND((Source!CR69 / IF(Source!BB69 &lt;&gt;0, Source!BB69, 1) * Source!I69), 2)+ H132 + H133 + H134</f>
        <v>92.82</v>
      </c>
      <c r="I136" s="37"/>
      <c r="J136" s="37"/>
      <c r="K136" s="36">
        <f>Source!S69+Source!Q69+K132 + K133 + K134</f>
        <v>1421.06</v>
      </c>
      <c r="L136" s="36">
        <f>Source!U69</f>
        <v>3.6</v>
      </c>
      <c r="M136" s="32">
        <f>H136</f>
        <v>92.82</v>
      </c>
      <c r="N136">
        <f>ROUND((Source!CT69/IF(Source!BA69&lt;&gt; 0, Source!BA69,1) * Source!I69), 2)</f>
        <v>36.76</v>
      </c>
      <c r="O136">
        <f>IF( Source!BI69 = 1,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P136">
        <f>IF( Source!BI69 = 2,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92.813999999999993</v>
      </c>
      <c r="Q136">
        <f>IF( Source!BI69 = 3,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R136">
        <f>IF( Source!BI69 = 4,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S136">
        <f>IF( Source!BI69 = 1, Source!O69 + Source!X69 + Source!Y69, 0 )</f>
        <v>0</v>
      </c>
      <c r="T136">
        <f>IF( Source!BI69 = 2, Source!O69 + Source!X69 + Source!Y69, 0 )</f>
        <v>1421.06</v>
      </c>
      <c r="U136">
        <f>IF( Source!BI69 = 3, Source!O69 + Source!X69 + Source!Y69, 0 )</f>
        <v>0</v>
      </c>
      <c r="V136">
        <f>IF( Source!BI69 = 4, Source!O69 + Source!X69 + Source!Y69, 0 )</f>
        <v>0</v>
      </c>
      <c r="W136">
        <f>ROUND((Source!CS69/IF(Source!BS69&lt;&gt; 0, Source!BS69,1) * Source!I69), 2)</f>
        <v>0</v>
      </c>
    </row>
    <row r="137" spans="1:25" ht="30">
      <c r="A137" s="28" t="str">
        <f>Source!E70</f>
        <v>21</v>
      </c>
      <c r="B137" s="28" t="str">
        <f>Source!F70</f>
        <v>м08-02-390-1</v>
      </c>
      <c r="C137" s="29" t="str">
        <f>Source!G70</f>
        <v>Короба пластмассовые шириной до 40 мм</v>
      </c>
      <c r="D137" s="30" t="str">
        <f>Source!H70</f>
        <v>100 м</v>
      </c>
      <c r="E137" s="13">
        <f>ROUND(Source!I70,6)</f>
        <v>1</v>
      </c>
      <c r="F137" s="15">
        <f>IF( Source!AK70 &lt;&gt;0, Source!AK70, Source!AL70 + Source!AM70 + Source!AO70)</f>
        <v>237.64999999999998</v>
      </c>
      <c r="G137" s="13"/>
      <c r="H137" s="13"/>
      <c r="I137" s="31" t="str">
        <f>IF( Source!BO70 &lt;&gt;"", Source!BO70, "" )</f>
        <v>м08-02-390-1</v>
      </c>
      <c r="J137" s="13"/>
      <c r="K137" s="13"/>
      <c r="L137" s="13"/>
    </row>
    <row r="138" spans="1:25" ht="15">
      <c r="A138" s="13"/>
      <c r="B138" s="13"/>
      <c r="C138" s="13" t="s">
        <v>507</v>
      </c>
      <c r="D138" s="13"/>
      <c r="E138" s="13"/>
      <c r="F138" s="15">
        <f>Source!AO70</f>
        <v>154.91999999999999</v>
      </c>
      <c r="G138" s="31" t="str">
        <f>Source!DG70</f>
        <v/>
      </c>
      <c r="H138" s="15">
        <f>ROUND((Source!CT70/IF(Source!BA70&lt;&gt; 0, Source!BA70,1) * Source!I70), 2)</f>
        <v>154.91999999999999</v>
      </c>
      <c r="I138" s="13"/>
      <c r="J138" s="13">
        <f>Source!BA70</f>
        <v>17.52</v>
      </c>
      <c r="K138" s="15">
        <f>Source!S70</f>
        <v>2714.2</v>
      </c>
      <c r="L138" s="13"/>
    </row>
    <row r="139" spans="1:25" ht="15">
      <c r="A139" s="13"/>
      <c r="B139" s="13"/>
      <c r="C139" s="13" t="s">
        <v>77</v>
      </c>
      <c r="D139" s="13"/>
      <c r="E139" s="13"/>
      <c r="F139" s="15">
        <f>Source!AM70</f>
        <v>31.2</v>
      </c>
      <c r="G139" s="31" t="str">
        <f>Source!DE70</f>
        <v/>
      </c>
      <c r="H139" s="15">
        <f>ROUND((Source!CR70/IF(Source!BB70&lt;&gt; 0, Source!BB70,1) * Source!I70), 2)</f>
        <v>31.2</v>
      </c>
      <c r="I139" s="13"/>
      <c r="J139" s="13">
        <f>Source!BB70</f>
        <v>7.12</v>
      </c>
      <c r="K139" s="15">
        <f>Source!Q70</f>
        <v>222.14</v>
      </c>
      <c r="L139" s="13"/>
    </row>
    <row r="140" spans="1:25" ht="15">
      <c r="A140" s="13"/>
      <c r="B140" s="13"/>
      <c r="C140" s="13" t="s">
        <v>508</v>
      </c>
      <c r="D140" s="13"/>
      <c r="E140" s="13"/>
      <c r="F140" s="15">
        <f>Source!AN70</f>
        <v>0.12</v>
      </c>
      <c r="G140" s="31" t="str">
        <f>Source!DF70</f>
        <v/>
      </c>
      <c r="H140" s="38">
        <f>ROUND((Source!CS70/IF(Source!BS70&lt;&gt; 0, Source!BS70,1) * Source!I70), 2)</f>
        <v>0.12</v>
      </c>
      <c r="I140" s="13"/>
      <c r="J140" s="13">
        <f>Source!BS70</f>
        <v>17.52</v>
      </c>
      <c r="K140" s="38">
        <f>Source!R70</f>
        <v>2.1</v>
      </c>
      <c r="L140" s="13"/>
    </row>
    <row r="141" spans="1:25" ht="15">
      <c r="A141" s="13"/>
      <c r="B141" s="13"/>
      <c r="C141" s="13" t="s">
        <v>505</v>
      </c>
      <c r="D141" s="13"/>
      <c r="E141" s="13"/>
      <c r="F141" s="15">
        <f>Source!AL70</f>
        <v>51.53</v>
      </c>
      <c r="G141" s="31" t="str">
        <f>Source!DD70</f>
        <v/>
      </c>
      <c r="H141" s="15">
        <f>ROUND((Source!CQ70/IF(Source!BC70&lt;&gt; 0, Source!BC70,1) * Source!I70), 2)</f>
        <v>51.53</v>
      </c>
      <c r="I141" s="13"/>
      <c r="J141" s="13">
        <f>Source!BC70</f>
        <v>2.63</v>
      </c>
      <c r="K141" s="15">
        <f>Source!P70</f>
        <v>135.52000000000001</v>
      </c>
      <c r="L141" s="13"/>
    </row>
    <row r="142" spans="1:25" ht="15">
      <c r="A142" s="13"/>
      <c r="B142" s="13"/>
      <c r="C142" s="13" t="s">
        <v>509</v>
      </c>
      <c r="D142" s="16" t="s">
        <v>510</v>
      </c>
      <c r="E142" s="13"/>
      <c r="F142" s="15">
        <f>Source!BZ70</f>
        <v>95</v>
      </c>
      <c r="G142" s="13"/>
      <c r="H142" s="15">
        <f>X142</f>
        <v>147.29</v>
      </c>
      <c r="I142" s="13" t="str">
        <f>Source!FV70</f>
        <v>((*0.85))</v>
      </c>
      <c r="J142" s="15">
        <f>Source!AT70</f>
        <v>81</v>
      </c>
      <c r="K142" s="15">
        <f>Source!X70</f>
        <v>2200.1999999999998</v>
      </c>
      <c r="L142" s="13"/>
      <c r="X142">
        <f>ROUND((Source!FX70/100)*(ROUND((Source!CT70/IF(Source!BA70 &lt;&gt; 0, Source!BA70,1) * Source!I70), 2) + ROUND((Source!CS70/IF(Source!BS70 &lt;&gt; 0, Source!BS70, 1) * Source!I70), 2)), 2)</f>
        <v>147.29</v>
      </c>
    </row>
    <row r="143" spans="1:25" ht="15">
      <c r="A143" s="13"/>
      <c r="B143" s="13"/>
      <c r="C143" s="13" t="s">
        <v>93</v>
      </c>
      <c r="D143" s="16" t="s">
        <v>510</v>
      </c>
      <c r="E143" s="13"/>
      <c r="F143" s="15">
        <f>Source!CA70</f>
        <v>65</v>
      </c>
      <c r="G143" s="13"/>
      <c r="H143" s="15">
        <f>Y143</f>
        <v>100.78</v>
      </c>
      <c r="I143" s="13" t="str">
        <f>Source!FW70</f>
        <v>((*0.8))</v>
      </c>
      <c r="J143" s="15">
        <f>Source!AU70</f>
        <v>52</v>
      </c>
      <c r="K143" s="15">
        <f>Source!Y70</f>
        <v>1412.48</v>
      </c>
      <c r="L143" s="13"/>
      <c r="Y143">
        <f>ROUND((Source!FY70/100)*(ROUND((Source!CT70/IF(Source!BA70 &lt;&gt; 0, Source!BA70,1) * Source!I70), 2) + ROUND((Source!CS70/IF(Source!BS70 &lt;&gt; 0, Source!BS70, 1) * Source!I70), 2)), 2)</f>
        <v>100.78</v>
      </c>
    </row>
    <row r="144" spans="1:25" ht="15">
      <c r="A144" s="33"/>
      <c r="B144" s="33"/>
      <c r="C144" s="33" t="s">
        <v>511</v>
      </c>
      <c r="D144" s="41" t="s">
        <v>512</v>
      </c>
      <c r="E144" s="33">
        <f>Source!AQ70</f>
        <v>16.29</v>
      </c>
      <c r="F144" s="33"/>
      <c r="G144" s="35" t="str">
        <f>Source!DI70</f>
        <v/>
      </c>
      <c r="H144" s="33"/>
      <c r="I144" s="33"/>
      <c r="J144" s="33"/>
      <c r="K144" s="33"/>
      <c r="L144" s="34">
        <f>Source!U70</f>
        <v>16.29</v>
      </c>
    </row>
    <row r="145" spans="1:25" ht="15.75">
      <c r="A145" s="13"/>
      <c r="B145" s="13"/>
      <c r="C145" s="13"/>
      <c r="D145" s="13"/>
      <c r="E145" s="13"/>
      <c r="F145" s="13"/>
      <c r="G145" s="13"/>
      <c r="H145" s="36">
        <f>ROUND((Source!CT70/IF(Source!BA70 &lt;&gt;0, Source!BA70, 1) * Source!I70), 2)+ROUND((Source!CR70 / IF(Source!BB70 &lt;&gt;0, Source!BB70, 1) * Source!I70), 2)+ H141 + H142 + H143</f>
        <v>485.71999999999991</v>
      </c>
      <c r="I145" s="37"/>
      <c r="J145" s="37"/>
      <c r="K145" s="36">
        <f>Source!S70+Source!Q70+K141 + K142 + K143</f>
        <v>6684.5399999999991</v>
      </c>
      <c r="L145" s="36">
        <f>Source!U70</f>
        <v>16.29</v>
      </c>
      <c r="M145" s="32">
        <f>H145</f>
        <v>485.71999999999991</v>
      </c>
      <c r="N145">
        <f>ROUND((Source!CT70/IF(Source!BA70&lt;&gt; 0, Source!BA70,1) * Source!I70), 2)</f>
        <v>154.91999999999999</v>
      </c>
      <c r="O145">
        <f>IF( Source!BI70 = 1,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P145">
        <f>IF( Source!BI70 = 2,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485.714</v>
      </c>
      <c r="Q145">
        <f>IF( Source!BI70 = 3,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R145">
        <f>IF( Source!BI70 = 4,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S145">
        <f>IF( Source!BI70 = 1, Source!O70 + Source!X70 + Source!Y70, 0 )</f>
        <v>0</v>
      </c>
      <c r="T145">
        <f>IF( Source!BI70 = 2, Source!O70 + Source!X70 + Source!Y70, 0 )</f>
        <v>6684.5399999999991</v>
      </c>
      <c r="U145">
        <f>IF( Source!BI70 = 3, Source!O70 + Source!X70 + Source!Y70, 0 )</f>
        <v>0</v>
      </c>
      <c r="V145">
        <f>IF( Source!BI70 = 4, Source!O70 + Source!X70 + Source!Y70, 0 )</f>
        <v>0</v>
      </c>
      <c r="W145">
        <f>ROUND((Source!CS70/IF(Source!BS70&lt;&gt; 0, Source!BS70,1) * Source!I70), 2)</f>
        <v>0.12</v>
      </c>
    </row>
    <row r="146" spans="1:25" ht="75">
      <c r="A146" s="28" t="str">
        <f>Source!E71</f>
        <v>22</v>
      </c>
      <c r="B146" s="28" t="str">
        <f>Source!F71</f>
        <v>м08-02-409-1</v>
      </c>
      <c r="C146" s="29" t="str">
        <f>Source!G71</f>
        <v>Труба винипластовая по установленным конструкциям, по стенам и колоннам с креплением скобами, диаметр до 25 мм</v>
      </c>
      <c r="D146" s="30" t="str">
        <f>Source!H71</f>
        <v>100 м</v>
      </c>
      <c r="E146" s="13">
        <f>ROUND(Source!I71,6)</f>
        <v>0.1</v>
      </c>
      <c r="F146" s="15">
        <f>IF( Source!AK71 &lt;&gt;0, Source!AK71, Source!AL71 + Source!AM71 + Source!AO71)</f>
        <v>1739.1</v>
      </c>
      <c r="G146" s="13"/>
      <c r="H146" s="13"/>
      <c r="I146" s="31" t="str">
        <f>IF( Source!BO71 &lt;&gt;"", Source!BO71, "" )</f>
        <v>м08-02-409-1</v>
      </c>
      <c r="J146" s="13"/>
      <c r="K146" s="13"/>
      <c r="L146" s="13"/>
    </row>
    <row r="147" spans="1:25" ht="15">
      <c r="A147" s="13"/>
      <c r="B147" s="13"/>
      <c r="C147" s="13" t="s">
        <v>507</v>
      </c>
      <c r="D147" s="13"/>
      <c r="E147" s="13"/>
      <c r="F147" s="15">
        <f>Source!AO71</f>
        <v>223.72</v>
      </c>
      <c r="G147" s="31" t="str">
        <f>Source!DG71</f>
        <v/>
      </c>
      <c r="H147" s="15">
        <f>ROUND((Source!CT71/IF(Source!BA71&lt;&gt; 0, Source!BA71,1) * Source!I71), 2)</f>
        <v>22.37</v>
      </c>
      <c r="I147" s="13"/>
      <c r="J147" s="13">
        <f>Source!BA71</f>
        <v>17.52</v>
      </c>
      <c r="K147" s="15">
        <f>Source!S71</f>
        <v>391.96</v>
      </c>
      <c r="L147" s="13"/>
    </row>
    <row r="148" spans="1:25" ht="15">
      <c r="A148" s="13"/>
      <c r="B148" s="13"/>
      <c r="C148" s="13" t="s">
        <v>77</v>
      </c>
      <c r="D148" s="13"/>
      <c r="E148" s="13"/>
      <c r="F148" s="15">
        <f>Source!AM71</f>
        <v>58.55</v>
      </c>
      <c r="G148" s="31" t="str">
        <f>Source!DE71</f>
        <v/>
      </c>
      <c r="H148" s="15">
        <f>ROUND((Source!CR71/IF(Source!BB71&lt;&gt; 0, Source!BB71,1) * Source!I71), 2)</f>
        <v>5.86</v>
      </c>
      <c r="I148" s="13"/>
      <c r="J148" s="13">
        <f>Source!BB71</f>
        <v>7.54</v>
      </c>
      <c r="K148" s="15">
        <f>Source!Q71</f>
        <v>44.15</v>
      </c>
      <c r="L148" s="13"/>
    </row>
    <row r="149" spans="1:25" ht="15">
      <c r="A149" s="13"/>
      <c r="B149" s="13"/>
      <c r="C149" s="13" t="s">
        <v>508</v>
      </c>
      <c r="D149" s="13"/>
      <c r="E149" s="13"/>
      <c r="F149" s="15">
        <f>Source!AN71</f>
        <v>1.49</v>
      </c>
      <c r="G149" s="31" t="str">
        <f>Source!DF71</f>
        <v/>
      </c>
      <c r="H149" s="38">
        <f>ROUND((Source!CS71/IF(Source!BS71&lt;&gt; 0, Source!BS71,1) * Source!I71), 2)</f>
        <v>0.15</v>
      </c>
      <c r="I149" s="13"/>
      <c r="J149" s="13">
        <f>Source!BS71</f>
        <v>17.52</v>
      </c>
      <c r="K149" s="38">
        <f>Source!R71</f>
        <v>2.61</v>
      </c>
      <c r="L149" s="13"/>
    </row>
    <row r="150" spans="1:25" ht="15">
      <c r="A150" s="13"/>
      <c r="B150" s="13"/>
      <c r="C150" s="13" t="s">
        <v>505</v>
      </c>
      <c r="D150" s="13"/>
      <c r="E150" s="13"/>
      <c r="F150" s="15">
        <f>Source!AL71</f>
        <v>1456.83</v>
      </c>
      <c r="G150" s="31" t="str">
        <f>Source!DD71</f>
        <v/>
      </c>
      <c r="H150" s="15">
        <f>ROUND((Source!CQ71/IF(Source!BC71&lt;&gt; 0, Source!BC71,1) * Source!I71), 2)</f>
        <v>145.68</v>
      </c>
      <c r="I150" s="13"/>
      <c r="J150" s="13">
        <f>Source!BC71</f>
        <v>2.5099999999999998</v>
      </c>
      <c r="K150" s="15">
        <f>Source!P71</f>
        <v>365.66</v>
      </c>
      <c r="L150" s="13"/>
    </row>
    <row r="151" spans="1:25" ht="15">
      <c r="A151" s="13"/>
      <c r="B151" s="13"/>
      <c r="C151" s="13" t="s">
        <v>509</v>
      </c>
      <c r="D151" s="16" t="s">
        <v>510</v>
      </c>
      <c r="E151" s="13"/>
      <c r="F151" s="15">
        <f>Source!BZ71</f>
        <v>95</v>
      </c>
      <c r="G151" s="13"/>
      <c r="H151" s="15">
        <f>X151</f>
        <v>21.39</v>
      </c>
      <c r="I151" s="13" t="str">
        <f>Source!FV71</f>
        <v>((*0.85))</v>
      </c>
      <c r="J151" s="15">
        <f>Source!AT71</f>
        <v>81</v>
      </c>
      <c r="K151" s="15">
        <f>Source!X71</f>
        <v>319.60000000000002</v>
      </c>
      <c r="L151" s="13"/>
      <c r="X151">
        <f>ROUND((Source!FX71/100)*(ROUND((Source!CT71/IF(Source!BA71 &lt;&gt; 0, Source!BA71,1) * Source!I71), 2) + ROUND((Source!CS71/IF(Source!BS71 &lt;&gt; 0, Source!BS71, 1) * Source!I71), 2)), 2)</f>
        <v>21.39</v>
      </c>
    </row>
    <row r="152" spans="1:25" ht="15">
      <c r="A152" s="13"/>
      <c r="B152" s="13"/>
      <c r="C152" s="13" t="s">
        <v>93</v>
      </c>
      <c r="D152" s="16" t="s">
        <v>510</v>
      </c>
      <c r="E152" s="13"/>
      <c r="F152" s="15">
        <f>Source!CA71</f>
        <v>65</v>
      </c>
      <c r="G152" s="13"/>
      <c r="H152" s="15">
        <f>Y152</f>
        <v>14.64</v>
      </c>
      <c r="I152" s="13" t="str">
        <f>Source!FW71</f>
        <v>((*0.8))</v>
      </c>
      <c r="J152" s="15">
        <f>Source!AU71</f>
        <v>52</v>
      </c>
      <c r="K152" s="15">
        <f>Source!Y71</f>
        <v>205.18</v>
      </c>
      <c r="L152" s="13"/>
      <c r="Y152">
        <f>ROUND((Source!FY71/100)*(ROUND((Source!CT71/IF(Source!BA71 &lt;&gt; 0, Source!BA71,1) * Source!I71), 2) + ROUND((Source!CS71/IF(Source!BS71 &lt;&gt; 0, Source!BS71, 1) * Source!I71), 2)), 2)</f>
        <v>14.64</v>
      </c>
    </row>
    <row r="153" spans="1:25" ht="15">
      <c r="A153" s="33"/>
      <c r="B153" s="33"/>
      <c r="C153" s="33" t="s">
        <v>511</v>
      </c>
      <c r="D153" s="41" t="s">
        <v>512</v>
      </c>
      <c r="E153" s="33">
        <f>Source!AQ71</f>
        <v>23.8</v>
      </c>
      <c r="F153" s="33"/>
      <c r="G153" s="35" t="str">
        <f>Source!DI71</f>
        <v/>
      </c>
      <c r="H153" s="33"/>
      <c r="I153" s="33"/>
      <c r="J153" s="33"/>
      <c r="K153" s="33"/>
      <c r="L153" s="34">
        <f>Source!U71</f>
        <v>2.3800000000000003</v>
      </c>
    </row>
    <row r="154" spans="1:25" ht="15.75">
      <c r="A154" s="13"/>
      <c r="B154" s="13"/>
      <c r="C154" s="13"/>
      <c r="D154" s="13"/>
      <c r="E154" s="13"/>
      <c r="F154" s="13"/>
      <c r="G154" s="13"/>
      <c r="H154" s="36">
        <f>ROUND((Source!CT71/IF(Source!BA71 &lt;&gt;0, Source!BA71, 1) * Source!I71), 2)+ROUND((Source!CR71 / IF(Source!BB71 &lt;&gt;0, Source!BB71, 1) * Source!I71), 2)+ H150 + H151 + H152</f>
        <v>209.94</v>
      </c>
      <c r="I154" s="37"/>
      <c r="J154" s="37"/>
      <c r="K154" s="36">
        <f>Source!S71+Source!Q71+K150 + K151 + K152</f>
        <v>1326.55</v>
      </c>
      <c r="L154" s="36">
        <f>Source!U71</f>
        <v>2.3800000000000003</v>
      </c>
      <c r="M154" s="32">
        <f>H154</f>
        <v>209.94</v>
      </c>
      <c r="N154">
        <f>ROUND((Source!CT71/IF(Source!BA71&lt;&gt; 0, Source!BA71,1) * Source!I71), 2)</f>
        <v>22.37</v>
      </c>
      <c r="O154">
        <f>IF( Source!BI71 = 1,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P154">
        <f>IF( Source!BI71 = 2,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209.9436</v>
      </c>
      <c r="Q154">
        <f>IF( Source!BI71 = 3,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R154">
        <f>IF( Source!BI71 = 4,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S154">
        <f>IF( Source!BI71 = 1, Source!O71 + Source!X71 + Source!Y71, 0 )</f>
        <v>0</v>
      </c>
      <c r="T154">
        <f>IF( Source!BI71 = 2, Source!O71 + Source!X71 + Source!Y71, 0 )</f>
        <v>1326.55</v>
      </c>
      <c r="U154">
        <f>IF( Source!BI71 = 3, Source!O71 + Source!X71 + Source!Y71, 0 )</f>
        <v>0</v>
      </c>
      <c r="V154">
        <f>IF( Source!BI71 = 4, Source!O71 + Source!X71 + Source!Y71, 0 )</f>
        <v>0</v>
      </c>
      <c r="W154">
        <f>ROUND((Source!CS71/IF(Source!BS71&lt;&gt; 0, Source!BS71,1) * Source!I71), 2)</f>
        <v>0.15</v>
      </c>
    </row>
    <row r="155" spans="1:25" ht="45">
      <c r="A155" s="28" t="str">
        <f>Source!E72</f>
        <v>23</v>
      </c>
      <c r="B155" s="28" t="str">
        <f>Source!F72</f>
        <v>м08-02-422-1</v>
      </c>
      <c r="C155" s="29" t="str">
        <f>Source!G72</f>
        <v>Затягивание провода в проложенные трубы.Провод один сечением до 2х2,5 мм2</v>
      </c>
      <c r="D155" s="30" t="str">
        <f>Source!H72</f>
        <v>100 м</v>
      </c>
      <c r="E155" s="13">
        <f>ROUND(Source!I72,6)</f>
        <v>0.1</v>
      </c>
      <c r="F155" s="15">
        <f>IF( Source!AK72 &lt;&gt;0, Source!AK72, Source!AL72 + Source!AM72 + Source!AO72)</f>
        <v>457.56</v>
      </c>
      <c r="G155" s="13"/>
      <c r="H155" s="13"/>
      <c r="I155" s="31" t="str">
        <f>IF( Source!BO72 &lt;&gt;"", Source!BO72, "" )</f>
        <v>м08-02-422-1</v>
      </c>
      <c r="J155" s="13"/>
      <c r="K155" s="13"/>
      <c r="L155" s="13"/>
    </row>
    <row r="156" spans="1:25" ht="15">
      <c r="A156" s="13"/>
      <c r="B156" s="13"/>
      <c r="C156" s="13" t="s">
        <v>507</v>
      </c>
      <c r="D156" s="13"/>
      <c r="E156" s="13"/>
      <c r="F156" s="15">
        <f>Source!AO72</f>
        <v>238.08</v>
      </c>
      <c r="G156" s="31" t="str">
        <f>Source!DG72</f>
        <v/>
      </c>
      <c r="H156" s="15">
        <f>ROUND((Source!CT72/IF(Source!BA72&lt;&gt; 0, Source!BA72,1) * Source!I72), 2)</f>
        <v>23.81</v>
      </c>
      <c r="I156" s="13"/>
      <c r="J156" s="13">
        <f>Source!BA72</f>
        <v>17.52</v>
      </c>
      <c r="K156" s="15">
        <f>Source!S72</f>
        <v>417.12</v>
      </c>
      <c r="L156" s="13"/>
    </row>
    <row r="157" spans="1:25" ht="15">
      <c r="A157" s="13"/>
      <c r="B157" s="13"/>
      <c r="C157" s="13" t="s">
        <v>77</v>
      </c>
      <c r="D157" s="13"/>
      <c r="E157" s="13"/>
      <c r="F157" s="15">
        <f>Source!AM72</f>
        <v>2.42</v>
      </c>
      <c r="G157" s="31" t="str">
        <f>Source!DE72</f>
        <v/>
      </c>
      <c r="H157" s="15">
        <f>ROUND((Source!CR72/IF(Source!BB72&lt;&gt; 0, Source!BB72,1) * Source!I72), 2)</f>
        <v>0.24</v>
      </c>
      <c r="I157" s="13"/>
      <c r="J157" s="13">
        <f>Source!BB72</f>
        <v>6.58</v>
      </c>
      <c r="K157" s="15">
        <f>Source!Q72</f>
        <v>1.59</v>
      </c>
      <c r="L157" s="13"/>
    </row>
    <row r="158" spans="1:25" ht="15">
      <c r="A158" s="13"/>
      <c r="B158" s="13"/>
      <c r="C158" s="13" t="s">
        <v>508</v>
      </c>
      <c r="D158" s="13"/>
      <c r="E158" s="13"/>
      <c r="F158" s="15">
        <f>Source!AN72</f>
        <v>0.14000000000000001</v>
      </c>
      <c r="G158" s="31" t="str">
        <f>Source!DF72</f>
        <v/>
      </c>
      <c r="H158" s="38">
        <f>ROUND((Source!CS72/IF(Source!BS72&lt;&gt; 0, Source!BS72,1) * Source!I72), 2)</f>
        <v>0.01</v>
      </c>
      <c r="I158" s="13"/>
      <c r="J158" s="13">
        <f>Source!BS72</f>
        <v>17.52</v>
      </c>
      <c r="K158" s="38">
        <f>Source!R72</f>
        <v>0.25</v>
      </c>
      <c r="L158" s="13"/>
    </row>
    <row r="159" spans="1:25" ht="15">
      <c r="A159" s="13"/>
      <c r="B159" s="13"/>
      <c r="C159" s="13" t="s">
        <v>505</v>
      </c>
      <c r="D159" s="13"/>
      <c r="E159" s="13"/>
      <c r="F159" s="15">
        <f>Source!AL72</f>
        <v>217.06</v>
      </c>
      <c r="G159" s="31" t="str">
        <f>Source!DD72</f>
        <v/>
      </c>
      <c r="H159" s="15">
        <f>ROUND((Source!CQ72/IF(Source!BC72&lt;&gt; 0, Source!BC72,1) * Source!I72), 2)</f>
        <v>21.71</v>
      </c>
      <c r="I159" s="13"/>
      <c r="J159" s="13">
        <f>Source!BC72</f>
        <v>3.53</v>
      </c>
      <c r="K159" s="15">
        <f>Source!P72</f>
        <v>76.62</v>
      </c>
      <c r="L159" s="13"/>
    </row>
    <row r="160" spans="1:25" ht="15">
      <c r="A160" s="13"/>
      <c r="B160" s="13"/>
      <c r="C160" s="13" t="s">
        <v>509</v>
      </c>
      <c r="D160" s="16" t="s">
        <v>510</v>
      </c>
      <c r="E160" s="13"/>
      <c r="F160" s="15">
        <f>Source!BZ72</f>
        <v>95</v>
      </c>
      <c r="G160" s="13"/>
      <c r="H160" s="15">
        <f>X160</f>
        <v>22.63</v>
      </c>
      <c r="I160" s="13" t="str">
        <f>Source!FV72</f>
        <v>((*0.85))</v>
      </c>
      <c r="J160" s="15">
        <f>Source!AT72</f>
        <v>81</v>
      </c>
      <c r="K160" s="15">
        <f>Source!X72</f>
        <v>338.07</v>
      </c>
      <c r="L160" s="13"/>
      <c r="X160">
        <f>ROUND((Source!FX72/100)*(ROUND((Source!CT72/IF(Source!BA72 &lt;&gt; 0, Source!BA72,1) * Source!I72), 2) + ROUND((Source!CS72/IF(Source!BS72 &lt;&gt; 0, Source!BS72, 1) * Source!I72), 2)), 2)</f>
        <v>22.63</v>
      </c>
    </row>
    <row r="161" spans="1:25" ht="15">
      <c r="A161" s="13"/>
      <c r="B161" s="13"/>
      <c r="C161" s="13" t="s">
        <v>93</v>
      </c>
      <c r="D161" s="16" t="s">
        <v>510</v>
      </c>
      <c r="E161" s="13"/>
      <c r="F161" s="15">
        <f>Source!CA72</f>
        <v>65</v>
      </c>
      <c r="G161" s="13"/>
      <c r="H161" s="15">
        <f>Y161</f>
        <v>15.48</v>
      </c>
      <c r="I161" s="13" t="str">
        <f>Source!FW72</f>
        <v>((*0.8))</v>
      </c>
      <c r="J161" s="15">
        <f>Source!AU72</f>
        <v>52</v>
      </c>
      <c r="K161" s="15">
        <f>Source!Y72</f>
        <v>217.03</v>
      </c>
      <c r="L161" s="13"/>
      <c r="Y161">
        <f>ROUND((Source!FY72/100)*(ROUND((Source!CT72/IF(Source!BA72 &lt;&gt; 0, Source!BA72,1) * Source!I72), 2) + ROUND((Source!CS72/IF(Source!BS72 &lt;&gt; 0, Source!BS72, 1) * Source!I72), 2)), 2)</f>
        <v>15.48</v>
      </c>
    </row>
    <row r="162" spans="1:25" ht="15">
      <c r="A162" s="33"/>
      <c r="B162" s="33"/>
      <c r="C162" s="33" t="s">
        <v>511</v>
      </c>
      <c r="D162" s="41" t="s">
        <v>512</v>
      </c>
      <c r="E162" s="33">
        <f>Source!AQ72</f>
        <v>24</v>
      </c>
      <c r="F162" s="33"/>
      <c r="G162" s="35" t="str">
        <f>Source!DI72</f>
        <v/>
      </c>
      <c r="H162" s="33"/>
      <c r="I162" s="33"/>
      <c r="J162" s="33"/>
      <c r="K162" s="33"/>
      <c r="L162" s="34">
        <f>Source!U72</f>
        <v>2.4000000000000004</v>
      </c>
    </row>
    <row r="163" spans="1:25" ht="15.75">
      <c r="A163" s="13"/>
      <c r="B163" s="13"/>
      <c r="C163" s="13"/>
      <c r="D163" s="13"/>
      <c r="E163" s="13"/>
      <c r="F163" s="13"/>
      <c r="G163" s="13"/>
      <c r="H163" s="36">
        <f>ROUND((Source!CT72/IF(Source!BA72 &lt;&gt;0, Source!BA72, 1) * Source!I72), 2)+ROUND((Source!CR72 / IF(Source!BB72 &lt;&gt;0, Source!BB72, 1) * Source!I72), 2)+ H159 + H160 + H161</f>
        <v>83.87</v>
      </c>
      <c r="I163" s="37"/>
      <c r="J163" s="37"/>
      <c r="K163" s="36">
        <f>Source!S72+Source!Q72+K159 + K160 + K161</f>
        <v>1050.43</v>
      </c>
      <c r="L163" s="36">
        <f>Source!U72</f>
        <v>2.4000000000000004</v>
      </c>
      <c r="M163" s="32">
        <f>H163</f>
        <v>83.87</v>
      </c>
      <c r="N163">
        <f>ROUND((Source!CT72/IF(Source!BA72&lt;&gt; 0, Source!BA72,1) * Source!I72), 2)</f>
        <v>23.81</v>
      </c>
      <c r="O163">
        <f>IF( Source!BI72 = 1,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P163">
        <f>IF( Source!BI72 = 2,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83.871200000000016</v>
      </c>
      <c r="Q163">
        <f>IF( Source!BI72 = 3,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R163">
        <f>IF( Source!BI72 = 4,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S163">
        <f>IF( Source!BI72 = 1, Source!O72 + Source!X72 + Source!Y72, 0 )</f>
        <v>0</v>
      </c>
      <c r="T163">
        <f>IF( Source!BI72 = 2, Source!O72 + Source!X72 + Source!Y72, 0 )</f>
        <v>1050.43</v>
      </c>
      <c r="U163">
        <f>IF( Source!BI72 = 3, Source!O72 + Source!X72 + Source!Y72, 0 )</f>
        <v>0</v>
      </c>
      <c r="V163">
        <f>IF( Source!BI72 = 4, Source!O72 + Source!X72 + Source!Y72, 0 )</f>
        <v>0</v>
      </c>
      <c r="W163">
        <f>ROUND((Source!CS72/IF(Source!BS72&lt;&gt; 0, Source!BS72,1) * Source!I72), 2)</f>
        <v>0.01</v>
      </c>
    </row>
    <row r="164" spans="1:25" ht="60">
      <c r="A164" s="28" t="str">
        <f>Source!E73</f>
        <v>24</v>
      </c>
      <c r="B164" s="28" t="str">
        <f>Source!F73</f>
        <v>м10-02-040-2 применительно</v>
      </c>
      <c r="C164" s="29" t="str">
        <f>Source!G73</f>
        <v>Жёсткий диск (Устройство автоматического ввода программ)</v>
      </c>
      <c r="D164" s="30" t="str">
        <f>Source!H73</f>
        <v>устройство</v>
      </c>
      <c r="E164" s="13">
        <f>ROUND(Source!I73,6)</f>
        <v>1</v>
      </c>
      <c r="F164" s="15">
        <f>IF( Source!AK73 &lt;&gt;0, Source!AK73, Source!AL73 + Source!AM73 + Source!AO73)</f>
        <v>484.48</v>
      </c>
      <c r="G164" s="13"/>
      <c r="H164" s="13"/>
      <c r="I164" s="31" t="str">
        <f>IF( Source!BO73 &lt;&gt;"", Source!BO73, "" )</f>
        <v>м10-02-040-2</v>
      </c>
      <c r="J164" s="13"/>
      <c r="K164" s="13"/>
      <c r="L164" s="13"/>
    </row>
    <row r="165" spans="1:25" ht="15">
      <c r="A165" s="13"/>
      <c r="B165" s="13"/>
      <c r="C165" s="13" t="s">
        <v>507</v>
      </c>
      <c r="D165" s="13"/>
      <c r="E165" s="13"/>
      <c r="F165" s="15">
        <f>Source!AO73</f>
        <v>346.32</v>
      </c>
      <c r="G165" s="31" t="str">
        <f>Source!DG73</f>
        <v/>
      </c>
      <c r="H165" s="15">
        <f>ROUND((Source!CT73/IF(Source!BA73&lt;&gt; 0, Source!BA73,1) * Source!I73), 2)</f>
        <v>346.32</v>
      </c>
      <c r="I165" s="13"/>
      <c r="J165" s="13">
        <f>Source!BA73</f>
        <v>17.52</v>
      </c>
      <c r="K165" s="15">
        <f>Source!S73</f>
        <v>6067.53</v>
      </c>
      <c r="L165" s="13"/>
    </row>
    <row r="166" spans="1:25" ht="15">
      <c r="A166" s="13"/>
      <c r="B166" s="13"/>
      <c r="C166" s="13" t="s">
        <v>77</v>
      </c>
      <c r="D166" s="13"/>
      <c r="E166" s="13"/>
      <c r="F166" s="15">
        <f>Source!AM73</f>
        <v>127.79</v>
      </c>
      <c r="G166" s="31" t="str">
        <f>Source!DE73</f>
        <v/>
      </c>
      <c r="H166" s="15">
        <f>ROUND((Source!CR73/IF(Source!BB73&lt;&gt; 0, Source!BB73,1) * Source!I73), 2)</f>
        <v>127.79</v>
      </c>
      <c r="I166" s="13"/>
      <c r="J166" s="13">
        <f>Source!BB73</f>
        <v>6.23</v>
      </c>
      <c r="K166" s="15">
        <f>Source!Q73</f>
        <v>796.13</v>
      </c>
      <c r="L166" s="13"/>
    </row>
    <row r="167" spans="1:25" ht="15">
      <c r="A167" s="13"/>
      <c r="B167" s="13"/>
      <c r="C167" s="13" t="s">
        <v>508</v>
      </c>
      <c r="D167" s="13"/>
      <c r="E167" s="13"/>
      <c r="F167" s="15">
        <f>Source!AN73</f>
        <v>14.29</v>
      </c>
      <c r="G167" s="31" t="str">
        <f>Source!DF73</f>
        <v/>
      </c>
      <c r="H167" s="38">
        <f>ROUND((Source!CS73/IF(Source!BS73&lt;&gt; 0, Source!BS73,1) * Source!I73), 2)</f>
        <v>14.29</v>
      </c>
      <c r="I167" s="13"/>
      <c r="J167" s="13">
        <f>Source!BS73</f>
        <v>17.52</v>
      </c>
      <c r="K167" s="38">
        <f>Source!R73</f>
        <v>250.36</v>
      </c>
      <c r="L167" s="13"/>
    </row>
    <row r="168" spans="1:25" ht="15">
      <c r="A168" s="13"/>
      <c r="B168" s="13"/>
      <c r="C168" s="13" t="s">
        <v>505</v>
      </c>
      <c r="D168" s="13"/>
      <c r="E168" s="13"/>
      <c r="F168" s="15">
        <f>Source!AL73</f>
        <v>10.37</v>
      </c>
      <c r="G168" s="31" t="str">
        <f>Source!DD73</f>
        <v/>
      </c>
      <c r="H168" s="15">
        <f>ROUND((Source!CQ73/IF(Source!BC73&lt;&gt; 0, Source!BC73,1) * Source!I73), 2)</f>
        <v>10.37</v>
      </c>
      <c r="I168" s="13"/>
      <c r="J168" s="13">
        <f>Source!BC73</f>
        <v>12.12</v>
      </c>
      <c r="K168" s="15">
        <f>Source!P73</f>
        <v>125.68</v>
      </c>
      <c r="L168" s="13"/>
    </row>
    <row r="169" spans="1:25" ht="15">
      <c r="A169" s="13"/>
      <c r="B169" s="13"/>
      <c r="C169" s="13" t="s">
        <v>509</v>
      </c>
      <c r="D169" s="16" t="s">
        <v>510</v>
      </c>
      <c r="E169" s="13"/>
      <c r="F169" s="15">
        <f>Source!BZ73</f>
        <v>80</v>
      </c>
      <c r="G169" s="13"/>
      <c r="H169" s="15">
        <f>X169</f>
        <v>288.49</v>
      </c>
      <c r="I169" s="13" t="str">
        <f>Source!FV73</f>
        <v>((*0.85))</v>
      </c>
      <c r="J169" s="15">
        <f>Source!AT73</f>
        <v>68</v>
      </c>
      <c r="K169" s="15">
        <f>Source!X73</f>
        <v>4296.17</v>
      </c>
      <c r="L169" s="13"/>
      <c r="X169">
        <f>ROUND((Source!FX73/100)*(ROUND((Source!CT73/IF(Source!BA73 &lt;&gt; 0, Source!BA73,1) * Source!I73), 2) + ROUND((Source!CS73/IF(Source!BS73 &lt;&gt; 0, Source!BS73, 1) * Source!I73), 2)), 2)</f>
        <v>288.49</v>
      </c>
    </row>
    <row r="170" spans="1:25" ht="15">
      <c r="A170" s="13"/>
      <c r="B170" s="13"/>
      <c r="C170" s="13" t="s">
        <v>93</v>
      </c>
      <c r="D170" s="16" t="s">
        <v>510</v>
      </c>
      <c r="E170" s="13"/>
      <c r="F170" s="15">
        <f>Source!CA73</f>
        <v>60</v>
      </c>
      <c r="G170" s="13"/>
      <c r="H170" s="15">
        <f>Y170</f>
        <v>216.37</v>
      </c>
      <c r="I170" s="13" t="str">
        <f>Source!FW73</f>
        <v>((*0.8))</v>
      </c>
      <c r="J170" s="15">
        <f>Source!AU73</f>
        <v>48</v>
      </c>
      <c r="K170" s="15">
        <f>Source!Y73</f>
        <v>3032.59</v>
      </c>
      <c r="L170" s="13"/>
      <c r="Y170">
        <f>ROUND((Source!FY73/100)*(ROUND((Source!CT73/IF(Source!BA73 &lt;&gt; 0, Source!BA73,1) * Source!I73), 2) + ROUND((Source!CS73/IF(Source!BS73 &lt;&gt; 0, Source!BS73, 1) * Source!I73), 2)), 2)</f>
        <v>216.37</v>
      </c>
    </row>
    <row r="171" spans="1:25" ht="15">
      <c r="A171" s="33"/>
      <c r="B171" s="33"/>
      <c r="C171" s="33" t="s">
        <v>511</v>
      </c>
      <c r="D171" s="41" t="s">
        <v>512</v>
      </c>
      <c r="E171" s="33">
        <f>Source!AQ73</f>
        <v>36</v>
      </c>
      <c r="F171" s="33"/>
      <c r="G171" s="35" t="str">
        <f>Source!DI73</f>
        <v/>
      </c>
      <c r="H171" s="33"/>
      <c r="I171" s="33"/>
      <c r="J171" s="33"/>
      <c r="K171" s="33"/>
      <c r="L171" s="34">
        <f>Source!U73</f>
        <v>36</v>
      </c>
    </row>
    <row r="172" spans="1:25" ht="15.75">
      <c r="A172" s="13"/>
      <c r="B172" s="13"/>
      <c r="C172" s="13"/>
      <c r="D172" s="13"/>
      <c r="E172" s="13"/>
      <c r="F172" s="13"/>
      <c r="G172" s="13"/>
      <c r="H172" s="36">
        <f>ROUND((Source!CT73/IF(Source!BA73 &lt;&gt;0, Source!BA73, 1) * Source!I73), 2)+ROUND((Source!CR73 / IF(Source!BB73 &lt;&gt;0, Source!BB73, 1) * Source!I73), 2)+ H168 + H169 + H170</f>
        <v>989.34</v>
      </c>
      <c r="I172" s="37"/>
      <c r="J172" s="37"/>
      <c r="K172" s="36">
        <f>Source!S73+Source!Q73+K168 + K169 + K170</f>
        <v>14318.1</v>
      </c>
      <c r="L172" s="36">
        <f>Source!U73</f>
        <v>36</v>
      </c>
      <c r="M172" s="32">
        <f>H172</f>
        <v>989.34</v>
      </c>
      <c r="N172">
        <f>ROUND((Source!CT73/IF(Source!BA73&lt;&gt; 0, Source!BA73,1) * Source!I73), 2)</f>
        <v>346.32</v>
      </c>
      <c r="O172">
        <f>IF( Source!BI73 = 1,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P172">
        <f>IF( Source!BI73 = 2,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989.33400000000006</v>
      </c>
      <c r="Q172">
        <f>IF( Source!BI73 = 3,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R172">
        <f>IF( Source!BI73 = 4,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S172">
        <f>IF( Source!BI73 = 1, Source!O73 + Source!X73 + Source!Y73, 0 )</f>
        <v>0</v>
      </c>
      <c r="T172">
        <f>IF( Source!BI73 = 2, Source!O73 + Source!X73 + Source!Y73, 0 )</f>
        <v>14318.1</v>
      </c>
      <c r="U172">
        <f>IF( Source!BI73 = 3, Source!O73 + Source!X73 + Source!Y73, 0 )</f>
        <v>0</v>
      </c>
      <c r="V172">
        <f>IF( Source!BI73 = 4, Source!O73 + Source!X73 + Source!Y73, 0 )</f>
        <v>0</v>
      </c>
      <c r="W172">
        <f>ROUND((Source!CS73/IF(Source!BS73&lt;&gt; 0, Source!BS73,1) * Source!I73), 2)</f>
        <v>14.29</v>
      </c>
    </row>
    <row r="173" spans="1:25" ht="30">
      <c r="A173" s="28" t="str">
        <f>Source!E74</f>
        <v>25</v>
      </c>
      <c r="B173" s="28" t="str">
        <f>Source!F74</f>
        <v>м08-01-121-6</v>
      </c>
      <c r="C173" s="29" t="str">
        <f>Source!G74</f>
        <v>Аккумулятор кислотный стационарный, тип АКБ</v>
      </c>
      <c r="D173" s="30" t="str">
        <f>Source!H74</f>
        <v>шт.</v>
      </c>
      <c r="E173" s="13">
        <f>ROUND(Source!I74,6)</f>
        <v>1</v>
      </c>
      <c r="F173" s="15">
        <f>IF( Source!AK74 &lt;&gt;0, Source!AK74, Source!AL74 + Source!AM74 + Source!AO74)</f>
        <v>145.75</v>
      </c>
      <c r="G173" s="13"/>
      <c r="H173" s="13"/>
      <c r="I173" s="31" t="str">
        <f>IF( Source!BO74 &lt;&gt;"", Source!BO74, "" )</f>
        <v>м08-01-121-6</v>
      </c>
      <c r="J173" s="13"/>
      <c r="K173" s="13"/>
      <c r="L173" s="13"/>
    </row>
    <row r="174" spans="1:25" ht="15">
      <c r="A174" s="13"/>
      <c r="B174" s="13"/>
      <c r="C174" s="13" t="s">
        <v>507</v>
      </c>
      <c r="D174" s="13"/>
      <c r="E174" s="13"/>
      <c r="F174" s="15">
        <f>Source!AO74</f>
        <v>49.54</v>
      </c>
      <c r="G174" s="31" t="str">
        <f>Source!DG74</f>
        <v/>
      </c>
      <c r="H174" s="15">
        <f>ROUND((Source!CT74/IF(Source!BA74&lt;&gt; 0, Source!BA74,1) * Source!I74), 2)</f>
        <v>49.54</v>
      </c>
      <c r="I174" s="13"/>
      <c r="J174" s="13">
        <f>Source!BA74</f>
        <v>17.52</v>
      </c>
      <c r="K174" s="15">
        <f>Source!S74</f>
        <v>867.94</v>
      </c>
      <c r="L174" s="13"/>
    </row>
    <row r="175" spans="1:25" ht="15">
      <c r="A175" s="13"/>
      <c r="B175" s="13"/>
      <c r="C175" s="13" t="s">
        <v>505</v>
      </c>
      <c r="D175" s="13"/>
      <c r="E175" s="13"/>
      <c r="F175" s="15">
        <f>Source!AL74</f>
        <v>96.21</v>
      </c>
      <c r="G175" s="31" t="str">
        <f>Source!DD74</f>
        <v/>
      </c>
      <c r="H175" s="15">
        <f>ROUND((Source!CQ74/IF(Source!BC74&lt;&gt; 0, Source!BC74,1) * Source!I74), 2)</f>
        <v>96.21</v>
      </c>
      <c r="I175" s="13"/>
      <c r="J175" s="13">
        <f>Source!BC74</f>
        <v>3.42</v>
      </c>
      <c r="K175" s="15">
        <f>Source!P74</f>
        <v>329.04</v>
      </c>
      <c r="L175" s="13"/>
    </row>
    <row r="176" spans="1:25" ht="15">
      <c r="A176" s="13"/>
      <c r="B176" s="13"/>
      <c r="C176" s="13" t="s">
        <v>509</v>
      </c>
      <c r="D176" s="16" t="s">
        <v>510</v>
      </c>
      <c r="E176" s="13"/>
      <c r="F176" s="15">
        <f>Source!BZ74</f>
        <v>95</v>
      </c>
      <c r="G176" s="13"/>
      <c r="H176" s="15">
        <f>X176</f>
        <v>47.06</v>
      </c>
      <c r="I176" s="13" t="str">
        <f>Source!FV74</f>
        <v>((*0.85))</v>
      </c>
      <c r="J176" s="15">
        <f>Source!AT74</f>
        <v>81</v>
      </c>
      <c r="K176" s="15">
        <f>Source!X74</f>
        <v>703.03</v>
      </c>
      <c r="L176" s="13"/>
      <c r="X176">
        <f>ROUND((Source!FX74/100)*(ROUND((Source!CT74/IF(Source!BA74 &lt;&gt; 0, Source!BA74,1) * Source!I74), 2) + ROUND((Source!CS74/IF(Source!BS74 &lt;&gt; 0, Source!BS74, 1) * Source!I74), 2)), 2)</f>
        <v>47.06</v>
      </c>
    </row>
    <row r="177" spans="1:30" ht="15">
      <c r="A177" s="13"/>
      <c r="B177" s="13"/>
      <c r="C177" s="13" t="s">
        <v>93</v>
      </c>
      <c r="D177" s="16" t="s">
        <v>510</v>
      </c>
      <c r="E177" s="13"/>
      <c r="F177" s="15">
        <f>Source!CA74</f>
        <v>65</v>
      </c>
      <c r="G177" s="13"/>
      <c r="H177" s="15">
        <f>Y177</f>
        <v>32.200000000000003</v>
      </c>
      <c r="I177" s="13" t="str">
        <f>Source!FW74</f>
        <v>((*0.8))</v>
      </c>
      <c r="J177" s="15">
        <f>Source!AU74</f>
        <v>52</v>
      </c>
      <c r="K177" s="15">
        <f>Source!Y74</f>
        <v>451.33</v>
      </c>
      <c r="L177" s="13"/>
      <c r="Y177">
        <f>ROUND((Source!FY74/100)*(ROUND((Source!CT74/IF(Source!BA74 &lt;&gt; 0, Source!BA74,1) * Source!I74), 2) + ROUND((Source!CS74/IF(Source!BS74 &lt;&gt; 0, Source!BS74, 1) * Source!I74), 2)), 2)</f>
        <v>32.200000000000003</v>
      </c>
    </row>
    <row r="178" spans="1:30" ht="15">
      <c r="A178" s="33"/>
      <c r="B178" s="33"/>
      <c r="C178" s="33" t="s">
        <v>511</v>
      </c>
      <c r="D178" s="41" t="s">
        <v>512</v>
      </c>
      <c r="E178" s="33">
        <f>Source!AQ74</f>
        <v>5.15</v>
      </c>
      <c r="F178" s="33"/>
      <c r="G178" s="35" t="str">
        <f>Source!DI74</f>
        <v/>
      </c>
      <c r="H178" s="33"/>
      <c r="I178" s="33"/>
      <c r="J178" s="33"/>
      <c r="K178" s="33"/>
      <c r="L178" s="34">
        <f>Source!U74</f>
        <v>5.15</v>
      </c>
    </row>
    <row r="179" spans="1:30" ht="15.75">
      <c r="A179" s="13"/>
      <c r="B179" s="13"/>
      <c r="C179" s="13"/>
      <c r="D179" s="13"/>
      <c r="E179" s="13"/>
      <c r="F179" s="13"/>
      <c r="G179" s="13"/>
      <c r="H179" s="36">
        <f>ROUND((Source!CT74/IF(Source!BA74 &lt;&gt;0, Source!BA74, 1) * Source!I74), 2)+ROUND((Source!CR74 / IF(Source!BB74 &lt;&gt;0, Source!BB74, 1) * Source!I74), 2)+ H175 + H176 + H177</f>
        <v>225.01</v>
      </c>
      <c r="I179" s="37"/>
      <c r="J179" s="37"/>
      <c r="K179" s="36">
        <f>Source!S74+Source!Q74+K175 + K176 + K177</f>
        <v>2351.34</v>
      </c>
      <c r="L179" s="36">
        <f>Source!U74</f>
        <v>5.15</v>
      </c>
      <c r="M179" s="32">
        <f>H179</f>
        <v>225.01</v>
      </c>
      <c r="N179">
        <f>ROUND((Source!CT74/IF(Source!BA74&lt;&gt; 0, Source!BA74,1) * Source!I74), 2)</f>
        <v>49.54</v>
      </c>
      <c r="O179">
        <f>IF( Source!BI74 = 1,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P179">
        <f>IF( Source!BI74 = 2,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225.01399999999998</v>
      </c>
      <c r="Q179">
        <f>IF( Source!BI74 = 3,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R179">
        <f>IF( Source!BI74 = 4,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S179">
        <f>IF( Source!BI74 = 1, Source!O74 + Source!X74 + Source!Y74, 0 )</f>
        <v>0</v>
      </c>
      <c r="T179">
        <f>IF( Source!BI74 = 2, Source!O74 + Source!X74 + Source!Y74, 0 )</f>
        <v>2351.34</v>
      </c>
      <c r="U179">
        <f>IF( Source!BI74 = 3, Source!O74 + Source!X74 + Source!Y74, 0 )</f>
        <v>0</v>
      </c>
      <c r="V179">
        <f>IF( Source!BI74 = 4, Source!O74 + Source!X74 + Source!Y74, 0 )</f>
        <v>0</v>
      </c>
      <c r="W179">
        <f>ROUND((Source!CS74/IF(Source!BS74&lt;&gt; 0, Source!BS74,1) * Source!I74), 2)</f>
        <v>0</v>
      </c>
    </row>
    <row r="181" spans="1:30" s="37" customFormat="1" ht="15.75">
      <c r="C181" s="37" t="s">
        <v>94</v>
      </c>
      <c r="G181" s="128">
        <f>SUM(M90:M180)</f>
        <v>4671.66</v>
      </c>
      <c r="H181" s="128"/>
      <c r="J181" s="128">
        <f>ROUND(Source!AB62+Source!AK62+Source!AL62+Source!AE62*0/100,2)</f>
        <v>62695.7</v>
      </c>
      <c r="K181" s="128"/>
      <c r="L181" s="36">
        <f>Source!AH62</f>
        <v>155.16</v>
      </c>
      <c r="N181" s="36">
        <f t="shared" ref="N181:W181" si="1">SUM(N90:N180)</f>
        <v>1556.6699999999996</v>
      </c>
      <c r="O181" s="36">
        <f t="shared" si="1"/>
        <v>0</v>
      </c>
      <c r="P181" s="36">
        <f t="shared" si="1"/>
        <v>4671.6427999999996</v>
      </c>
      <c r="Q181" s="36">
        <f t="shared" si="1"/>
        <v>0</v>
      </c>
      <c r="R181" s="36">
        <f t="shared" si="1"/>
        <v>0</v>
      </c>
      <c r="S181" s="36">
        <f t="shared" si="1"/>
        <v>0</v>
      </c>
      <c r="T181" s="36">
        <f t="shared" si="1"/>
        <v>62695.7</v>
      </c>
      <c r="U181" s="36">
        <f t="shared" si="1"/>
        <v>0</v>
      </c>
      <c r="V181" s="36">
        <f t="shared" si="1"/>
        <v>0</v>
      </c>
      <c r="W181" s="37">
        <f t="shared" si="1"/>
        <v>14.969999999999999</v>
      </c>
    </row>
    <row r="184" spans="1:30" s="13" customFormat="1" ht="15.75">
      <c r="C184" s="37" t="s">
        <v>506</v>
      </c>
      <c r="D184" s="127" t="str">
        <f>Source!G76</f>
        <v>2. Монтажные работы</v>
      </c>
      <c r="E184" s="127"/>
      <c r="F184" s="127"/>
      <c r="G184" s="127"/>
      <c r="H184" s="127"/>
      <c r="I184" s="127"/>
      <c r="J184" s="127"/>
      <c r="K184" s="127"/>
    </row>
    <row r="185" spans="1:30" s="37" customFormat="1" ht="15.75">
      <c r="C185" s="127" t="str">
        <f>Source!H91</f>
        <v>Итого</v>
      </c>
      <c r="D185" s="127"/>
      <c r="E185" s="127"/>
      <c r="F185" s="127"/>
      <c r="G185" s="127"/>
      <c r="H185" s="127"/>
      <c r="I185" s="127"/>
      <c r="J185" s="128">
        <f>Source!F91</f>
        <v>62695.7</v>
      </c>
      <c r="K185" s="129"/>
    </row>
    <row r="186" spans="1:30" ht="18">
      <c r="C186" s="25" t="s">
        <v>504</v>
      </c>
      <c r="D186" s="130" t="str">
        <f>IF(Source!C12="1", Source!F93, Source!G93)</f>
        <v>3. Пусконаладочные работы</v>
      </c>
      <c r="E186" s="131"/>
      <c r="F186" s="131"/>
      <c r="G186" s="131"/>
      <c r="H186" s="131"/>
      <c r="I186" s="131"/>
      <c r="J186" s="131"/>
      <c r="K186" s="131"/>
      <c r="L186" s="131"/>
      <c r="AD186" s="27" t="str">
        <f>IF(Source!C12="1", Source!F93, Source!G93)</f>
        <v>3. Пусконаладочные работы</v>
      </c>
    </row>
    <row r="188" spans="1:30" ht="75">
      <c r="A188" s="28" t="str">
        <f>Source!E97</f>
        <v>26</v>
      </c>
      <c r="B188" s="28" t="s">
        <v>513</v>
      </c>
      <c r="C188" s="29" t="str">
        <f>Source!G97</f>
        <v>Сбор и реализация сигналов информации устройств защиты, автоматики электрических и технологических режимов</v>
      </c>
      <c r="D188" s="30" t="str">
        <f>Source!H97</f>
        <v>сигнал</v>
      </c>
      <c r="E188" s="13">
        <f>ROUND(Source!I97,6)</f>
        <v>4</v>
      </c>
      <c r="F188" s="15">
        <f>IF( Source!AK97 &lt;&gt;0, Source!AK97, Source!AL97 + Source!AM97 + Source!AO97)</f>
        <v>17.55</v>
      </c>
      <c r="G188" s="13"/>
      <c r="H188" s="13"/>
      <c r="I188" s="31" t="str">
        <f>IF( Source!BO97 &lt;&gt;"", Source!BO97, "" )</f>
        <v>п01-10-001-1</v>
      </c>
      <c r="J188" s="13"/>
      <c r="K188" s="13"/>
      <c r="L188" s="13"/>
    </row>
    <row r="189" spans="1:30" ht="15">
      <c r="A189" s="13"/>
      <c r="B189" s="13"/>
      <c r="C189" s="13" t="s">
        <v>507</v>
      </c>
      <c r="D189" s="13"/>
      <c r="E189" s="13"/>
      <c r="F189" s="15">
        <f>Source!AO97</f>
        <v>17.55</v>
      </c>
      <c r="G189" s="31" t="str">
        <f>Source!DG97</f>
        <v>)*0,8</v>
      </c>
      <c r="H189" s="15">
        <f>ROUND((Source!CT97/IF(Source!BA97&lt;&gt; 0, Source!BA97,1) * Source!I97), 2)</f>
        <v>56.16</v>
      </c>
      <c r="I189" s="13"/>
      <c r="J189" s="13">
        <f>Source!BA97</f>
        <v>17.52</v>
      </c>
      <c r="K189" s="15">
        <f>Source!S97</f>
        <v>983.92</v>
      </c>
      <c r="L189" s="13"/>
    </row>
    <row r="190" spans="1:30" ht="15">
      <c r="A190" s="13"/>
      <c r="B190" s="13"/>
      <c r="C190" s="13" t="s">
        <v>509</v>
      </c>
      <c r="D190" s="16" t="s">
        <v>510</v>
      </c>
      <c r="E190" s="13"/>
      <c r="F190" s="15">
        <f>Source!BZ97</f>
        <v>65</v>
      </c>
      <c r="G190" s="13"/>
      <c r="H190" s="15">
        <f>X190</f>
        <v>36.5</v>
      </c>
      <c r="I190" s="13" t="str">
        <f>Source!FV97</f>
        <v>((*0.85))</v>
      </c>
      <c r="J190" s="15">
        <f>Source!AT97</f>
        <v>55</v>
      </c>
      <c r="K190" s="15">
        <f>Source!X97</f>
        <v>541.16</v>
      </c>
      <c r="L190" s="13"/>
      <c r="X190">
        <f>ROUND((Source!FX97/100)*(ROUND((Source!CT97/IF(Source!BA97 &lt;&gt; 0, Source!BA97,1) * Source!I97), 2) + ROUND((Source!CS97/IF(Source!BS97 &lt;&gt; 0, Source!BS97, 1) * Source!I97), 2)), 2)</f>
        <v>36.5</v>
      </c>
    </row>
    <row r="191" spans="1:30" ht="15">
      <c r="A191" s="13"/>
      <c r="B191" s="13"/>
      <c r="C191" s="13" t="s">
        <v>93</v>
      </c>
      <c r="D191" s="16" t="s">
        <v>510</v>
      </c>
      <c r="E191" s="13"/>
      <c r="F191" s="15">
        <f>Source!CA97</f>
        <v>40</v>
      </c>
      <c r="G191" s="13"/>
      <c r="H191" s="15">
        <f>Y191</f>
        <v>22.46</v>
      </c>
      <c r="I191" s="13" t="str">
        <f>Source!FW97</f>
        <v>((*0.8))</v>
      </c>
      <c r="J191" s="15">
        <f>Source!AU97</f>
        <v>32</v>
      </c>
      <c r="K191" s="15">
        <f>Source!Y97</f>
        <v>314.85000000000002</v>
      </c>
      <c r="L191" s="13"/>
      <c r="Y191">
        <f>ROUND((Source!FY97/100)*(ROUND((Source!CT97/IF(Source!BA97 &lt;&gt; 0, Source!BA97,1) * Source!I97), 2) + ROUND((Source!CS97/IF(Source!BS97 &lt;&gt; 0, Source!BS97, 1) * Source!I97), 2)), 2)</f>
        <v>22.46</v>
      </c>
    </row>
    <row r="192" spans="1:30" ht="15">
      <c r="A192" s="33"/>
      <c r="B192" s="33"/>
      <c r="C192" s="33" t="s">
        <v>511</v>
      </c>
      <c r="D192" s="41" t="s">
        <v>512</v>
      </c>
      <c r="E192" s="33">
        <f>Source!AQ97</f>
        <v>1.5</v>
      </c>
      <c r="F192" s="33"/>
      <c r="G192" s="35" t="str">
        <f>Source!DI97</f>
        <v>)*0,8</v>
      </c>
      <c r="H192" s="33"/>
      <c r="I192" s="33"/>
      <c r="J192" s="33"/>
      <c r="K192" s="33"/>
      <c r="L192" s="34">
        <f>Source!U97</f>
        <v>4.8000000000000007</v>
      </c>
    </row>
    <row r="193" spans="1:25" ht="15.75">
      <c r="A193" s="13"/>
      <c r="B193" s="13"/>
      <c r="C193" s="13"/>
      <c r="D193" s="13"/>
      <c r="E193" s="13"/>
      <c r="F193" s="13"/>
      <c r="G193" s="13"/>
      <c r="H193" s="36">
        <f>ROUND((Source!CT97/IF(Source!BA97 &lt;&gt;0, Source!BA97, 1) * Source!I97), 2)+ROUND((Source!CR97 / IF(Source!BB97 &lt;&gt;0, Source!BB97, 1) * Source!I97), 2)+ H190 + H191</f>
        <v>115.12</v>
      </c>
      <c r="I193" s="37"/>
      <c r="J193" s="37"/>
      <c r="K193" s="36">
        <f>Source!S97+Source!Q97+K190 + K191</f>
        <v>1839.9299999999998</v>
      </c>
      <c r="L193" s="36">
        <f>Source!U97</f>
        <v>4.8000000000000007</v>
      </c>
      <c r="M193" s="32">
        <f>H193</f>
        <v>115.12</v>
      </c>
      <c r="N193">
        <f>ROUND((Source!CT97/IF(Source!BA97&lt;&gt; 0, Source!BA97,1) * Source!I97), 2)</f>
        <v>56.16</v>
      </c>
      <c r="O193">
        <f>IF( Source!BI97 = 1,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P193">
        <f>IF( Source!BI97 = 2,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Q193">
        <f>IF( Source!BI97 = 3,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R193">
        <f>IF( Source!BI97 = 4,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115.12799999999999</v>
      </c>
      <c r="S193">
        <f>IF( Source!BI97 = 1, Source!O97 + Source!X97 + Source!Y97, 0 )</f>
        <v>0</v>
      </c>
      <c r="T193">
        <f>IF( Source!BI97 = 2, Source!O97 + Source!X97 + Source!Y97, 0 )</f>
        <v>0</v>
      </c>
      <c r="U193">
        <f>IF( Source!BI97 = 3, Source!O97 + Source!X97 + Source!Y97, 0 )</f>
        <v>0</v>
      </c>
      <c r="V193">
        <f>IF( Source!BI97 = 4, Source!O97 + Source!X97 + Source!Y97, 0 )</f>
        <v>1839.9299999999998</v>
      </c>
      <c r="W193">
        <f>ROUND((Source!CS97/IF(Source!BS97&lt;&gt; 0, Source!BS97,1) * Source!I97), 2)</f>
        <v>0</v>
      </c>
    </row>
    <row r="194" spans="1:25" ht="75">
      <c r="A194" s="28" t="str">
        <f>Source!E98</f>
        <v>27</v>
      </c>
      <c r="B194" s="28" t="s">
        <v>514</v>
      </c>
      <c r="C194" s="29" t="str">
        <f>Source!G98</f>
        <v>Схема образования участка сигнализации (центральной, технологической, местной, аварийной, предупредительной и др.)</v>
      </c>
      <c r="D194" s="30" t="str">
        <f>Source!H98</f>
        <v>участок</v>
      </c>
      <c r="E194" s="13">
        <f>ROUND(Source!I98,6)</f>
        <v>1</v>
      </c>
      <c r="F194" s="15">
        <f>IF( Source!AK98 &lt;&gt;0, Source!AK98, Source!AL98 + Source!AM98 + Source!AO98)</f>
        <v>339.24</v>
      </c>
      <c r="G194" s="13"/>
      <c r="H194" s="13"/>
      <c r="I194" s="31" t="str">
        <f>IF( Source!BO98 &lt;&gt;"", Source!BO98, "" )</f>
        <v>п01-10-002-1</v>
      </c>
      <c r="J194" s="13"/>
      <c r="K194" s="13"/>
      <c r="L194" s="13"/>
    </row>
    <row r="195" spans="1:25" ht="15">
      <c r="A195" s="13"/>
      <c r="B195" s="13"/>
      <c r="C195" s="13" t="s">
        <v>507</v>
      </c>
      <c r="D195" s="13"/>
      <c r="E195" s="13"/>
      <c r="F195" s="15">
        <f>Source!AO98</f>
        <v>339.24</v>
      </c>
      <c r="G195" s="31" t="str">
        <f>Source!DG98</f>
        <v>)*0,8</v>
      </c>
      <c r="H195" s="15">
        <f>ROUND((Source!CT98/IF(Source!BA98&lt;&gt; 0, Source!BA98,1) * Source!I98), 2)</f>
        <v>271.39</v>
      </c>
      <c r="I195" s="13"/>
      <c r="J195" s="13">
        <f>Source!BA98</f>
        <v>17.52</v>
      </c>
      <c r="K195" s="15">
        <f>Source!S98</f>
        <v>4754.79</v>
      </c>
      <c r="L195" s="13"/>
    </row>
    <row r="196" spans="1:25" ht="15">
      <c r="A196" s="13"/>
      <c r="B196" s="13"/>
      <c r="C196" s="13" t="s">
        <v>509</v>
      </c>
      <c r="D196" s="16" t="s">
        <v>510</v>
      </c>
      <c r="E196" s="13"/>
      <c r="F196" s="15">
        <f>Source!BZ98</f>
        <v>65</v>
      </c>
      <c r="G196" s="13"/>
      <c r="H196" s="15">
        <f>X196</f>
        <v>176.4</v>
      </c>
      <c r="I196" s="13" t="str">
        <f>Source!FV98</f>
        <v>((*0.85))</v>
      </c>
      <c r="J196" s="15">
        <f>Source!AT98</f>
        <v>55</v>
      </c>
      <c r="K196" s="15">
        <f>Source!X98</f>
        <v>2615.13</v>
      </c>
      <c r="L196" s="13"/>
      <c r="X196">
        <f>ROUND((Source!FX98/100)*(ROUND((Source!CT98/IF(Source!BA98 &lt;&gt; 0, Source!BA98,1) * Source!I98), 2) + ROUND((Source!CS98/IF(Source!BS98 &lt;&gt; 0, Source!BS98, 1) * Source!I98), 2)), 2)</f>
        <v>176.4</v>
      </c>
    </row>
    <row r="197" spans="1:25" ht="15">
      <c r="A197" s="13"/>
      <c r="B197" s="13"/>
      <c r="C197" s="13" t="s">
        <v>93</v>
      </c>
      <c r="D197" s="16" t="s">
        <v>510</v>
      </c>
      <c r="E197" s="13"/>
      <c r="F197" s="15">
        <f>Source!CA98</f>
        <v>40</v>
      </c>
      <c r="G197" s="13"/>
      <c r="H197" s="15">
        <f>Y197</f>
        <v>108.56</v>
      </c>
      <c r="I197" s="13" t="str">
        <f>Source!FW98</f>
        <v>((*0.8))</v>
      </c>
      <c r="J197" s="15">
        <f>Source!AU98</f>
        <v>32</v>
      </c>
      <c r="K197" s="15">
        <f>Source!Y98</f>
        <v>1521.53</v>
      </c>
      <c r="L197" s="13"/>
      <c r="Y197">
        <f>ROUND((Source!FY98/100)*(ROUND((Source!CT98/IF(Source!BA98 &lt;&gt; 0, Source!BA98,1) * Source!I98), 2) + ROUND((Source!CS98/IF(Source!BS98 &lt;&gt; 0, Source!BS98, 1) * Source!I98), 2)), 2)</f>
        <v>108.56</v>
      </c>
    </row>
    <row r="198" spans="1:25" ht="15">
      <c r="A198" s="33"/>
      <c r="B198" s="33"/>
      <c r="C198" s="33" t="s">
        <v>511</v>
      </c>
      <c r="D198" s="41" t="s">
        <v>512</v>
      </c>
      <c r="E198" s="33">
        <f>Source!AQ98</f>
        <v>29</v>
      </c>
      <c r="F198" s="33"/>
      <c r="G198" s="35" t="str">
        <f>Source!DI98</f>
        <v>)*0,8</v>
      </c>
      <c r="H198" s="33"/>
      <c r="I198" s="33"/>
      <c r="J198" s="33"/>
      <c r="K198" s="33"/>
      <c r="L198" s="34">
        <f>Source!U98</f>
        <v>23.200000000000003</v>
      </c>
    </row>
    <row r="199" spans="1:25" ht="15.75">
      <c r="A199" s="13"/>
      <c r="B199" s="13"/>
      <c r="C199" s="13"/>
      <c r="D199" s="13"/>
      <c r="E199" s="13"/>
      <c r="F199" s="13"/>
      <c r="G199" s="13"/>
      <c r="H199" s="36">
        <f>ROUND((Source!CT98/IF(Source!BA98 &lt;&gt;0, Source!BA98, 1) * Source!I98), 2)+ROUND((Source!CR98 / IF(Source!BB98 &lt;&gt;0, Source!BB98, 1) * Source!I98), 2)+ H196 + H197</f>
        <v>556.34999999999991</v>
      </c>
      <c r="I199" s="37"/>
      <c r="J199" s="37"/>
      <c r="K199" s="36">
        <f>Source!S98+Source!Q98+K196 + K197</f>
        <v>8891.4500000000007</v>
      </c>
      <c r="L199" s="36">
        <f>Source!U98</f>
        <v>23.200000000000003</v>
      </c>
      <c r="M199" s="32">
        <f>H199</f>
        <v>556.34999999999991</v>
      </c>
      <c r="N199">
        <f>ROUND((Source!CT98/IF(Source!BA98&lt;&gt; 0, Source!BA98,1) * Source!I98), 2)</f>
        <v>271.39</v>
      </c>
      <c r="O199">
        <f>IF( Source!BI98 = 1,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P199">
        <f>IF( Source!BI98 = 2,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Q199">
        <f>IF( Source!BI98 = 3,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R199">
        <f>IF( Source!BI98 = 4,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556.35359999999991</v>
      </c>
      <c r="S199">
        <f>IF( Source!BI98 = 1, Source!O98 + Source!X98 + Source!Y98, 0 )</f>
        <v>0</v>
      </c>
      <c r="T199">
        <f>IF( Source!BI98 = 2, Source!O98 + Source!X98 + Source!Y98, 0 )</f>
        <v>0</v>
      </c>
      <c r="U199">
        <f>IF( Source!BI98 = 3, Source!O98 + Source!X98 + Source!Y98, 0 )</f>
        <v>0</v>
      </c>
      <c r="V199">
        <f>IF( Source!BI98 = 4, Source!O98 + Source!X98 + Source!Y98, 0 )</f>
        <v>8891.4500000000007</v>
      </c>
      <c r="W199">
        <f>ROUND((Source!CS98/IF(Source!BS98&lt;&gt; 0, Source!BS98,1) * Source!I98), 2)</f>
        <v>0</v>
      </c>
    </row>
    <row r="201" spans="1:25" s="37" customFormat="1" ht="15.75">
      <c r="C201" s="37" t="s">
        <v>94</v>
      </c>
      <c r="G201" s="128">
        <f>SUM(M188:M200)</f>
        <v>671.46999999999991</v>
      </c>
      <c r="H201" s="128"/>
      <c r="J201" s="128">
        <f>ROUND(Source!AB95+Source!AK95+Source!AL95+Source!AE95*0/100,2)</f>
        <v>10731.38</v>
      </c>
      <c r="K201" s="128"/>
      <c r="L201" s="36">
        <f>Source!AH95</f>
        <v>28</v>
      </c>
      <c r="N201" s="36">
        <f t="shared" ref="N201:W201" si="2">SUM(N188:N200)</f>
        <v>327.54999999999995</v>
      </c>
      <c r="O201" s="36">
        <f t="shared" si="2"/>
        <v>0</v>
      </c>
      <c r="P201" s="36">
        <f t="shared" si="2"/>
        <v>0</v>
      </c>
      <c r="Q201" s="36">
        <f t="shared" si="2"/>
        <v>0</v>
      </c>
      <c r="R201" s="36">
        <f t="shared" si="2"/>
        <v>671.48159999999984</v>
      </c>
      <c r="S201" s="36">
        <f t="shared" si="2"/>
        <v>0</v>
      </c>
      <c r="T201" s="36">
        <f t="shared" si="2"/>
        <v>0</v>
      </c>
      <c r="U201" s="36">
        <f t="shared" si="2"/>
        <v>0</v>
      </c>
      <c r="V201" s="36">
        <f t="shared" si="2"/>
        <v>10731.380000000001</v>
      </c>
      <c r="W201" s="37">
        <f t="shared" si="2"/>
        <v>0</v>
      </c>
    </row>
    <row r="204" spans="1:25" s="13" customFormat="1" ht="15.75">
      <c r="C204" s="37" t="s">
        <v>506</v>
      </c>
      <c r="D204" s="127" t="str">
        <f>Source!G100</f>
        <v>3. Пусконаладочные работы</v>
      </c>
      <c r="E204" s="127"/>
      <c r="F204" s="127"/>
      <c r="G204" s="127"/>
      <c r="H204" s="127"/>
      <c r="I204" s="127"/>
      <c r="J204" s="127"/>
      <c r="K204" s="127"/>
    </row>
    <row r="205" spans="1:25" s="37" customFormat="1" ht="15.75">
      <c r="C205" s="127" t="str">
        <f>Source!H115</f>
        <v>Итого</v>
      </c>
      <c r="D205" s="127"/>
      <c r="E205" s="127"/>
      <c r="F205" s="127"/>
      <c r="G205" s="127"/>
      <c r="H205" s="127"/>
      <c r="I205" s="127"/>
      <c r="J205" s="128">
        <f>Source!F115</f>
        <v>10731.38</v>
      </c>
      <c r="K205" s="129"/>
    </row>
    <row r="207" spans="1:25" s="37" customFormat="1" ht="15.75">
      <c r="C207" s="37" t="s">
        <v>515</v>
      </c>
      <c r="G207" s="128">
        <f>G83+G181+G201</f>
        <v>25708.590000000004</v>
      </c>
      <c r="H207" s="128"/>
      <c r="J207" s="128">
        <f>ROUND(Source!O117+Source!X117+Source!Y117+Source!R117*0/100,2)</f>
        <v>126931.73</v>
      </c>
      <c r="K207" s="128"/>
      <c r="L207" s="36">
        <f>Source!U117</f>
        <v>183.16</v>
      </c>
      <c r="N207" s="36">
        <f t="shared" ref="N207:W207" si="3">N83+N181+N201</f>
        <v>1884.2199999999996</v>
      </c>
      <c r="O207" s="36">
        <f t="shared" si="3"/>
        <v>0</v>
      </c>
      <c r="P207" s="36">
        <f t="shared" si="3"/>
        <v>4671.6427999999996</v>
      </c>
      <c r="Q207" s="36">
        <f t="shared" si="3"/>
        <v>16703.093000000001</v>
      </c>
      <c r="R207" s="36">
        <f t="shared" si="3"/>
        <v>4333.8435999999992</v>
      </c>
      <c r="S207" s="36">
        <f t="shared" si="3"/>
        <v>0</v>
      </c>
      <c r="T207" s="36">
        <f t="shared" si="3"/>
        <v>62695.7</v>
      </c>
      <c r="U207" s="36">
        <f t="shared" si="3"/>
        <v>41402.159999999996</v>
      </c>
      <c r="V207" s="36">
        <f t="shared" si="3"/>
        <v>22833.870000000003</v>
      </c>
      <c r="W207" s="37">
        <f t="shared" si="3"/>
        <v>14.969999999999999</v>
      </c>
    </row>
    <row r="208" spans="1:25" s="13" customFormat="1" ht="15">
      <c r="C208" s="124" t="str">
        <f>Source!H142</f>
        <v>Прямые затраты</v>
      </c>
      <c r="D208" s="124"/>
      <c r="E208" s="124"/>
      <c r="F208" s="124"/>
      <c r="G208" s="124"/>
      <c r="H208" s="124"/>
      <c r="I208" s="124"/>
      <c r="J208" s="125">
        <f>Source!F142</f>
        <v>89148.23</v>
      </c>
      <c r="K208" s="126"/>
    </row>
    <row r="209" spans="3:11" s="13" customFormat="1" ht="15">
      <c r="C209" s="124" t="str">
        <f>Source!H143</f>
        <v>Стоимость материальных ресурсов</v>
      </c>
      <c r="D209" s="124"/>
      <c r="E209" s="124"/>
      <c r="F209" s="124"/>
      <c r="G209" s="124"/>
      <c r="H209" s="124"/>
      <c r="I209" s="124"/>
      <c r="J209" s="125">
        <f>Source!F143</f>
        <v>55888.2</v>
      </c>
      <c r="K209" s="126"/>
    </row>
    <row r="210" spans="3:11" s="13" customFormat="1" ht="15">
      <c r="C210" s="124" t="str">
        <f>Source!H146</f>
        <v>Эксплуатация машин</v>
      </c>
      <c r="D210" s="124"/>
      <c r="E210" s="124"/>
      <c r="F210" s="124"/>
      <c r="G210" s="124"/>
      <c r="H210" s="124"/>
      <c r="I210" s="124"/>
      <c r="J210" s="125">
        <f>Source!F146</f>
        <v>1084.6300000000001</v>
      </c>
      <c r="K210" s="126"/>
    </row>
    <row r="211" spans="3:11" s="13" customFormat="1" ht="15">
      <c r="C211" s="124" t="str">
        <f>Source!H147</f>
        <v>ЗП машинистов</v>
      </c>
      <c r="D211" s="124"/>
      <c r="E211" s="124"/>
      <c r="F211" s="124"/>
      <c r="G211" s="124"/>
      <c r="H211" s="124"/>
      <c r="I211" s="124"/>
      <c r="J211" s="125">
        <f>Source!F147</f>
        <v>261.91000000000003</v>
      </c>
      <c r="K211" s="126"/>
    </row>
    <row r="212" spans="3:11" s="13" customFormat="1" ht="15">
      <c r="C212" s="124" t="str">
        <f>Source!H148</f>
        <v>Основная ЗП рабочих</v>
      </c>
      <c r="D212" s="124"/>
      <c r="E212" s="124"/>
      <c r="F212" s="124"/>
      <c r="G212" s="124"/>
      <c r="H212" s="124"/>
      <c r="I212" s="124"/>
      <c r="J212" s="125">
        <f>Source!F148</f>
        <v>32175.4</v>
      </c>
      <c r="K212" s="126"/>
    </row>
    <row r="213" spans="3:11" s="13" customFormat="1" ht="15">
      <c r="C213" s="124" t="str">
        <f>Source!H150</f>
        <v>Трудозатраты строителей</v>
      </c>
      <c r="D213" s="124"/>
      <c r="E213" s="124"/>
      <c r="F213" s="124"/>
      <c r="G213" s="124"/>
      <c r="H213" s="124"/>
      <c r="I213" s="124"/>
      <c r="J213" s="125">
        <f>Source!F150</f>
        <v>183.16</v>
      </c>
      <c r="K213" s="126"/>
    </row>
    <row r="214" spans="3:11" s="13" customFormat="1" ht="15">
      <c r="C214" s="124" t="str">
        <f>Source!H151</f>
        <v>Трудозатраты машинистов</v>
      </c>
      <c r="D214" s="124"/>
      <c r="E214" s="124"/>
      <c r="F214" s="124"/>
      <c r="G214" s="124"/>
      <c r="H214" s="124"/>
      <c r="I214" s="124"/>
      <c r="J214" s="125">
        <f>Source!F151</f>
        <v>3.06</v>
      </c>
      <c r="K214" s="126"/>
    </row>
    <row r="215" spans="3:11" s="13" customFormat="1" ht="15">
      <c r="C215" s="124" t="str">
        <f>Source!H153</f>
        <v>Накладные расходы</v>
      </c>
      <c r="D215" s="124"/>
      <c r="E215" s="124"/>
      <c r="F215" s="124"/>
      <c r="G215" s="124"/>
      <c r="H215" s="124"/>
      <c r="I215" s="124"/>
      <c r="J215" s="125">
        <f>Source!F153</f>
        <v>22649.34</v>
      </c>
      <c r="K215" s="126"/>
    </row>
    <row r="216" spans="3:11" s="13" customFormat="1" ht="15">
      <c r="C216" s="124" t="str">
        <f>Source!H154</f>
        <v>Сметная прибыль</v>
      </c>
      <c r="D216" s="124"/>
      <c r="E216" s="124"/>
      <c r="F216" s="124"/>
      <c r="G216" s="124"/>
      <c r="H216" s="124"/>
      <c r="I216" s="124"/>
      <c r="J216" s="125">
        <f>Source!F154</f>
        <v>15134.16</v>
      </c>
      <c r="K216" s="126"/>
    </row>
    <row r="217" spans="3:11" s="13" customFormat="1" ht="15">
      <c r="C217" s="124" t="str">
        <f>Source!H155</f>
        <v>Итого</v>
      </c>
      <c r="D217" s="124"/>
      <c r="E217" s="124"/>
      <c r="F217" s="124"/>
      <c r="G217" s="124"/>
      <c r="H217" s="124"/>
      <c r="I217" s="124"/>
      <c r="J217" s="125">
        <f>Source!F155</f>
        <v>126931.73</v>
      </c>
      <c r="K217" s="126"/>
    </row>
    <row r="218" spans="3:11" s="13" customFormat="1" ht="15">
      <c r="C218" s="124" t="str">
        <f>Source!H156</f>
        <v>Итого с К сниж.0,695</v>
      </c>
      <c r="D218" s="124"/>
      <c r="E218" s="124"/>
      <c r="F218" s="124"/>
      <c r="G218" s="124"/>
      <c r="H218" s="124"/>
      <c r="I218" s="124"/>
      <c r="J218" s="125">
        <f>Source!F156</f>
        <v>88217.55</v>
      </c>
      <c r="K218" s="126"/>
    </row>
    <row r="219" spans="3:11" s="13" customFormat="1" ht="15">
      <c r="C219" s="124" t="s">
        <v>573</v>
      </c>
      <c r="D219" s="124"/>
      <c r="E219" s="124"/>
      <c r="F219" s="124"/>
      <c r="G219" s="124"/>
      <c r="H219" s="124"/>
      <c r="I219" s="124"/>
      <c r="J219" s="125"/>
      <c r="K219" s="126"/>
    </row>
    <row r="220" spans="3:11" s="13" customFormat="1" ht="15">
      <c r="C220" s="124" t="str">
        <f>Source!H157</f>
        <v>За материалы (согласно письму № НЗ-6292/10 от 6.10.2003)</v>
      </c>
      <c r="D220" s="124"/>
      <c r="E220" s="124"/>
      <c r="F220" s="124"/>
      <c r="G220" s="124"/>
      <c r="H220" s="124"/>
      <c r="I220" s="124"/>
      <c r="J220" s="125">
        <f>Source!F157</f>
        <v>10059.879999999999</v>
      </c>
      <c r="K220" s="126"/>
    </row>
    <row r="221" spans="3:11" s="13" customFormat="1" ht="15">
      <c r="C221" s="124" t="str">
        <f>Source!H158</f>
        <v>За ЭММ без ЗП машинистов (согласно письму № НЗ-6292/10 от 6.10.2003)</v>
      </c>
      <c r="D221" s="124"/>
      <c r="E221" s="124"/>
      <c r="F221" s="124"/>
      <c r="G221" s="124"/>
      <c r="H221" s="124"/>
      <c r="I221" s="124"/>
      <c r="J221" s="125">
        <f>Source!F158</f>
        <v>148.09</v>
      </c>
      <c r="K221" s="126"/>
    </row>
    <row r="222" spans="3:11" s="13" customFormat="1" ht="15">
      <c r="C222" s="124" t="str">
        <f>Source!H159</f>
        <v>За накладные расходы (согласно письму № НЗ-6292/10 от 6.10.2003)</v>
      </c>
      <c r="D222" s="124"/>
      <c r="E222" s="124"/>
      <c r="F222" s="124"/>
      <c r="G222" s="124"/>
      <c r="H222" s="124"/>
      <c r="I222" s="124"/>
      <c r="J222" s="125">
        <f>Source!F159</f>
        <v>746.07</v>
      </c>
      <c r="K222" s="126"/>
    </row>
    <row r="223" spans="3:11" s="13" customFormat="1" ht="15">
      <c r="C223" s="124" t="str">
        <f>Source!H160</f>
        <v>Из сметной прибыли (согласно письму № НЗ-6292/10 от 6.10.2003)</v>
      </c>
      <c r="D223" s="124"/>
      <c r="E223" s="124"/>
      <c r="F223" s="124"/>
      <c r="G223" s="124"/>
      <c r="H223" s="124"/>
      <c r="I223" s="124"/>
      <c r="J223" s="125">
        <f>Source!F160</f>
        <v>408.62</v>
      </c>
      <c r="K223" s="126"/>
    </row>
    <row r="224" spans="3:11" s="37" customFormat="1" ht="15.75">
      <c r="C224" s="124" t="str">
        <f>Source!H161</f>
        <v>Итого компенсация НДС при упрощенной системе налогообложения</v>
      </c>
      <c r="D224" s="124"/>
      <c r="E224" s="124"/>
      <c r="F224" s="124"/>
      <c r="G224" s="124"/>
      <c r="H224" s="124"/>
      <c r="I224" s="124"/>
      <c r="J224" s="125">
        <f>Source!F161</f>
        <v>11362.66</v>
      </c>
      <c r="K224" s="126"/>
    </row>
    <row r="225" spans="3:11" s="13" customFormat="1" ht="15.75">
      <c r="C225" s="127" t="str">
        <f>Source!H162</f>
        <v>Всего с компенсацией НДС при упрощенной системе налогообложения:</v>
      </c>
      <c r="D225" s="127"/>
      <c r="E225" s="127"/>
      <c r="F225" s="127"/>
      <c r="G225" s="127"/>
      <c r="H225" s="127"/>
      <c r="I225" s="127"/>
      <c r="J225" s="128">
        <f>Source!F162</f>
        <v>99580.21</v>
      </c>
      <c r="K225" s="129"/>
    </row>
    <row r="226" spans="3:11" s="13" customFormat="1" ht="15"/>
    <row r="227" spans="3:11" ht="15"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3:11" ht="15">
      <c r="C228" s="13"/>
    </row>
    <row r="230" spans="3:11" ht="15">
      <c r="C230" s="13"/>
    </row>
    <row r="231" spans="3:11" ht="15">
      <c r="C231" s="13"/>
    </row>
  </sheetData>
  <mergeCells count="87">
    <mergeCell ref="C219:I219"/>
    <mergeCell ref="J219:K219"/>
    <mergeCell ref="C223:I223"/>
    <mergeCell ref="J223:K223"/>
    <mergeCell ref="C224:I224"/>
    <mergeCell ref="J224:K224"/>
    <mergeCell ref="C225:I225"/>
    <mergeCell ref="J225:K225"/>
    <mergeCell ref="C220:I220"/>
    <mergeCell ref="J220:K220"/>
    <mergeCell ref="C221:I221"/>
    <mergeCell ref="J221:K221"/>
    <mergeCell ref="C222:I222"/>
    <mergeCell ref="J222:K222"/>
    <mergeCell ref="C216:I216"/>
    <mergeCell ref="J216:K216"/>
    <mergeCell ref="C217:I217"/>
    <mergeCell ref="J217:K217"/>
    <mergeCell ref="C218:I218"/>
    <mergeCell ref="J218:K218"/>
    <mergeCell ref="C213:I213"/>
    <mergeCell ref="J213:K213"/>
    <mergeCell ref="C214:I214"/>
    <mergeCell ref="J214:K214"/>
    <mergeCell ref="C215:I215"/>
    <mergeCell ref="J215:K215"/>
    <mergeCell ref="G207:H207"/>
    <mergeCell ref="C210:I210"/>
    <mergeCell ref="J210:K210"/>
    <mergeCell ref="C211:I211"/>
    <mergeCell ref="J211:K211"/>
    <mergeCell ref="C212:I212"/>
    <mergeCell ref="J212:K212"/>
    <mergeCell ref="D204:K204"/>
    <mergeCell ref="C185:I185"/>
    <mergeCell ref="J185:K185"/>
    <mergeCell ref="C208:I208"/>
    <mergeCell ref="J208:K208"/>
    <mergeCell ref="C209:I209"/>
    <mergeCell ref="J209:K209"/>
    <mergeCell ref="C205:I205"/>
    <mergeCell ref="J205:K205"/>
    <mergeCell ref="J207:K207"/>
    <mergeCell ref="D184:K184"/>
    <mergeCell ref="C87:I87"/>
    <mergeCell ref="J87:K87"/>
    <mergeCell ref="D186:L186"/>
    <mergeCell ref="J201:K201"/>
    <mergeCell ref="G201:H201"/>
    <mergeCell ref="D38:L38"/>
    <mergeCell ref="J83:K83"/>
    <mergeCell ref="G83:H83"/>
    <mergeCell ref="D86:K86"/>
    <mergeCell ref="D88:L88"/>
    <mergeCell ref="J181:K181"/>
    <mergeCell ref="G181:H181"/>
    <mergeCell ref="C27:F27"/>
    <mergeCell ref="G27:H27"/>
    <mergeCell ref="I27:J27"/>
    <mergeCell ref="K27:L27"/>
    <mergeCell ref="A29:C29"/>
    <mergeCell ref="D36:L36"/>
    <mergeCell ref="C25:F25"/>
    <mergeCell ref="G25:H25"/>
    <mergeCell ref="I25:J25"/>
    <mergeCell ref="K25:L25"/>
    <mergeCell ref="C26:F26"/>
    <mergeCell ref="G26:H26"/>
    <mergeCell ref="I26:J26"/>
    <mergeCell ref="K26:L26"/>
    <mergeCell ref="A11:L11"/>
    <mergeCell ref="A12:L12"/>
    <mergeCell ref="B18:L18"/>
    <mergeCell ref="B19:L19"/>
    <mergeCell ref="A21:L21"/>
    <mergeCell ref="G24:H24"/>
    <mergeCell ref="I24:J24"/>
    <mergeCell ref="G14:H14"/>
    <mergeCell ref="I14:L14"/>
    <mergeCell ref="A16:L16"/>
    <mergeCell ref="F3:I3"/>
    <mergeCell ref="A5:B5"/>
    <mergeCell ref="F5:H5"/>
    <mergeCell ref="C5:D5"/>
    <mergeCell ref="I5:K5"/>
    <mergeCell ref="C7:D7"/>
    <mergeCell ref="H7:K7"/>
  </mergeCells>
  <pageMargins left="0.28740157480314998" right="0.196850393700787" top="0.39370078740157499" bottom="0.39370078740157499" header="0.11811023622047198" footer="0.11811023622047198"/>
  <pageSetup paperSize="9" scale="65" orientation="portrait" verticalDpi="0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Y179"/>
  <sheetViews>
    <sheetView workbookViewId="0">
      <selection activeCell="I8" sqref="I8"/>
    </sheetView>
  </sheetViews>
  <sheetFormatPr defaultRowHeight="12.75"/>
  <sheetData>
    <row r="1" spans="1:104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37979</v>
      </c>
    </row>
    <row r="12" spans="1:104">
      <c r="A12" s="1">
        <v>1</v>
      </c>
      <c r="B12" s="1">
        <v>1</v>
      </c>
      <c r="C12" s="1">
        <v>0</v>
      </c>
      <c r="D12" s="1">
        <f>ROW(A140)</f>
        <v>140</v>
      </c>
      <c r="E12" s="1">
        <v>0</v>
      </c>
      <c r="F12" s="1" t="s">
        <v>4</v>
      </c>
      <c r="G12" s="1" t="s">
        <v>571</v>
      </c>
      <c r="H12" s="1" t="s">
        <v>3</v>
      </c>
      <c r="I12" s="1">
        <v>0</v>
      </c>
      <c r="J12" s="1" t="s">
        <v>3</v>
      </c>
      <c r="K12" s="1" t="s">
        <v>3</v>
      </c>
      <c r="L12" s="1" t="s">
        <v>3</v>
      </c>
      <c r="M12" s="1" t="s">
        <v>3</v>
      </c>
      <c r="N12" s="1" t="s">
        <v>3</v>
      </c>
      <c r="O12" s="1" t="s">
        <v>5</v>
      </c>
      <c r="P12" s="1">
        <v>2012</v>
      </c>
      <c r="Q12" s="1">
        <v>2</v>
      </c>
      <c r="R12" s="1" t="s">
        <v>3</v>
      </c>
      <c r="S12" s="1" t="s">
        <v>3</v>
      </c>
      <c r="T12" s="1" t="s">
        <v>3</v>
      </c>
      <c r="U12" s="1" t="s">
        <v>3</v>
      </c>
      <c r="V12" s="1">
        <v>-3</v>
      </c>
      <c r="W12" s="1" t="s">
        <v>3</v>
      </c>
      <c r="X12" s="1">
        <v>0</v>
      </c>
      <c r="Y12" s="1">
        <v>2</v>
      </c>
      <c r="Z12" s="1">
        <v>1</v>
      </c>
      <c r="AA12" s="1">
        <v>1</v>
      </c>
      <c r="AB12" s="1"/>
      <c r="AC12" s="1">
        <v>1</v>
      </c>
      <c r="AD12" s="1">
        <v>2</v>
      </c>
      <c r="AE12" s="1">
        <v>0</v>
      </c>
      <c r="AF12" s="1">
        <v>0</v>
      </c>
      <c r="AG12" s="1">
        <v>1</v>
      </c>
      <c r="AH12" s="1">
        <v>0</v>
      </c>
      <c r="AI12" s="1">
        <v>0</v>
      </c>
      <c r="AJ12" s="1">
        <v>0</v>
      </c>
      <c r="AK12" s="1">
        <v>0</v>
      </c>
      <c r="AL12" s="1" t="s">
        <v>3</v>
      </c>
      <c r="AM12" s="1" t="s">
        <v>3</v>
      </c>
      <c r="AN12" s="1">
        <v>0</v>
      </c>
      <c r="AO12" s="1" t="s">
        <v>3</v>
      </c>
      <c r="AP12" s="1" t="s">
        <v>3</v>
      </c>
      <c r="AQ12" s="1" t="s">
        <v>3</v>
      </c>
      <c r="AR12" s="1" t="s">
        <v>3</v>
      </c>
      <c r="AS12" s="1" t="s">
        <v>3</v>
      </c>
      <c r="AT12" s="1" t="s">
        <v>3</v>
      </c>
      <c r="AU12" s="1" t="s">
        <v>3</v>
      </c>
      <c r="AV12" s="1" t="s">
        <v>3</v>
      </c>
      <c r="AW12" s="1" t="s">
        <v>3</v>
      </c>
      <c r="AX12" s="1"/>
      <c r="AY12" s="1"/>
      <c r="AZ12" s="1"/>
      <c r="BA12" s="1">
        <v>0</v>
      </c>
      <c r="BB12" s="1">
        <v>0</v>
      </c>
      <c r="BC12" s="1">
        <v>0</v>
      </c>
      <c r="BD12" s="1">
        <v>22714128</v>
      </c>
      <c r="BE12" s="1" t="s">
        <v>6</v>
      </c>
      <c r="BF12" s="1" t="s">
        <v>7</v>
      </c>
      <c r="BG12" s="1">
        <v>21331421</v>
      </c>
      <c r="BH12" s="1">
        <v>0</v>
      </c>
      <c r="BI12" s="1">
        <v>1</v>
      </c>
      <c r="BJ12" s="1"/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3</v>
      </c>
      <c r="BQ12" s="1"/>
      <c r="BR12" s="1">
        <v>2</v>
      </c>
      <c r="BS12" s="1"/>
      <c r="BT12" s="1">
        <v>0</v>
      </c>
      <c r="BU12" s="1">
        <v>1</v>
      </c>
      <c r="BV12" s="1">
        <v>1</v>
      </c>
      <c r="BW12" s="1">
        <v>0</v>
      </c>
      <c r="BX12" s="1">
        <v>0</v>
      </c>
      <c r="BY12" s="1">
        <v>0</v>
      </c>
      <c r="BZ12" s="1">
        <v>0</v>
      </c>
      <c r="CA12" s="1">
        <v>21331087</v>
      </c>
      <c r="CB12" s="1">
        <v>21331083</v>
      </c>
      <c r="CC12" s="1">
        <v>21331081</v>
      </c>
      <c r="CD12" s="1">
        <v>21331079</v>
      </c>
      <c r="CE12" s="1">
        <v>0</v>
      </c>
      <c r="CF12" s="1">
        <v>0</v>
      </c>
      <c r="CG12" s="1" t="s">
        <v>3</v>
      </c>
      <c r="CH12" s="1" t="s">
        <v>3</v>
      </c>
      <c r="CI12" s="1" t="s">
        <v>3</v>
      </c>
      <c r="CJ12" s="1">
        <v>0</v>
      </c>
      <c r="CK12" s="1">
        <v>21552980</v>
      </c>
      <c r="CL12" s="1" t="s">
        <v>8</v>
      </c>
      <c r="CM12" s="1" t="s">
        <v>9</v>
      </c>
      <c r="CN12" s="1" t="s">
        <v>10</v>
      </c>
      <c r="CO12" s="1" t="s">
        <v>10</v>
      </c>
      <c r="CP12" s="1" t="s">
        <v>10</v>
      </c>
      <c r="CQ12" s="1" t="s">
        <v>10</v>
      </c>
      <c r="CR12" s="1" t="s">
        <v>11</v>
      </c>
      <c r="CS12" s="1">
        <v>15521017</v>
      </c>
      <c r="CT12" s="1">
        <v>0</v>
      </c>
      <c r="CU12" s="1">
        <v>0</v>
      </c>
      <c r="CV12" s="1">
        <v>21829525</v>
      </c>
      <c r="CW12" s="1">
        <v>21829528</v>
      </c>
      <c r="CX12" s="1">
        <v>22482943</v>
      </c>
      <c r="CY12" s="1">
        <v>1</v>
      </c>
      <c r="CZ12" s="1" t="s">
        <v>3</v>
      </c>
    </row>
    <row r="15" spans="1:104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8" spans="1:181">
      <c r="A18" s="2">
        <v>52</v>
      </c>
      <c r="B18" s="2">
        <f t="shared" ref="B18:AQ18" si="0">B140</f>
        <v>1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монтаж системы видеонаблюдения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89148.23</v>
      </c>
      <c r="P18" s="2">
        <f t="shared" si="0"/>
        <v>55888.2</v>
      </c>
      <c r="Q18" s="2">
        <f t="shared" si="0"/>
        <v>1084.6300000000001</v>
      </c>
      <c r="R18" s="2">
        <f t="shared" si="0"/>
        <v>261.91000000000003</v>
      </c>
      <c r="S18" s="2">
        <f t="shared" si="0"/>
        <v>32175.4</v>
      </c>
      <c r="T18" s="2">
        <f t="shared" si="0"/>
        <v>0</v>
      </c>
      <c r="U18" s="2">
        <f t="shared" si="0"/>
        <v>183.16</v>
      </c>
      <c r="V18" s="2">
        <f t="shared" si="0"/>
        <v>3.06</v>
      </c>
      <c r="W18" s="2">
        <f t="shared" si="0"/>
        <v>0</v>
      </c>
      <c r="X18" s="2">
        <f t="shared" si="0"/>
        <v>22649.34</v>
      </c>
      <c r="Y18" s="2">
        <f t="shared" si="0"/>
        <v>15134.16</v>
      </c>
      <c r="Z18" s="2">
        <f t="shared" si="0"/>
        <v>0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0</v>
      </c>
      <c r="AH18" s="2">
        <f t="shared" si="0"/>
        <v>0</v>
      </c>
      <c r="AI18" s="2">
        <f t="shared" si="0"/>
        <v>0</v>
      </c>
      <c r="AJ18" s="2">
        <f t="shared" si="0"/>
        <v>0</v>
      </c>
      <c r="AK18" s="2">
        <f t="shared" si="0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41402.160000000003</v>
      </c>
      <c r="AQ18" s="2">
        <f t="shared" si="0"/>
        <v>0</v>
      </c>
    </row>
    <row r="19" spans="1:181">
      <c r="G19">
        <v>0</v>
      </c>
    </row>
    <row r="20" spans="1:181">
      <c r="A20" s="1">
        <v>3</v>
      </c>
      <c r="B20" s="1">
        <v>1</v>
      </c>
      <c r="C20" s="1"/>
      <c r="D20" s="1">
        <f>ROW(A117)</f>
        <v>117</v>
      </c>
      <c r="E20" s="1"/>
      <c r="F20" s="1" t="s">
        <v>12</v>
      </c>
      <c r="G20" s="1" t="s">
        <v>580</v>
      </c>
      <c r="H20" s="1"/>
      <c r="I20" s="1"/>
      <c r="J20" s="1" t="s">
        <v>3</v>
      </c>
      <c r="K20" s="1"/>
      <c r="L20" s="1"/>
      <c r="M20" s="1"/>
      <c r="N20" s="1" t="s">
        <v>3</v>
      </c>
      <c r="O20" s="1"/>
      <c r="P20" s="1"/>
      <c r="Q20" s="1"/>
      <c r="R20" s="1" t="s">
        <v>3</v>
      </c>
      <c r="S20" s="1" t="s">
        <v>3</v>
      </c>
      <c r="T20" s="1" t="s">
        <v>3</v>
      </c>
      <c r="U20" s="1" t="s">
        <v>3</v>
      </c>
      <c r="V20" s="1"/>
      <c r="W20" s="1"/>
      <c r="X20" s="1">
        <v>0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>
        <v>0</v>
      </c>
      <c r="AK20" s="1">
        <v>0</v>
      </c>
      <c r="AL20" s="1">
        <v>0</v>
      </c>
      <c r="AM20" s="1"/>
      <c r="AN20" s="1"/>
      <c r="AO20" s="1" t="s">
        <v>3</v>
      </c>
      <c r="AP20" s="1" t="s">
        <v>3</v>
      </c>
      <c r="AQ20" s="1" t="s">
        <v>3</v>
      </c>
      <c r="AR20" s="1"/>
      <c r="AS20" s="1"/>
      <c r="AT20" s="1" t="s">
        <v>3</v>
      </c>
      <c r="AU20" s="1" t="s">
        <v>3</v>
      </c>
      <c r="AV20" s="1" t="s">
        <v>3</v>
      </c>
      <c r="AW20" s="1" t="s">
        <v>3</v>
      </c>
      <c r="AX20" s="1" t="s">
        <v>3</v>
      </c>
      <c r="AY20" s="1" t="s">
        <v>3</v>
      </c>
      <c r="AZ20" s="1" t="s">
        <v>3</v>
      </c>
      <c r="BA20" s="1" t="s">
        <v>3</v>
      </c>
      <c r="BB20" s="1" t="s">
        <v>3</v>
      </c>
      <c r="BC20" s="1" t="s">
        <v>3</v>
      </c>
      <c r="BD20" s="1" t="s">
        <v>3</v>
      </c>
      <c r="BE20" s="1" t="s">
        <v>13</v>
      </c>
      <c r="BF20" s="1">
        <v>0</v>
      </c>
      <c r="BG20" s="1">
        <v>0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>
        <v>0</v>
      </c>
      <c r="BN20" s="1" t="s">
        <v>3</v>
      </c>
      <c r="BO20" s="1" t="s">
        <v>3</v>
      </c>
    </row>
    <row r="22" spans="1:181">
      <c r="A22" s="2">
        <v>52</v>
      </c>
      <c r="B22" s="2">
        <f t="shared" ref="B22:AQ22" si="1">B117</f>
        <v>1</v>
      </c>
      <c r="C22" s="2">
        <f t="shared" si="1"/>
        <v>3</v>
      </c>
      <c r="D22" s="2">
        <f t="shared" si="1"/>
        <v>20</v>
      </c>
      <c r="E22" s="2">
        <f t="shared" si="1"/>
        <v>0</v>
      </c>
      <c r="F22" s="2" t="str">
        <f t="shared" si="1"/>
        <v>Новая локальная смета</v>
      </c>
      <c r="G22" s="2" t="str">
        <f t="shared" si="1"/>
        <v xml:space="preserve">Система видеонаблюдения </v>
      </c>
      <c r="H22" s="2">
        <f t="shared" si="1"/>
        <v>0</v>
      </c>
      <c r="I22" s="2">
        <f t="shared" si="1"/>
        <v>0</v>
      </c>
      <c r="J22" s="2">
        <f t="shared" si="1"/>
        <v>0</v>
      </c>
      <c r="K22" s="2">
        <f t="shared" si="1"/>
        <v>0</v>
      </c>
      <c r="L22" s="2">
        <f t="shared" si="1"/>
        <v>0</v>
      </c>
      <c r="M22" s="2">
        <f t="shared" si="1"/>
        <v>0</v>
      </c>
      <c r="N22" s="2">
        <f t="shared" si="1"/>
        <v>0</v>
      </c>
      <c r="O22" s="2">
        <f t="shared" si="1"/>
        <v>89148.23</v>
      </c>
      <c r="P22" s="2">
        <f t="shared" si="1"/>
        <v>55888.2</v>
      </c>
      <c r="Q22" s="2">
        <f t="shared" si="1"/>
        <v>1084.6300000000001</v>
      </c>
      <c r="R22" s="2">
        <f t="shared" si="1"/>
        <v>261.91000000000003</v>
      </c>
      <c r="S22" s="2">
        <f t="shared" si="1"/>
        <v>32175.4</v>
      </c>
      <c r="T22" s="2">
        <f t="shared" si="1"/>
        <v>0</v>
      </c>
      <c r="U22" s="2">
        <f t="shared" si="1"/>
        <v>183.16</v>
      </c>
      <c r="V22" s="2">
        <f t="shared" si="1"/>
        <v>3.06</v>
      </c>
      <c r="W22" s="2">
        <f t="shared" si="1"/>
        <v>0</v>
      </c>
      <c r="X22" s="2">
        <f t="shared" si="1"/>
        <v>22649.34</v>
      </c>
      <c r="Y22" s="2">
        <f t="shared" si="1"/>
        <v>15134.16</v>
      </c>
      <c r="Z22" s="2">
        <f t="shared" si="1"/>
        <v>0</v>
      </c>
      <c r="AA22" s="2">
        <f t="shared" si="1"/>
        <v>0</v>
      </c>
      <c r="AB22" s="2">
        <f t="shared" si="1"/>
        <v>0</v>
      </c>
      <c r="AC22" s="2">
        <f t="shared" si="1"/>
        <v>0</v>
      </c>
      <c r="AD22" s="2">
        <f t="shared" si="1"/>
        <v>0</v>
      </c>
      <c r="AE22" s="2">
        <f t="shared" si="1"/>
        <v>0</v>
      </c>
      <c r="AF22" s="2">
        <f t="shared" si="1"/>
        <v>0</v>
      </c>
      <c r="AG22" s="2">
        <f t="shared" si="1"/>
        <v>0</v>
      </c>
      <c r="AH22" s="2">
        <f t="shared" si="1"/>
        <v>0</v>
      </c>
      <c r="AI22" s="2">
        <f t="shared" si="1"/>
        <v>0</v>
      </c>
      <c r="AJ22" s="2">
        <f t="shared" si="1"/>
        <v>0</v>
      </c>
      <c r="AK22" s="2">
        <f t="shared" si="1"/>
        <v>0</v>
      </c>
      <c r="AL22" s="2">
        <f t="shared" si="1"/>
        <v>0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41402.160000000003</v>
      </c>
      <c r="AQ22" s="2">
        <f t="shared" si="1"/>
        <v>0</v>
      </c>
    </row>
    <row r="23" spans="1:181">
      <c r="G23">
        <v>0</v>
      </c>
    </row>
    <row r="24" spans="1:181">
      <c r="A24" s="1">
        <v>4</v>
      </c>
      <c r="B24" s="1">
        <v>1</v>
      </c>
      <c r="C24" s="1"/>
      <c r="D24" s="1">
        <f>ROW(A43)</f>
        <v>43</v>
      </c>
      <c r="E24" s="1"/>
      <c r="F24" s="1" t="s">
        <v>14</v>
      </c>
      <c r="G24" s="1" t="s">
        <v>15</v>
      </c>
      <c r="H24" s="1"/>
      <c r="I24" s="1"/>
      <c r="J24" s="1"/>
      <c r="K24" s="1"/>
      <c r="L24" s="1"/>
      <c r="M24" s="1"/>
      <c r="N24" s="1" t="s">
        <v>3</v>
      </c>
      <c r="O24" s="1"/>
      <c r="P24" s="1"/>
      <c r="Q24" s="1"/>
      <c r="R24" s="1" t="s">
        <v>3</v>
      </c>
      <c r="S24" s="1" t="s">
        <v>3</v>
      </c>
      <c r="T24" s="1" t="s">
        <v>3</v>
      </c>
      <c r="U24" s="1" t="s">
        <v>3</v>
      </c>
      <c r="V24" s="1"/>
      <c r="W24" s="1"/>
      <c r="X24" s="1">
        <v>0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>
        <v>0</v>
      </c>
      <c r="AM24" s="1"/>
      <c r="AN24" s="1"/>
      <c r="AO24" s="1" t="s">
        <v>3</v>
      </c>
      <c r="AP24" s="1" t="s">
        <v>3</v>
      </c>
      <c r="AQ24" s="1" t="s">
        <v>3</v>
      </c>
      <c r="AR24" s="1"/>
      <c r="AS24" s="1"/>
      <c r="AT24" s="1" t="s">
        <v>3</v>
      </c>
      <c r="AU24" s="1" t="s">
        <v>3</v>
      </c>
      <c r="AV24" s="1" t="s">
        <v>3</v>
      </c>
      <c r="AW24" s="1" t="s">
        <v>3</v>
      </c>
      <c r="AX24" s="1" t="s">
        <v>3</v>
      </c>
      <c r="AY24" s="1" t="s">
        <v>3</v>
      </c>
      <c r="AZ24" s="1" t="s">
        <v>3</v>
      </c>
      <c r="BA24" s="1" t="s">
        <v>3</v>
      </c>
      <c r="BB24" s="1" t="s">
        <v>3</v>
      </c>
      <c r="BC24" s="1" t="s">
        <v>3</v>
      </c>
      <c r="BD24" s="1" t="s">
        <v>3</v>
      </c>
      <c r="BE24" s="1" t="s">
        <v>16</v>
      </c>
      <c r="BF24" s="1">
        <v>0</v>
      </c>
      <c r="BG24" s="1">
        <v>0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>
        <v>0</v>
      </c>
      <c r="BN24" s="1" t="s">
        <v>3</v>
      </c>
      <c r="BO24" s="1">
        <v>0</v>
      </c>
    </row>
    <row r="26" spans="1:181">
      <c r="A26" s="2">
        <v>52</v>
      </c>
      <c r="B26" s="2">
        <f t="shared" ref="B26:AQ26" si="2">B43</f>
        <v>1</v>
      </c>
      <c r="C26" s="2">
        <f t="shared" si="2"/>
        <v>4</v>
      </c>
      <c r="D26" s="2">
        <f t="shared" si="2"/>
        <v>24</v>
      </c>
      <c r="E26" s="2">
        <f t="shared" si="2"/>
        <v>0</v>
      </c>
      <c r="F26" s="2" t="str">
        <f t="shared" si="2"/>
        <v>Новый раздел</v>
      </c>
      <c r="G26" s="2" t="str">
        <f t="shared" si="2"/>
        <v>1. Оборудование и материалы неучтённые ценниками</v>
      </c>
      <c r="H26" s="2">
        <f t="shared" si="2"/>
        <v>0</v>
      </c>
      <c r="I26" s="2">
        <f t="shared" si="2"/>
        <v>0</v>
      </c>
      <c r="J26" s="2">
        <f t="shared" si="2"/>
        <v>0</v>
      </c>
      <c r="K26" s="2">
        <f t="shared" si="2"/>
        <v>0</v>
      </c>
      <c r="L26" s="2">
        <f t="shared" si="2"/>
        <v>0</v>
      </c>
      <c r="M26" s="2">
        <f t="shared" si="2"/>
        <v>0</v>
      </c>
      <c r="N26" s="2">
        <f t="shared" si="2"/>
        <v>0</v>
      </c>
      <c r="O26" s="2">
        <f t="shared" si="2"/>
        <v>53504.65</v>
      </c>
      <c r="P26" s="2">
        <f t="shared" si="2"/>
        <v>53504.65</v>
      </c>
      <c r="Q26" s="2">
        <f t="shared" si="2"/>
        <v>0</v>
      </c>
      <c r="R26" s="2">
        <f t="shared" si="2"/>
        <v>0</v>
      </c>
      <c r="S26" s="2">
        <f t="shared" si="2"/>
        <v>0</v>
      </c>
      <c r="T26" s="2">
        <f t="shared" si="2"/>
        <v>0</v>
      </c>
      <c r="U26" s="2">
        <f t="shared" si="2"/>
        <v>0</v>
      </c>
      <c r="V26" s="2">
        <f t="shared" si="2"/>
        <v>0</v>
      </c>
      <c r="W26" s="2">
        <f t="shared" si="2"/>
        <v>0</v>
      </c>
      <c r="X26" s="2">
        <f t="shared" si="2"/>
        <v>0</v>
      </c>
      <c r="Y26" s="2">
        <f t="shared" si="2"/>
        <v>0</v>
      </c>
      <c r="Z26" s="2">
        <f t="shared" si="2"/>
        <v>0</v>
      </c>
      <c r="AA26" s="2">
        <f t="shared" si="2"/>
        <v>0</v>
      </c>
      <c r="AB26" s="2">
        <f t="shared" si="2"/>
        <v>53504.65</v>
      </c>
      <c r="AC26" s="2">
        <f t="shared" si="2"/>
        <v>53504.65</v>
      </c>
      <c r="AD26" s="2">
        <f t="shared" si="2"/>
        <v>0</v>
      </c>
      <c r="AE26" s="2">
        <f t="shared" si="2"/>
        <v>0</v>
      </c>
      <c r="AF26" s="2">
        <f t="shared" si="2"/>
        <v>0</v>
      </c>
      <c r="AG26" s="2">
        <f t="shared" si="2"/>
        <v>0</v>
      </c>
      <c r="AH26" s="2">
        <f t="shared" si="2"/>
        <v>0</v>
      </c>
      <c r="AI26" s="2">
        <f t="shared" si="2"/>
        <v>0</v>
      </c>
      <c r="AJ26" s="2">
        <f t="shared" si="2"/>
        <v>0</v>
      </c>
      <c r="AK26" s="2">
        <f t="shared" si="2"/>
        <v>0</v>
      </c>
      <c r="AL26" s="2">
        <f t="shared" si="2"/>
        <v>0</v>
      </c>
      <c r="AM26" s="2">
        <f t="shared" si="2"/>
        <v>0</v>
      </c>
      <c r="AN26" s="2">
        <f t="shared" si="2"/>
        <v>0</v>
      </c>
      <c r="AO26" s="2">
        <f t="shared" si="2"/>
        <v>0</v>
      </c>
      <c r="AP26" s="2">
        <f t="shared" si="2"/>
        <v>41402.160000000003</v>
      </c>
      <c r="AQ26" s="2">
        <f t="shared" si="2"/>
        <v>41402.160000000003</v>
      </c>
    </row>
    <row r="28" spans="1:181">
      <c r="A28">
        <v>17</v>
      </c>
      <c r="B28">
        <v>1</v>
      </c>
      <c r="E28" t="s">
        <v>17</v>
      </c>
      <c r="F28" t="s">
        <v>18</v>
      </c>
      <c r="G28" t="s">
        <v>19</v>
      </c>
      <c r="H28" t="s">
        <v>20</v>
      </c>
      <c r="I28">
        <v>1</v>
      </c>
      <c r="J28">
        <v>0</v>
      </c>
      <c r="O28">
        <f t="shared" ref="O28:O41" si="3">ROUND(CP28,2)</f>
        <v>10581.69</v>
      </c>
      <c r="P28">
        <f t="shared" ref="P28:P41" si="4">ROUND(CQ28*I28,2)</f>
        <v>10581.69</v>
      </c>
      <c r="Q28">
        <f t="shared" ref="Q28:Q41" si="5">ROUND(CR28*I28,2)</f>
        <v>0</v>
      </c>
      <c r="R28">
        <f t="shared" ref="R28:R41" si="6">ROUND(CS28*I28,2)</f>
        <v>0</v>
      </c>
      <c r="S28">
        <f t="shared" ref="S28:S41" si="7">ROUND(CT28*I28,2)</f>
        <v>0</v>
      </c>
      <c r="T28">
        <f t="shared" ref="T28:T41" si="8">ROUND(CU28*I28,2)</f>
        <v>0</v>
      </c>
      <c r="U28">
        <f t="shared" ref="U28:U41" si="9">CV28*I28</f>
        <v>0</v>
      </c>
      <c r="V28">
        <f t="shared" ref="V28:V41" si="10">CW28*I28</f>
        <v>0</v>
      </c>
      <c r="W28">
        <f t="shared" ref="W28:W41" si="11">ROUND(CX28*I28,2)</f>
        <v>0</v>
      </c>
      <c r="X28">
        <f t="shared" ref="X28:X41" si="12">ROUND(CY28,2)</f>
        <v>0</v>
      </c>
      <c r="Y28">
        <f t="shared" ref="Y28:Y41" si="13">ROUND(CZ28,2)</f>
        <v>0</v>
      </c>
      <c r="AA28">
        <v>0</v>
      </c>
      <c r="AB28">
        <f t="shared" ref="AB28:AB41" si="14">ROUND((AC28+AD28+AF28),3)</f>
        <v>4319.0590000000002</v>
      </c>
      <c r="AC28">
        <f>ROUND((12486.4/1.18/2.45),3)</f>
        <v>4319.0590000000002</v>
      </c>
      <c r="AD28">
        <f t="shared" ref="AD28:AD41" si="15">ROUND((ET28),3)</f>
        <v>0</v>
      </c>
      <c r="AE28">
        <f t="shared" ref="AE28:AE41" si="16">ROUND((EU28),3)</f>
        <v>0</v>
      </c>
      <c r="AF28">
        <f t="shared" ref="AF28:AF41" si="17">ROUND((EV28),3)</f>
        <v>0</v>
      </c>
      <c r="AG28">
        <f t="shared" ref="AG28:AG41" si="18">ROUND((AP28),3)</f>
        <v>0</v>
      </c>
      <c r="AH28">
        <f t="shared" ref="AH28:AH41" si="19">(EW28)</f>
        <v>0</v>
      </c>
      <c r="AI28">
        <f t="shared" ref="AI28:AI41" si="20">(EX28)</f>
        <v>0</v>
      </c>
      <c r="AJ28">
        <f t="shared" ref="AJ28:AJ41" si="21">ROUND((AS28),3)</f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2.4500000000000002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3</v>
      </c>
      <c r="BJ28" t="s">
        <v>3</v>
      </c>
      <c r="BM28">
        <v>600001</v>
      </c>
      <c r="BN28">
        <v>0</v>
      </c>
      <c r="BO28" t="s">
        <v>3</v>
      </c>
      <c r="BP28">
        <v>0</v>
      </c>
      <c r="BQ28">
        <v>5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0</v>
      </c>
      <c r="CA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41" si="22">(P28+Q28+S28)</f>
        <v>10581.69</v>
      </c>
      <c r="CQ28">
        <f t="shared" ref="CQ28:CQ41" si="23">(AC28)*BC28</f>
        <v>10581.694550000002</v>
      </c>
      <c r="CR28">
        <f t="shared" ref="CR28:CR41" si="24">(AD28)*BB28</f>
        <v>0</v>
      </c>
      <c r="CS28">
        <f t="shared" ref="CS28:CS41" si="25">(AE28)*BS28</f>
        <v>0</v>
      </c>
      <c r="CT28">
        <f t="shared" ref="CT28:CT41" si="26">(AF28)*BA28</f>
        <v>0</v>
      </c>
      <c r="CU28">
        <f t="shared" ref="CU28:CU41" si="27">(AG28)*BT28</f>
        <v>0</v>
      </c>
      <c r="CV28">
        <f t="shared" ref="CV28:CV41" si="28">(AH28)*BU28</f>
        <v>0</v>
      </c>
      <c r="CW28">
        <f t="shared" ref="CW28:CW41" si="29">(AI28)*BV28</f>
        <v>0</v>
      </c>
      <c r="CX28">
        <f t="shared" ref="CX28:CX41" si="30">(AJ28)*BW28</f>
        <v>0</v>
      </c>
      <c r="CY28">
        <f t="shared" ref="CY28:CY35" si="31">(0)*BX28</f>
        <v>0</v>
      </c>
      <c r="CZ28">
        <f t="shared" ref="CZ28:CZ35" si="32">(0)*AX28</f>
        <v>0</v>
      </c>
      <c r="DC28" t="s">
        <v>3</v>
      </c>
      <c r="DD28" t="s">
        <v>21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R28">
        <v>1</v>
      </c>
      <c r="DS28">
        <v>1</v>
      </c>
      <c r="DT28">
        <v>1</v>
      </c>
      <c r="DU28">
        <v>1010</v>
      </c>
      <c r="DV28" t="s">
        <v>20</v>
      </c>
      <c r="DW28" t="s">
        <v>20</v>
      </c>
      <c r="DX28">
        <v>1</v>
      </c>
      <c r="EE28">
        <v>21331496</v>
      </c>
      <c r="EF28">
        <v>5</v>
      </c>
      <c r="EG28" t="s">
        <v>22</v>
      </c>
      <c r="EH28">
        <v>0</v>
      </c>
      <c r="EI28" t="s">
        <v>3</v>
      </c>
      <c r="EJ28">
        <v>3</v>
      </c>
      <c r="EK28">
        <v>600001</v>
      </c>
      <c r="EL28" t="s">
        <v>23</v>
      </c>
      <c r="EM28" t="s">
        <v>24</v>
      </c>
      <c r="EO28" t="s">
        <v>3</v>
      </c>
      <c r="EQ28">
        <v>512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Q28">
        <v>0</v>
      </c>
      <c r="FR28">
        <f t="shared" ref="FR28:FR41" si="33">ROUND(IF(AND(AA28=0,BI28=3),P28,0),2)</f>
        <v>10581.69</v>
      </c>
      <c r="FS28">
        <v>0</v>
      </c>
      <c r="FX28">
        <v>0</v>
      </c>
      <c r="FY28">
        <v>0</v>
      </c>
    </row>
    <row r="29" spans="1:181">
      <c r="A29">
        <v>17</v>
      </c>
      <c r="B29">
        <v>1</v>
      </c>
      <c r="E29" t="s">
        <v>25</v>
      </c>
      <c r="F29" t="s">
        <v>18</v>
      </c>
      <c r="G29" t="s">
        <v>26</v>
      </c>
      <c r="H29" t="s">
        <v>3</v>
      </c>
      <c r="I29">
        <v>1</v>
      </c>
      <c r="J29">
        <v>0</v>
      </c>
      <c r="O29">
        <f t="shared" si="3"/>
        <v>6461.69</v>
      </c>
      <c r="P29">
        <f t="shared" si="4"/>
        <v>6461.69</v>
      </c>
      <c r="Q29">
        <f t="shared" si="5"/>
        <v>0</v>
      </c>
      <c r="R29">
        <f t="shared" si="6"/>
        <v>0</v>
      </c>
      <c r="S29">
        <f t="shared" si="7"/>
        <v>0</v>
      </c>
      <c r="T29">
        <f t="shared" si="8"/>
        <v>0</v>
      </c>
      <c r="U29">
        <f t="shared" si="9"/>
        <v>0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AA29">
        <v>0</v>
      </c>
      <c r="AB29">
        <f t="shared" si="14"/>
        <v>2637.4259999999999</v>
      </c>
      <c r="AC29">
        <f>ROUND((7624.8/1.18/2.45),3)</f>
        <v>2637.4259999999999</v>
      </c>
      <c r="AD29">
        <f t="shared" si="15"/>
        <v>0</v>
      </c>
      <c r="AE29">
        <f t="shared" si="16"/>
        <v>0</v>
      </c>
      <c r="AF29">
        <f t="shared" si="17"/>
        <v>0</v>
      </c>
      <c r="AG29">
        <f t="shared" si="18"/>
        <v>0</v>
      </c>
      <c r="AH29">
        <f t="shared" si="19"/>
        <v>0</v>
      </c>
      <c r="AI29">
        <f t="shared" si="20"/>
        <v>0</v>
      </c>
      <c r="AJ29">
        <f t="shared" si="21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2.4500000000000002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3</v>
      </c>
      <c r="BJ29" t="s">
        <v>3</v>
      </c>
      <c r="BM29">
        <v>600001</v>
      </c>
      <c r="BN29">
        <v>0</v>
      </c>
      <c r="BO29" t="s">
        <v>3</v>
      </c>
      <c r="BP29">
        <v>0</v>
      </c>
      <c r="BQ29">
        <v>5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0</v>
      </c>
      <c r="CA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2"/>
        <v>6461.69</v>
      </c>
      <c r="CQ29">
        <f t="shared" si="23"/>
        <v>6461.6937000000007</v>
      </c>
      <c r="CR29">
        <f t="shared" si="24"/>
        <v>0</v>
      </c>
      <c r="CS29">
        <f t="shared" si="25"/>
        <v>0</v>
      </c>
      <c r="CT29">
        <f t="shared" si="26"/>
        <v>0</v>
      </c>
      <c r="CU29">
        <f t="shared" si="27"/>
        <v>0</v>
      </c>
      <c r="CV29">
        <f t="shared" si="28"/>
        <v>0</v>
      </c>
      <c r="CW29">
        <f t="shared" si="29"/>
        <v>0</v>
      </c>
      <c r="CX29">
        <f t="shared" si="30"/>
        <v>0</v>
      </c>
      <c r="CY29">
        <f t="shared" si="31"/>
        <v>0</v>
      </c>
      <c r="CZ29">
        <f t="shared" si="32"/>
        <v>0</v>
      </c>
      <c r="DC29" t="s">
        <v>3</v>
      </c>
      <c r="DD29" t="s">
        <v>27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R29">
        <v>1</v>
      </c>
      <c r="DS29">
        <v>1</v>
      </c>
      <c r="DT29">
        <v>1</v>
      </c>
      <c r="DX29">
        <v>0</v>
      </c>
      <c r="EE29">
        <v>21331496</v>
      </c>
      <c r="EF29">
        <v>5</v>
      </c>
      <c r="EG29" t="s">
        <v>22</v>
      </c>
      <c r="EH29">
        <v>0</v>
      </c>
      <c r="EI29" t="s">
        <v>3</v>
      </c>
      <c r="EJ29">
        <v>3</v>
      </c>
      <c r="EK29">
        <v>600001</v>
      </c>
      <c r="EL29" t="s">
        <v>23</v>
      </c>
      <c r="EM29" t="s">
        <v>24</v>
      </c>
      <c r="EO29" t="s">
        <v>3</v>
      </c>
      <c r="EQ29">
        <v>512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Q29">
        <v>0</v>
      </c>
      <c r="FR29">
        <f t="shared" si="33"/>
        <v>6461.69</v>
      </c>
      <c r="FS29">
        <v>0</v>
      </c>
      <c r="FX29">
        <v>0</v>
      </c>
      <c r="FY29">
        <v>0</v>
      </c>
    </row>
    <row r="30" spans="1:181">
      <c r="A30">
        <v>17</v>
      </c>
      <c r="B30">
        <v>1</v>
      </c>
      <c r="E30" t="s">
        <v>28</v>
      </c>
      <c r="F30" t="s">
        <v>18</v>
      </c>
      <c r="G30" t="s">
        <v>29</v>
      </c>
      <c r="H30" t="s">
        <v>20</v>
      </c>
      <c r="I30">
        <v>3</v>
      </c>
      <c r="J30">
        <v>0</v>
      </c>
      <c r="O30">
        <f t="shared" si="3"/>
        <v>12438.3</v>
      </c>
      <c r="P30">
        <f t="shared" si="4"/>
        <v>12438.3</v>
      </c>
      <c r="Q30">
        <f t="shared" si="5"/>
        <v>0</v>
      </c>
      <c r="R30">
        <f t="shared" si="6"/>
        <v>0</v>
      </c>
      <c r="S30">
        <f t="shared" si="7"/>
        <v>0</v>
      </c>
      <c r="T30">
        <f t="shared" si="8"/>
        <v>0</v>
      </c>
      <c r="U30">
        <f t="shared" si="9"/>
        <v>0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AA30">
        <v>0</v>
      </c>
      <c r="AB30">
        <f t="shared" si="14"/>
        <v>1692.2860000000001</v>
      </c>
      <c r="AC30">
        <f>ROUND((4892.4/1.18/2.45),3)</f>
        <v>1692.2860000000001</v>
      </c>
      <c r="AD30">
        <f t="shared" si="15"/>
        <v>0</v>
      </c>
      <c r="AE30">
        <f t="shared" si="16"/>
        <v>0</v>
      </c>
      <c r="AF30">
        <f t="shared" si="17"/>
        <v>0</v>
      </c>
      <c r="AG30">
        <f t="shared" si="18"/>
        <v>0</v>
      </c>
      <c r="AH30">
        <f t="shared" si="19"/>
        <v>0</v>
      </c>
      <c r="AI30">
        <f t="shared" si="20"/>
        <v>0</v>
      </c>
      <c r="AJ30">
        <f t="shared" si="21"/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2.4500000000000002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3</v>
      </c>
      <c r="BJ30" t="s">
        <v>3</v>
      </c>
      <c r="BM30">
        <v>600001</v>
      </c>
      <c r="BN30">
        <v>0</v>
      </c>
      <c r="BO30" t="s">
        <v>3</v>
      </c>
      <c r="BP30">
        <v>0</v>
      </c>
      <c r="BQ30">
        <v>5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0</v>
      </c>
      <c r="CA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22"/>
        <v>12438.3</v>
      </c>
      <c r="CQ30">
        <f t="shared" si="23"/>
        <v>4146.1007000000009</v>
      </c>
      <c r="CR30">
        <f t="shared" si="24"/>
        <v>0</v>
      </c>
      <c r="CS30">
        <f t="shared" si="25"/>
        <v>0</v>
      </c>
      <c r="CT30">
        <f t="shared" si="26"/>
        <v>0</v>
      </c>
      <c r="CU30">
        <f t="shared" si="27"/>
        <v>0</v>
      </c>
      <c r="CV30">
        <f t="shared" si="28"/>
        <v>0</v>
      </c>
      <c r="CW30">
        <f t="shared" si="29"/>
        <v>0</v>
      </c>
      <c r="CX30">
        <f t="shared" si="30"/>
        <v>0</v>
      </c>
      <c r="CY30">
        <f t="shared" si="31"/>
        <v>0</v>
      </c>
      <c r="CZ30">
        <f t="shared" si="32"/>
        <v>0</v>
      </c>
      <c r="DC30" t="s">
        <v>3</v>
      </c>
      <c r="DD30" t="s">
        <v>30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R30">
        <v>1</v>
      </c>
      <c r="DS30">
        <v>1</v>
      </c>
      <c r="DT30">
        <v>1</v>
      </c>
      <c r="DU30">
        <v>1010</v>
      </c>
      <c r="DV30" t="s">
        <v>20</v>
      </c>
      <c r="DW30" t="s">
        <v>20</v>
      </c>
      <c r="DX30">
        <v>1</v>
      </c>
      <c r="EE30">
        <v>21331496</v>
      </c>
      <c r="EF30">
        <v>5</v>
      </c>
      <c r="EG30" t="s">
        <v>22</v>
      </c>
      <c r="EH30">
        <v>0</v>
      </c>
      <c r="EI30" t="s">
        <v>3</v>
      </c>
      <c r="EJ30">
        <v>3</v>
      </c>
      <c r="EK30">
        <v>600001</v>
      </c>
      <c r="EL30" t="s">
        <v>23</v>
      </c>
      <c r="EM30" t="s">
        <v>24</v>
      </c>
      <c r="EO30" t="s">
        <v>3</v>
      </c>
      <c r="EQ30">
        <v>512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Q30">
        <v>0</v>
      </c>
      <c r="FR30">
        <f t="shared" si="33"/>
        <v>12438.3</v>
      </c>
      <c r="FS30">
        <v>0</v>
      </c>
      <c r="FX30">
        <v>0</v>
      </c>
      <c r="FY30">
        <v>0</v>
      </c>
    </row>
    <row r="31" spans="1:181">
      <c r="A31">
        <v>17</v>
      </c>
      <c r="B31">
        <v>1</v>
      </c>
      <c r="E31" t="s">
        <v>31</v>
      </c>
      <c r="F31" t="s">
        <v>18</v>
      </c>
      <c r="G31" t="s">
        <v>572</v>
      </c>
      <c r="H31" t="s">
        <v>20</v>
      </c>
      <c r="I31">
        <v>1</v>
      </c>
      <c r="J31">
        <v>0</v>
      </c>
      <c r="O31">
        <f t="shared" si="3"/>
        <v>3744.41</v>
      </c>
      <c r="P31">
        <f t="shared" si="4"/>
        <v>3744.41</v>
      </c>
      <c r="Q31">
        <f t="shared" si="5"/>
        <v>0</v>
      </c>
      <c r="R31">
        <f t="shared" si="6"/>
        <v>0</v>
      </c>
      <c r="S31">
        <f t="shared" si="7"/>
        <v>0</v>
      </c>
      <c r="T31">
        <f t="shared" si="8"/>
        <v>0</v>
      </c>
      <c r="U31">
        <f t="shared" si="9"/>
        <v>0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AA31">
        <v>0</v>
      </c>
      <c r="AB31">
        <f t="shared" si="14"/>
        <v>1528.329</v>
      </c>
      <c r="AC31">
        <f>ROUND((4418.4/1.18/2.45),3)</f>
        <v>1528.329</v>
      </c>
      <c r="AD31">
        <f t="shared" si="15"/>
        <v>0</v>
      </c>
      <c r="AE31">
        <f t="shared" si="16"/>
        <v>0</v>
      </c>
      <c r="AF31">
        <f t="shared" si="17"/>
        <v>0</v>
      </c>
      <c r="AG31">
        <f t="shared" si="18"/>
        <v>0</v>
      </c>
      <c r="AH31">
        <f t="shared" si="19"/>
        <v>0</v>
      </c>
      <c r="AI31">
        <f t="shared" si="20"/>
        <v>0</v>
      </c>
      <c r="AJ31">
        <f t="shared" si="21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2.4500000000000002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3</v>
      </c>
      <c r="BJ31" t="s">
        <v>3</v>
      </c>
      <c r="BM31">
        <v>600001</v>
      </c>
      <c r="BN31">
        <v>0</v>
      </c>
      <c r="BO31" t="s">
        <v>3</v>
      </c>
      <c r="BP31">
        <v>0</v>
      </c>
      <c r="BQ31">
        <v>5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2"/>
        <v>3744.41</v>
      </c>
      <c r="CQ31">
        <f t="shared" si="23"/>
        <v>3744.4060500000001</v>
      </c>
      <c r="CR31">
        <f t="shared" si="24"/>
        <v>0</v>
      </c>
      <c r="CS31">
        <f t="shared" si="25"/>
        <v>0</v>
      </c>
      <c r="CT31">
        <f t="shared" si="26"/>
        <v>0</v>
      </c>
      <c r="CU31">
        <f t="shared" si="27"/>
        <v>0</v>
      </c>
      <c r="CV31">
        <f t="shared" si="28"/>
        <v>0</v>
      </c>
      <c r="CW31">
        <f t="shared" si="29"/>
        <v>0</v>
      </c>
      <c r="CX31">
        <f t="shared" si="30"/>
        <v>0</v>
      </c>
      <c r="CY31">
        <f t="shared" si="31"/>
        <v>0</v>
      </c>
      <c r="CZ31">
        <f t="shared" si="32"/>
        <v>0</v>
      </c>
      <c r="DC31" t="s">
        <v>3</v>
      </c>
      <c r="DD31" t="s">
        <v>32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R31">
        <v>1</v>
      </c>
      <c r="DS31">
        <v>1</v>
      </c>
      <c r="DT31">
        <v>1</v>
      </c>
      <c r="DU31">
        <v>1010</v>
      </c>
      <c r="DV31" t="s">
        <v>20</v>
      </c>
      <c r="DW31" t="s">
        <v>20</v>
      </c>
      <c r="DX31">
        <v>1</v>
      </c>
      <c r="EE31">
        <v>21331496</v>
      </c>
      <c r="EF31">
        <v>5</v>
      </c>
      <c r="EG31" t="s">
        <v>22</v>
      </c>
      <c r="EH31">
        <v>0</v>
      </c>
      <c r="EI31" t="s">
        <v>3</v>
      </c>
      <c r="EJ31">
        <v>3</v>
      </c>
      <c r="EK31">
        <v>600001</v>
      </c>
      <c r="EL31" t="s">
        <v>23</v>
      </c>
      <c r="EM31" t="s">
        <v>24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Q31">
        <v>0</v>
      </c>
      <c r="FR31">
        <f t="shared" si="33"/>
        <v>3744.41</v>
      </c>
      <c r="FS31">
        <v>0</v>
      </c>
      <c r="FX31">
        <v>0</v>
      </c>
      <c r="FY31">
        <v>0</v>
      </c>
    </row>
    <row r="32" spans="1:181">
      <c r="A32">
        <v>17</v>
      </c>
      <c r="B32">
        <v>1</v>
      </c>
      <c r="E32" t="s">
        <v>33</v>
      </c>
      <c r="F32" t="s">
        <v>18</v>
      </c>
      <c r="G32" t="s">
        <v>34</v>
      </c>
      <c r="H32" t="s">
        <v>20</v>
      </c>
      <c r="I32">
        <v>1</v>
      </c>
      <c r="J32">
        <v>0</v>
      </c>
      <c r="O32">
        <f t="shared" si="3"/>
        <v>3967.12</v>
      </c>
      <c r="P32">
        <f t="shared" si="4"/>
        <v>3967.12</v>
      </c>
      <c r="Q32">
        <f t="shared" si="5"/>
        <v>0</v>
      </c>
      <c r="R32">
        <f t="shared" si="6"/>
        <v>0</v>
      </c>
      <c r="S32">
        <f t="shared" si="7"/>
        <v>0</v>
      </c>
      <c r="T32">
        <f t="shared" si="8"/>
        <v>0</v>
      </c>
      <c r="U32">
        <f t="shared" si="9"/>
        <v>0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AA32">
        <v>0</v>
      </c>
      <c r="AB32">
        <f t="shared" si="14"/>
        <v>1619.232</v>
      </c>
      <c r="AC32">
        <f>ROUND((4681.2/1.18/2.45),3)</f>
        <v>1619.232</v>
      </c>
      <c r="AD32">
        <f t="shared" si="15"/>
        <v>0</v>
      </c>
      <c r="AE32">
        <f t="shared" si="16"/>
        <v>0</v>
      </c>
      <c r="AF32">
        <f t="shared" si="17"/>
        <v>0</v>
      </c>
      <c r="AG32">
        <f t="shared" si="18"/>
        <v>0</v>
      </c>
      <c r="AH32">
        <f t="shared" si="19"/>
        <v>0</v>
      </c>
      <c r="AI32">
        <f t="shared" si="20"/>
        <v>0</v>
      </c>
      <c r="AJ32">
        <f t="shared" si="21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2.4500000000000002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3</v>
      </c>
      <c r="BJ32" t="s">
        <v>3</v>
      </c>
      <c r="BM32">
        <v>600001</v>
      </c>
      <c r="BN32">
        <v>0</v>
      </c>
      <c r="BO32" t="s">
        <v>3</v>
      </c>
      <c r="BP32">
        <v>0</v>
      </c>
      <c r="BQ32">
        <v>5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22"/>
        <v>3967.12</v>
      </c>
      <c r="CQ32">
        <f t="shared" si="23"/>
        <v>3967.1184000000003</v>
      </c>
      <c r="CR32">
        <f t="shared" si="24"/>
        <v>0</v>
      </c>
      <c r="CS32">
        <f t="shared" si="25"/>
        <v>0</v>
      </c>
      <c r="CT32">
        <f t="shared" si="26"/>
        <v>0</v>
      </c>
      <c r="CU32">
        <f t="shared" si="27"/>
        <v>0</v>
      </c>
      <c r="CV32">
        <f t="shared" si="28"/>
        <v>0</v>
      </c>
      <c r="CW32">
        <f t="shared" si="29"/>
        <v>0</v>
      </c>
      <c r="CX32">
        <f t="shared" si="30"/>
        <v>0</v>
      </c>
      <c r="CY32">
        <f t="shared" si="31"/>
        <v>0</v>
      </c>
      <c r="CZ32">
        <f t="shared" si="32"/>
        <v>0</v>
      </c>
      <c r="DC32" t="s">
        <v>3</v>
      </c>
      <c r="DD32" t="s">
        <v>35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R32">
        <v>1</v>
      </c>
      <c r="DS32">
        <v>1</v>
      </c>
      <c r="DT32">
        <v>1</v>
      </c>
      <c r="DU32">
        <v>1010</v>
      </c>
      <c r="DV32" t="s">
        <v>20</v>
      </c>
      <c r="DW32" t="s">
        <v>20</v>
      </c>
      <c r="DX32">
        <v>1</v>
      </c>
      <c r="EE32">
        <v>21331496</v>
      </c>
      <c r="EF32">
        <v>5</v>
      </c>
      <c r="EG32" t="s">
        <v>22</v>
      </c>
      <c r="EH32">
        <v>0</v>
      </c>
      <c r="EI32" t="s">
        <v>3</v>
      </c>
      <c r="EJ32">
        <v>3</v>
      </c>
      <c r="EK32">
        <v>600001</v>
      </c>
      <c r="EL32" t="s">
        <v>23</v>
      </c>
      <c r="EM32" t="s">
        <v>24</v>
      </c>
      <c r="EO32" t="s">
        <v>3</v>
      </c>
      <c r="EQ32">
        <v>512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Q32">
        <v>0</v>
      </c>
      <c r="FR32">
        <f t="shared" si="33"/>
        <v>3967.12</v>
      </c>
      <c r="FS32">
        <v>0</v>
      </c>
      <c r="FX32">
        <v>0</v>
      </c>
      <c r="FY32">
        <v>0</v>
      </c>
    </row>
    <row r="33" spans="1:181">
      <c r="A33">
        <v>17</v>
      </c>
      <c r="B33">
        <v>1</v>
      </c>
      <c r="E33" t="s">
        <v>36</v>
      </c>
      <c r="F33" t="s">
        <v>18</v>
      </c>
      <c r="G33" t="s">
        <v>37</v>
      </c>
      <c r="H33" t="s">
        <v>20</v>
      </c>
      <c r="I33">
        <v>1</v>
      </c>
      <c r="J33">
        <v>0</v>
      </c>
      <c r="O33">
        <f t="shared" si="3"/>
        <v>3165.56</v>
      </c>
      <c r="P33">
        <f t="shared" si="4"/>
        <v>3165.56</v>
      </c>
      <c r="Q33">
        <f t="shared" si="5"/>
        <v>0</v>
      </c>
      <c r="R33">
        <f t="shared" si="6"/>
        <v>0</v>
      </c>
      <c r="S33">
        <f t="shared" si="7"/>
        <v>0</v>
      </c>
      <c r="T33">
        <f t="shared" si="8"/>
        <v>0</v>
      </c>
      <c r="U33">
        <f t="shared" si="9"/>
        <v>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AA33">
        <v>0</v>
      </c>
      <c r="AB33">
        <f t="shared" si="14"/>
        <v>1138.69</v>
      </c>
      <c r="AC33">
        <f>ROUND((3735.36/1.18/2.78),3)</f>
        <v>1138.69</v>
      </c>
      <c r="AD33">
        <f t="shared" si="15"/>
        <v>0</v>
      </c>
      <c r="AE33">
        <f t="shared" si="16"/>
        <v>0</v>
      </c>
      <c r="AF33">
        <f t="shared" si="17"/>
        <v>0</v>
      </c>
      <c r="AG33">
        <f t="shared" si="18"/>
        <v>0</v>
      </c>
      <c r="AH33">
        <f t="shared" si="19"/>
        <v>0</v>
      </c>
      <c r="AI33">
        <f t="shared" si="20"/>
        <v>0</v>
      </c>
      <c r="AJ33">
        <f t="shared" si="21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2.78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3</v>
      </c>
      <c r="BJ33" t="s">
        <v>3</v>
      </c>
      <c r="BM33">
        <v>600001</v>
      </c>
      <c r="BN33">
        <v>0</v>
      </c>
      <c r="BO33" t="s">
        <v>3</v>
      </c>
      <c r="BP33">
        <v>0</v>
      </c>
      <c r="BQ33">
        <v>5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2"/>
        <v>3165.56</v>
      </c>
      <c r="CQ33">
        <f t="shared" si="23"/>
        <v>3165.5581999999999</v>
      </c>
      <c r="CR33">
        <f t="shared" si="24"/>
        <v>0</v>
      </c>
      <c r="CS33">
        <f t="shared" si="25"/>
        <v>0</v>
      </c>
      <c r="CT33">
        <f t="shared" si="26"/>
        <v>0</v>
      </c>
      <c r="CU33">
        <f t="shared" si="27"/>
        <v>0</v>
      </c>
      <c r="CV33">
        <f t="shared" si="28"/>
        <v>0</v>
      </c>
      <c r="CW33">
        <f t="shared" si="29"/>
        <v>0</v>
      </c>
      <c r="CX33">
        <f t="shared" si="30"/>
        <v>0</v>
      </c>
      <c r="CY33">
        <f t="shared" si="31"/>
        <v>0</v>
      </c>
      <c r="CZ33">
        <f t="shared" si="32"/>
        <v>0</v>
      </c>
      <c r="DC33" t="s">
        <v>3</v>
      </c>
      <c r="DD33" t="s">
        <v>38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R33">
        <v>1</v>
      </c>
      <c r="DS33">
        <v>1</v>
      </c>
      <c r="DT33">
        <v>1</v>
      </c>
      <c r="DU33">
        <v>1010</v>
      </c>
      <c r="DV33" t="s">
        <v>20</v>
      </c>
      <c r="DW33" t="s">
        <v>20</v>
      </c>
      <c r="DX33">
        <v>1</v>
      </c>
      <c r="EE33">
        <v>21331496</v>
      </c>
      <c r="EF33">
        <v>5</v>
      </c>
      <c r="EG33" t="s">
        <v>22</v>
      </c>
      <c r="EH33">
        <v>0</v>
      </c>
      <c r="EI33" t="s">
        <v>3</v>
      </c>
      <c r="EJ33">
        <v>3</v>
      </c>
      <c r="EK33">
        <v>600001</v>
      </c>
      <c r="EL33" t="s">
        <v>23</v>
      </c>
      <c r="EM33" t="s">
        <v>24</v>
      </c>
      <c r="EO33" t="s">
        <v>3</v>
      </c>
      <c r="EQ33">
        <v>512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Q33">
        <v>0</v>
      </c>
      <c r="FR33">
        <f t="shared" si="33"/>
        <v>3165.56</v>
      </c>
      <c r="FS33">
        <v>0</v>
      </c>
      <c r="FX33">
        <v>0</v>
      </c>
      <c r="FY33">
        <v>0</v>
      </c>
    </row>
    <row r="34" spans="1:181">
      <c r="A34">
        <v>17</v>
      </c>
      <c r="B34">
        <v>1</v>
      </c>
      <c r="E34" t="s">
        <v>39</v>
      </c>
      <c r="F34" t="s">
        <v>18</v>
      </c>
      <c r="G34" t="s">
        <v>40</v>
      </c>
      <c r="H34" t="s">
        <v>20</v>
      </c>
      <c r="I34">
        <v>1</v>
      </c>
      <c r="J34">
        <v>0</v>
      </c>
      <c r="O34">
        <f t="shared" si="3"/>
        <v>874.58</v>
      </c>
      <c r="P34">
        <f t="shared" si="4"/>
        <v>874.58</v>
      </c>
      <c r="Q34">
        <f t="shared" si="5"/>
        <v>0</v>
      </c>
      <c r="R34">
        <f t="shared" si="6"/>
        <v>0</v>
      </c>
      <c r="S34">
        <f t="shared" si="7"/>
        <v>0</v>
      </c>
      <c r="T34">
        <f t="shared" si="8"/>
        <v>0</v>
      </c>
      <c r="U34">
        <f t="shared" si="9"/>
        <v>0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AA34">
        <v>0</v>
      </c>
      <c r="AB34">
        <f t="shared" si="14"/>
        <v>314.596</v>
      </c>
      <c r="AC34">
        <f>ROUND((1032/1.18/2.78),3)</f>
        <v>314.596</v>
      </c>
      <c r="AD34">
        <f t="shared" si="15"/>
        <v>0</v>
      </c>
      <c r="AE34">
        <f t="shared" si="16"/>
        <v>0</v>
      </c>
      <c r="AF34">
        <f t="shared" si="17"/>
        <v>0</v>
      </c>
      <c r="AG34">
        <f t="shared" si="18"/>
        <v>0</v>
      </c>
      <c r="AH34">
        <f t="shared" si="19"/>
        <v>0</v>
      </c>
      <c r="AI34">
        <f t="shared" si="20"/>
        <v>0</v>
      </c>
      <c r="AJ34">
        <f t="shared" si="21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2.78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3</v>
      </c>
      <c r="BJ34" t="s">
        <v>3</v>
      </c>
      <c r="BM34">
        <v>600001</v>
      </c>
      <c r="BN34">
        <v>0</v>
      </c>
      <c r="BO34" t="s">
        <v>3</v>
      </c>
      <c r="BP34">
        <v>0</v>
      </c>
      <c r="BQ34">
        <v>5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22"/>
        <v>874.58</v>
      </c>
      <c r="CQ34">
        <f t="shared" si="23"/>
        <v>874.57687999999996</v>
      </c>
      <c r="CR34">
        <f t="shared" si="24"/>
        <v>0</v>
      </c>
      <c r="CS34">
        <f t="shared" si="25"/>
        <v>0</v>
      </c>
      <c r="CT34">
        <f t="shared" si="26"/>
        <v>0</v>
      </c>
      <c r="CU34">
        <f t="shared" si="27"/>
        <v>0</v>
      </c>
      <c r="CV34">
        <f t="shared" si="28"/>
        <v>0</v>
      </c>
      <c r="CW34">
        <f t="shared" si="29"/>
        <v>0</v>
      </c>
      <c r="CX34">
        <f t="shared" si="30"/>
        <v>0</v>
      </c>
      <c r="CY34">
        <f t="shared" si="31"/>
        <v>0</v>
      </c>
      <c r="CZ34">
        <f t="shared" si="32"/>
        <v>0</v>
      </c>
      <c r="DC34" t="s">
        <v>3</v>
      </c>
      <c r="DD34" t="s">
        <v>41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R34">
        <v>1</v>
      </c>
      <c r="DS34">
        <v>1</v>
      </c>
      <c r="DT34">
        <v>1</v>
      </c>
      <c r="DU34">
        <v>1010</v>
      </c>
      <c r="DV34" t="s">
        <v>20</v>
      </c>
      <c r="DW34" t="s">
        <v>20</v>
      </c>
      <c r="DX34">
        <v>1</v>
      </c>
      <c r="EE34">
        <v>21331496</v>
      </c>
      <c r="EF34">
        <v>5</v>
      </c>
      <c r="EG34" t="s">
        <v>22</v>
      </c>
      <c r="EH34">
        <v>0</v>
      </c>
      <c r="EI34" t="s">
        <v>3</v>
      </c>
      <c r="EJ34">
        <v>3</v>
      </c>
      <c r="EK34">
        <v>600001</v>
      </c>
      <c r="EL34" t="s">
        <v>23</v>
      </c>
      <c r="EM34" t="s">
        <v>24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Q34">
        <v>0</v>
      </c>
      <c r="FR34">
        <f t="shared" si="33"/>
        <v>874.58</v>
      </c>
      <c r="FS34">
        <v>0</v>
      </c>
      <c r="FX34">
        <v>0</v>
      </c>
      <c r="FY34">
        <v>0</v>
      </c>
    </row>
    <row r="35" spans="1:181">
      <c r="A35">
        <v>17</v>
      </c>
      <c r="B35">
        <v>1</v>
      </c>
      <c r="E35" t="s">
        <v>42</v>
      </c>
      <c r="F35" t="s">
        <v>18</v>
      </c>
      <c r="G35" t="s">
        <v>43</v>
      </c>
      <c r="H35" t="s">
        <v>20</v>
      </c>
      <c r="I35">
        <v>1</v>
      </c>
      <c r="J35">
        <v>0</v>
      </c>
      <c r="O35">
        <f t="shared" si="3"/>
        <v>168.81</v>
      </c>
      <c r="P35">
        <f t="shared" si="4"/>
        <v>168.81</v>
      </c>
      <c r="Q35">
        <f t="shared" si="5"/>
        <v>0</v>
      </c>
      <c r="R35">
        <f t="shared" si="6"/>
        <v>0</v>
      </c>
      <c r="S35">
        <f t="shared" si="7"/>
        <v>0</v>
      </c>
      <c r="T35">
        <f t="shared" si="8"/>
        <v>0</v>
      </c>
      <c r="U35">
        <f t="shared" si="9"/>
        <v>0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AA35">
        <v>0</v>
      </c>
      <c r="AB35">
        <f t="shared" si="14"/>
        <v>68.903000000000006</v>
      </c>
      <c r="AC35">
        <f>ROUND((199.2/1.18/2.45),3)</f>
        <v>68.903000000000006</v>
      </c>
      <c r="AD35">
        <f t="shared" si="15"/>
        <v>0</v>
      </c>
      <c r="AE35">
        <f t="shared" si="16"/>
        <v>0</v>
      </c>
      <c r="AF35">
        <f t="shared" si="17"/>
        <v>0</v>
      </c>
      <c r="AG35">
        <f t="shared" si="18"/>
        <v>0</v>
      </c>
      <c r="AH35">
        <f t="shared" si="19"/>
        <v>0</v>
      </c>
      <c r="AI35">
        <f t="shared" si="20"/>
        <v>0</v>
      </c>
      <c r="AJ35">
        <f t="shared" si="21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2.4500000000000002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3</v>
      </c>
      <c r="BJ35" t="s">
        <v>3</v>
      </c>
      <c r="BM35">
        <v>600001</v>
      </c>
      <c r="BN35">
        <v>0</v>
      </c>
      <c r="BO35" t="s">
        <v>3</v>
      </c>
      <c r="BP35">
        <v>0</v>
      </c>
      <c r="BQ35">
        <v>5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22"/>
        <v>168.81</v>
      </c>
      <c r="CQ35">
        <f t="shared" si="23"/>
        <v>168.81235000000004</v>
      </c>
      <c r="CR35">
        <f t="shared" si="24"/>
        <v>0</v>
      </c>
      <c r="CS35">
        <f t="shared" si="25"/>
        <v>0</v>
      </c>
      <c r="CT35">
        <f t="shared" si="26"/>
        <v>0</v>
      </c>
      <c r="CU35">
        <f t="shared" si="27"/>
        <v>0</v>
      </c>
      <c r="CV35">
        <f t="shared" si="28"/>
        <v>0</v>
      </c>
      <c r="CW35">
        <f t="shared" si="29"/>
        <v>0</v>
      </c>
      <c r="CX35">
        <f t="shared" si="30"/>
        <v>0</v>
      </c>
      <c r="CY35">
        <f t="shared" si="31"/>
        <v>0</v>
      </c>
      <c r="CZ35">
        <f t="shared" si="32"/>
        <v>0</v>
      </c>
      <c r="DC35" t="s">
        <v>3</v>
      </c>
      <c r="DD35" t="s">
        <v>44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R35">
        <v>1</v>
      </c>
      <c r="DS35">
        <v>1</v>
      </c>
      <c r="DT35">
        <v>1</v>
      </c>
      <c r="DU35">
        <v>1010</v>
      </c>
      <c r="DV35" t="s">
        <v>20</v>
      </c>
      <c r="DW35" t="s">
        <v>20</v>
      </c>
      <c r="DX35">
        <v>1</v>
      </c>
      <c r="EE35">
        <v>21331496</v>
      </c>
      <c r="EF35">
        <v>5</v>
      </c>
      <c r="EG35" t="s">
        <v>22</v>
      </c>
      <c r="EH35">
        <v>0</v>
      </c>
      <c r="EI35" t="s">
        <v>3</v>
      </c>
      <c r="EJ35">
        <v>3</v>
      </c>
      <c r="EK35">
        <v>600001</v>
      </c>
      <c r="EL35" t="s">
        <v>23</v>
      </c>
      <c r="EM35" t="s">
        <v>24</v>
      </c>
      <c r="EO35" t="s">
        <v>3</v>
      </c>
      <c r="EQ35">
        <v>512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Q35">
        <v>0</v>
      </c>
      <c r="FR35">
        <f t="shared" si="33"/>
        <v>168.81</v>
      </c>
      <c r="FS35">
        <v>0</v>
      </c>
      <c r="FX35">
        <v>0</v>
      </c>
      <c r="FY35">
        <v>0</v>
      </c>
    </row>
    <row r="36" spans="1:181">
      <c r="A36">
        <v>17</v>
      </c>
      <c r="B36">
        <v>1</v>
      </c>
      <c r="E36" t="s">
        <v>45</v>
      </c>
      <c r="F36" t="s">
        <v>18</v>
      </c>
      <c r="G36" t="s">
        <v>46</v>
      </c>
      <c r="H36" t="s">
        <v>47</v>
      </c>
      <c r="I36">
        <v>100</v>
      </c>
      <c r="J36">
        <v>0</v>
      </c>
      <c r="O36">
        <f t="shared" si="3"/>
        <v>9046.33</v>
      </c>
      <c r="P36">
        <f t="shared" si="4"/>
        <v>9046.33</v>
      </c>
      <c r="Q36">
        <f t="shared" si="5"/>
        <v>0</v>
      </c>
      <c r="R36">
        <f t="shared" si="6"/>
        <v>0</v>
      </c>
      <c r="S36">
        <f t="shared" si="7"/>
        <v>0</v>
      </c>
      <c r="T36">
        <f t="shared" si="8"/>
        <v>0</v>
      </c>
      <c r="U36">
        <f t="shared" si="9"/>
        <v>0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AA36">
        <v>0</v>
      </c>
      <c r="AB36">
        <f t="shared" si="14"/>
        <v>25.626999999999999</v>
      </c>
      <c r="AC36">
        <f>ROUND((30.24/1.18),3)</f>
        <v>25.626999999999999</v>
      </c>
      <c r="AD36">
        <f t="shared" si="15"/>
        <v>0</v>
      </c>
      <c r="AE36">
        <f t="shared" si="16"/>
        <v>0</v>
      </c>
      <c r="AF36">
        <f t="shared" si="17"/>
        <v>0</v>
      </c>
      <c r="AG36">
        <f t="shared" si="18"/>
        <v>0</v>
      </c>
      <c r="AH36">
        <f t="shared" si="19"/>
        <v>0</v>
      </c>
      <c r="AI36">
        <f t="shared" si="20"/>
        <v>0</v>
      </c>
      <c r="AJ36">
        <f t="shared" si="21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3.53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4</v>
      </c>
      <c r="BJ36" t="s">
        <v>3</v>
      </c>
      <c r="BM36">
        <v>0</v>
      </c>
      <c r="BN36">
        <v>0</v>
      </c>
      <c r="BO36" t="s">
        <v>3</v>
      </c>
      <c r="BP36">
        <v>0</v>
      </c>
      <c r="BQ36">
        <v>1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22"/>
        <v>9046.33</v>
      </c>
      <c r="CQ36">
        <f t="shared" si="23"/>
        <v>90.463309999999993</v>
      </c>
      <c r="CR36">
        <f t="shared" si="24"/>
        <v>0</v>
      </c>
      <c r="CS36">
        <f t="shared" si="25"/>
        <v>0</v>
      </c>
      <c r="CT36">
        <f t="shared" si="26"/>
        <v>0</v>
      </c>
      <c r="CU36">
        <f t="shared" si="27"/>
        <v>0</v>
      </c>
      <c r="CV36">
        <f t="shared" si="28"/>
        <v>0</v>
      </c>
      <c r="CW36">
        <f t="shared" si="29"/>
        <v>0</v>
      </c>
      <c r="CX36">
        <f t="shared" si="30"/>
        <v>0</v>
      </c>
      <c r="CY36">
        <f t="shared" ref="CY36:CY41" si="34">((S36+R36)*(ROUND((FX36*IF(1,(IF(0,0.94,0.85)*IF(0,0.85,1)),1)),IF(1,0,2))/100))</f>
        <v>0</v>
      </c>
      <c r="CZ36">
        <f t="shared" ref="CZ36:CZ41" si="35">((S36+R36)*(ROUND((FY36*IF(1,0.8,1)),IF(1,0,2))/100))</f>
        <v>0</v>
      </c>
      <c r="DC36" t="s">
        <v>3</v>
      </c>
      <c r="DD36" t="s">
        <v>48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R36">
        <v>1</v>
      </c>
      <c r="DS36">
        <v>1</v>
      </c>
      <c r="DT36">
        <v>1</v>
      </c>
      <c r="DU36">
        <v>1003</v>
      </c>
      <c r="DV36" t="s">
        <v>47</v>
      </c>
      <c r="DW36" t="s">
        <v>47</v>
      </c>
      <c r="DX36">
        <v>1</v>
      </c>
      <c r="EE36">
        <v>21331503</v>
      </c>
      <c r="EF36">
        <v>1</v>
      </c>
      <c r="EG36" t="s">
        <v>49</v>
      </c>
      <c r="EH36">
        <v>0</v>
      </c>
      <c r="EI36" t="s">
        <v>3</v>
      </c>
      <c r="EJ36">
        <v>4</v>
      </c>
      <c r="EK36">
        <v>0</v>
      </c>
      <c r="EL36" t="s">
        <v>49</v>
      </c>
      <c r="EM36" t="s">
        <v>50</v>
      </c>
      <c r="EO36" t="s">
        <v>3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Q36">
        <v>0</v>
      </c>
      <c r="FR36">
        <f t="shared" si="33"/>
        <v>0</v>
      </c>
      <c r="FS36">
        <v>0</v>
      </c>
      <c r="FV36" t="s">
        <v>51</v>
      </c>
      <c r="FW36" t="s">
        <v>52</v>
      </c>
      <c r="FX36">
        <v>0</v>
      </c>
      <c r="FY36">
        <v>0</v>
      </c>
    </row>
    <row r="37" spans="1:181">
      <c r="A37">
        <v>17</v>
      </c>
      <c r="B37">
        <v>1</v>
      </c>
      <c r="E37" t="s">
        <v>53</v>
      </c>
      <c r="F37" t="s">
        <v>18</v>
      </c>
      <c r="G37" t="s">
        <v>54</v>
      </c>
      <c r="H37" t="s">
        <v>47</v>
      </c>
      <c r="I37">
        <v>100</v>
      </c>
      <c r="J37">
        <v>0</v>
      </c>
      <c r="O37">
        <f t="shared" si="3"/>
        <v>2248.39</v>
      </c>
      <c r="P37">
        <f t="shared" si="4"/>
        <v>2248.39</v>
      </c>
      <c r="Q37">
        <f t="shared" si="5"/>
        <v>0</v>
      </c>
      <c r="R37">
        <f t="shared" si="6"/>
        <v>0</v>
      </c>
      <c r="S37">
        <f t="shared" si="7"/>
        <v>0</v>
      </c>
      <c r="T37">
        <f t="shared" si="8"/>
        <v>0</v>
      </c>
      <c r="U37">
        <f t="shared" si="9"/>
        <v>0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AA37">
        <v>0</v>
      </c>
      <c r="AB37">
        <f t="shared" si="14"/>
        <v>8.5489999999999995</v>
      </c>
      <c r="AC37">
        <f>ROUND((26.53/1.18/2.63),3)</f>
        <v>8.5489999999999995</v>
      </c>
      <c r="AD37">
        <f t="shared" si="15"/>
        <v>0</v>
      </c>
      <c r="AE37">
        <f t="shared" si="16"/>
        <v>0</v>
      </c>
      <c r="AF37">
        <f t="shared" si="17"/>
        <v>0</v>
      </c>
      <c r="AG37">
        <f t="shared" si="18"/>
        <v>0</v>
      </c>
      <c r="AH37">
        <f t="shared" si="19"/>
        <v>0</v>
      </c>
      <c r="AI37">
        <f t="shared" si="20"/>
        <v>0</v>
      </c>
      <c r="AJ37">
        <f t="shared" si="21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2.63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4</v>
      </c>
      <c r="BJ37" t="s">
        <v>3</v>
      </c>
      <c r="BM37">
        <v>0</v>
      </c>
      <c r="BN37">
        <v>0</v>
      </c>
      <c r="BO37" t="s">
        <v>3</v>
      </c>
      <c r="BP37">
        <v>0</v>
      </c>
      <c r="BQ37">
        <v>1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2"/>
        <v>2248.39</v>
      </c>
      <c r="CQ37">
        <f t="shared" si="23"/>
        <v>22.483869999999996</v>
      </c>
      <c r="CR37">
        <f t="shared" si="24"/>
        <v>0</v>
      </c>
      <c r="CS37">
        <f t="shared" si="25"/>
        <v>0</v>
      </c>
      <c r="CT37">
        <f t="shared" si="26"/>
        <v>0</v>
      </c>
      <c r="CU37">
        <f t="shared" si="27"/>
        <v>0</v>
      </c>
      <c r="CV37">
        <f t="shared" si="28"/>
        <v>0</v>
      </c>
      <c r="CW37">
        <f t="shared" si="29"/>
        <v>0</v>
      </c>
      <c r="CX37">
        <f t="shared" si="30"/>
        <v>0</v>
      </c>
      <c r="CY37">
        <f t="shared" si="34"/>
        <v>0</v>
      </c>
      <c r="CZ37">
        <f t="shared" si="35"/>
        <v>0</v>
      </c>
      <c r="DC37" t="s">
        <v>3</v>
      </c>
      <c r="DD37" t="s">
        <v>55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R37">
        <v>1</v>
      </c>
      <c r="DS37">
        <v>1</v>
      </c>
      <c r="DT37">
        <v>1</v>
      </c>
      <c r="DU37">
        <v>1003</v>
      </c>
      <c r="DV37" t="s">
        <v>47</v>
      </c>
      <c r="DW37" t="s">
        <v>47</v>
      </c>
      <c r="DX37">
        <v>1</v>
      </c>
      <c r="EE37">
        <v>21331503</v>
      </c>
      <c r="EF37">
        <v>1</v>
      </c>
      <c r="EG37" t="s">
        <v>49</v>
      </c>
      <c r="EH37">
        <v>0</v>
      </c>
      <c r="EI37" t="s">
        <v>3</v>
      </c>
      <c r="EJ37">
        <v>4</v>
      </c>
      <c r="EK37">
        <v>0</v>
      </c>
      <c r="EL37" t="s">
        <v>49</v>
      </c>
      <c r="EM37" t="s">
        <v>50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Q37">
        <v>0</v>
      </c>
      <c r="FR37">
        <f t="shared" si="33"/>
        <v>0</v>
      </c>
      <c r="FS37">
        <v>0</v>
      </c>
      <c r="FV37" t="s">
        <v>51</v>
      </c>
      <c r="FW37" t="s">
        <v>52</v>
      </c>
      <c r="FX37">
        <v>0</v>
      </c>
      <c r="FY37">
        <v>0</v>
      </c>
    </row>
    <row r="38" spans="1:181">
      <c r="A38">
        <v>17</v>
      </c>
      <c r="B38">
        <v>1</v>
      </c>
      <c r="E38" t="s">
        <v>56</v>
      </c>
      <c r="F38" t="s">
        <v>18</v>
      </c>
      <c r="G38" t="s">
        <v>57</v>
      </c>
      <c r="H38" t="s">
        <v>47</v>
      </c>
      <c r="I38">
        <v>10</v>
      </c>
      <c r="J38">
        <v>0</v>
      </c>
      <c r="O38">
        <f t="shared" si="3"/>
        <v>127.63</v>
      </c>
      <c r="P38">
        <f t="shared" si="4"/>
        <v>127.63</v>
      </c>
      <c r="Q38">
        <f t="shared" si="5"/>
        <v>0</v>
      </c>
      <c r="R38">
        <f t="shared" si="6"/>
        <v>0</v>
      </c>
      <c r="S38">
        <f t="shared" si="7"/>
        <v>0</v>
      </c>
      <c r="T38">
        <f t="shared" si="8"/>
        <v>0</v>
      </c>
      <c r="U38">
        <f t="shared" si="9"/>
        <v>0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AA38">
        <v>0</v>
      </c>
      <c r="AB38">
        <f t="shared" si="14"/>
        <v>5.085</v>
      </c>
      <c r="AC38">
        <f>ROUND((6/1.18),3)</f>
        <v>5.085</v>
      </c>
      <c r="AD38">
        <f t="shared" si="15"/>
        <v>0</v>
      </c>
      <c r="AE38">
        <f t="shared" si="16"/>
        <v>0</v>
      </c>
      <c r="AF38">
        <f t="shared" si="17"/>
        <v>0</v>
      </c>
      <c r="AG38">
        <f t="shared" si="18"/>
        <v>0</v>
      </c>
      <c r="AH38">
        <f t="shared" si="19"/>
        <v>0</v>
      </c>
      <c r="AI38">
        <f t="shared" si="20"/>
        <v>0</v>
      </c>
      <c r="AJ38">
        <f t="shared" si="21"/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2.5099999999999998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4</v>
      </c>
      <c r="BJ38" t="s">
        <v>3</v>
      </c>
      <c r="BM38">
        <v>0</v>
      </c>
      <c r="BN38">
        <v>0</v>
      </c>
      <c r="BO38" t="s">
        <v>3</v>
      </c>
      <c r="BP38">
        <v>0</v>
      </c>
      <c r="BQ38">
        <v>1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22"/>
        <v>127.63</v>
      </c>
      <c r="CQ38">
        <f t="shared" si="23"/>
        <v>12.763349999999999</v>
      </c>
      <c r="CR38">
        <f t="shared" si="24"/>
        <v>0</v>
      </c>
      <c r="CS38">
        <f t="shared" si="25"/>
        <v>0</v>
      </c>
      <c r="CT38">
        <f t="shared" si="26"/>
        <v>0</v>
      </c>
      <c r="CU38">
        <f t="shared" si="27"/>
        <v>0</v>
      </c>
      <c r="CV38">
        <f t="shared" si="28"/>
        <v>0</v>
      </c>
      <c r="CW38">
        <f t="shared" si="29"/>
        <v>0</v>
      </c>
      <c r="CX38">
        <f t="shared" si="30"/>
        <v>0</v>
      </c>
      <c r="CY38">
        <f t="shared" si="34"/>
        <v>0</v>
      </c>
      <c r="CZ38">
        <f t="shared" si="35"/>
        <v>0</v>
      </c>
      <c r="DC38" t="s">
        <v>3</v>
      </c>
      <c r="DD38" t="s">
        <v>58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R38">
        <v>1</v>
      </c>
      <c r="DS38">
        <v>1</v>
      </c>
      <c r="DT38">
        <v>1</v>
      </c>
      <c r="DU38">
        <v>1003</v>
      </c>
      <c r="DV38" t="s">
        <v>47</v>
      </c>
      <c r="DW38" t="s">
        <v>47</v>
      </c>
      <c r="DX38">
        <v>1</v>
      </c>
      <c r="EE38">
        <v>21331503</v>
      </c>
      <c r="EF38">
        <v>1</v>
      </c>
      <c r="EG38" t="s">
        <v>49</v>
      </c>
      <c r="EH38">
        <v>0</v>
      </c>
      <c r="EI38" t="s">
        <v>3</v>
      </c>
      <c r="EJ38">
        <v>4</v>
      </c>
      <c r="EK38">
        <v>0</v>
      </c>
      <c r="EL38" t="s">
        <v>49</v>
      </c>
      <c r="EM38" t="s">
        <v>50</v>
      </c>
      <c r="EO38" t="s">
        <v>3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Q38">
        <v>0</v>
      </c>
      <c r="FR38">
        <f t="shared" si="33"/>
        <v>0</v>
      </c>
      <c r="FS38">
        <v>0</v>
      </c>
      <c r="FV38" t="s">
        <v>51</v>
      </c>
      <c r="FW38" t="s">
        <v>52</v>
      </c>
      <c r="FX38">
        <v>0</v>
      </c>
      <c r="FY38">
        <v>0</v>
      </c>
    </row>
    <row r="39" spans="1:181">
      <c r="A39">
        <v>17</v>
      </c>
      <c r="B39">
        <v>1</v>
      </c>
      <c r="E39" t="s">
        <v>59</v>
      </c>
      <c r="F39" t="s">
        <v>18</v>
      </c>
      <c r="G39" t="s">
        <v>60</v>
      </c>
      <c r="H39" t="s">
        <v>20</v>
      </c>
      <c r="I39">
        <v>4</v>
      </c>
      <c r="J39">
        <v>0</v>
      </c>
      <c r="O39">
        <f t="shared" si="3"/>
        <v>81.36</v>
      </c>
      <c r="P39">
        <f t="shared" si="4"/>
        <v>81.36</v>
      </c>
      <c r="Q39">
        <f t="shared" si="5"/>
        <v>0</v>
      </c>
      <c r="R39">
        <f t="shared" si="6"/>
        <v>0</v>
      </c>
      <c r="S39">
        <f t="shared" si="7"/>
        <v>0</v>
      </c>
      <c r="T39">
        <f t="shared" si="8"/>
        <v>0</v>
      </c>
      <c r="U39">
        <f t="shared" si="9"/>
        <v>0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AA39">
        <v>0</v>
      </c>
      <c r="AB39">
        <f t="shared" si="14"/>
        <v>3.6850000000000001</v>
      </c>
      <c r="AC39">
        <f>ROUND((24/1.18/5.52),3)</f>
        <v>3.6850000000000001</v>
      </c>
      <c r="AD39">
        <f t="shared" si="15"/>
        <v>0</v>
      </c>
      <c r="AE39">
        <f t="shared" si="16"/>
        <v>0</v>
      </c>
      <c r="AF39">
        <f t="shared" si="17"/>
        <v>0</v>
      </c>
      <c r="AG39">
        <f t="shared" si="18"/>
        <v>0</v>
      </c>
      <c r="AH39">
        <f t="shared" si="19"/>
        <v>0</v>
      </c>
      <c r="AI39">
        <f t="shared" si="20"/>
        <v>0</v>
      </c>
      <c r="AJ39">
        <f t="shared" si="21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5.52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4</v>
      </c>
      <c r="BJ39" t="s">
        <v>3</v>
      </c>
      <c r="BM39">
        <v>0</v>
      </c>
      <c r="BN39">
        <v>0</v>
      </c>
      <c r="BO39" t="s">
        <v>3</v>
      </c>
      <c r="BP39">
        <v>0</v>
      </c>
      <c r="BQ39">
        <v>1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22"/>
        <v>81.36</v>
      </c>
      <c r="CQ39">
        <f t="shared" si="23"/>
        <v>20.341199999999997</v>
      </c>
      <c r="CR39">
        <f t="shared" si="24"/>
        <v>0</v>
      </c>
      <c r="CS39">
        <f t="shared" si="25"/>
        <v>0</v>
      </c>
      <c r="CT39">
        <f t="shared" si="26"/>
        <v>0</v>
      </c>
      <c r="CU39">
        <f t="shared" si="27"/>
        <v>0</v>
      </c>
      <c r="CV39">
        <f t="shared" si="28"/>
        <v>0</v>
      </c>
      <c r="CW39">
        <f t="shared" si="29"/>
        <v>0</v>
      </c>
      <c r="CX39">
        <f t="shared" si="30"/>
        <v>0</v>
      </c>
      <c r="CY39">
        <f t="shared" si="34"/>
        <v>0</v>
      </c>
      <c r="CZ39">
        <f t="shared" si="35"/>
        <v>0</v>
      </c>
      <c r="DC39" t="s">
        <v>3</v>
      </c>
      <c r="DD39" t="s">
        <v>61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R39">
        <v>1</v>
      </c>
      <c r="DS39">
        <v>1</v>
      </c>
      <c r="DT39">
        <v>1</v>
      </c>
      <c r="DU39">
        <v>1010</v>
      </c>
      <c r="DV39" t="s">
        <v>20</v>
      </c>
      <c r="DW39" t="s">
        <v>20</v>
      </c>
      <c r="DX39">
        <v>1</v>
      </c>
      <c r="EE39">
        <v>21331503</v>
      </c>
      <c r="EF39">
        <v>1</v>
      </c>
      <c r="EG39" t="s">
        <v>49</v>
      </c>
      <c r="EH39">
        <v>0</v>
      </c>
      <c r="EI39" t="s">
        <v>3</v>
      </c>
      <c r="EJ39">
        <v>4</v>
      </c>
      <c r="EK39">
        <v>0</v>
      </c>
      <c r="EL39" t="s">
        <v>49</v>
      </c>
      <c r="EM39" t="s">
        <v>50</v>
      </c>
      <c r="EO39" t="s">
        <v>3</v>
      </c>
      <c r="EQ39">
        <v>512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Q39">
        <v>0</v>
      </c>
      <c r="FR39">
        <f t="shared" si="33"/>
        <v>0</v>
      </c>
      <c r="FS39">
        <v>0</v>
      </c>
      <c r="FV39" t="s">
        <v>51</v>
      </c>
      <c r="FW39" t="s">
        <v>52</v>
      </c>
      <c r="FX39">
        <v>0</v>
      </c>
      <c r="FY39">
        <v>0</v>
      </c>
    </row>
    <row r="40" spans="1:181">
      <c r="A40">
        <v>17</v>
      </c>
      <c r="B40">
        <v>1</v>
      </c>
      <c r="E40" t="s">
        <v>62</v>
      </c>
      <c r="F40" t="s">
        <v>18</v>
      </c>
      <c r="G40" t="s">
        <v>63</v>
      </c>
      <c r="H40" t="s">
        <v>20</v>
      </c>
      <c r="I40">
        <v>8</v>
      </c>
      <c r="J40">
        <v>0</v>
      </c>
      <c r="O40">
        <f t="shared" si="3"/>
        <v>273.35000000000002</v>
      </c>
      <c r="P40">
        <f t="shared" si="4"/>
        <v>273.35000000000002</v>
      </c>
      <c r="Q40">
        <f t="shared" si="5"/>
        <v>0</v>
      </c>
      <c r="R40">
        <f t="shared" si="6"/>
        <v>0</v>
      </c>
      <c r="S40">
        <f t="shared" si="7"/>
        <v>0</v>
      </c>
      <c r="T40">
        <f t="shared" si="8"/>
        <v>0</v>
      </c>
      <c r="U40">
        <f t="shared" si="9"/>
        <v>0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AA40">
        <v>0</v>
      </c>
      <c r="AB40">
        <f t="shared" si="14"/>
        <v>6.19</v>
      </c>
      <c r="AC40">
        <f>ROUND((40.32/1.18/5.52),3)</f>
        <v>6.19</v>
      </c>
      <c r="AD40">
        <f t="shared" si="15"/>
        <v>0</v>
      </c>
      <c r="AE40">
        <f t="shared" si="16"/>
        <v>0</v>
      </c>
      <c r="AF40">
        <f t="shared" si="17"/>
        <v>0</v>
      </c>
      <c r="AG40">
        <f t="shared" si="18"/>
        <v>0</v>
      </c>
      <c r="AH40">
        <f t="shared" si="19"/>
        <v>0</v>
      </c>
      <c r="AI40">
        <f t="shared" si="20"/>
        <v>0</v>
      </c>
      <c r="AJ40">
        <f t="shared" si="21"/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5.52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4</v>
      </c>
      <c r="BJ40" t="s">
        <v>3</v>
      </c>
      <c r="BM40">
        <v>0</v>
      </c>
      <c r="BN40">
        <v>0</v>
      </c>
      <c r="BO40" t="s">
        <v>3</v>
      </c>
      <c r="BP40">
        <v>0</v>
      </c>
      <c r="BQ40">
        <v>1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22"/>
        <v>273.35000000000002</v>
      </c>
      <c r="CQ40">
        <f t="shared" si="23"/>
        <v>34.168799999999997</v>
      </c>
      <c r="CR40">
        <f t="shared" si="24"/>
        <v>0</v>
      </c>
      <c r="CS40">
        <f t="shared" si="25"/>
        <v>0</v>
      </c>
      <c r="CT40">
        <f t="shared" si="26"/>
        <v>0</v>
      </c>
      <c r="CU40">
        <f t="shared" si="27"/>
        <v>0</v>
      </c>
      <c r="CV40">
        <f t="shared" si="28"/>
        <v>0</v>
      </c>
      <c r="CW40">
        <f t="shared" si="29"/>
        <v>0</v>
      </c>
      <c r="CX40">
        <f t="shared" si="30"/>
        <v>0</v>
      </c>
      <c r="CY40">
        <f t="shared" si="34"/>
        <v>0</v>
      </c>
      <c r="CZ40">
        <f t="shared" si="35"/>
        <v>0</v>
      </c>
      <c r="DC40" t="s">
        <v>3</v>
      </c>
      <c r="DD40" t="s">
        <v>64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R40">
        <v>1</v>
      </c>
      <c r="DS40">
        <v>1</v>
      </c>
      <c r="DT40">
        <v>1</v>
      </c>
      <c r="DU40">
        <v>1010</v>
      </c>
      <c r="DV40" t="s">
        <v>20</v>
      </c>
      <c r="DW40" t="s">
        <v>20</v>
      </c>
      <c r="DX40">
        <v>1</v>
      </c>
      <c r="EE40">
        <v>21331503</v>
      </c>
      <c r="EF40">
        <v>1</v>
      </c>
      <c r="EG40" t="s">
        <v>49</v>
      </c>
      <c r="EH40">
        <v>0</v>
      </c>
      <c r="EI40" t="s">
        <v>3</v>
      </c>
      <c r="EJ40">
        <v>4</v>
      </c>
      <c r="EK40">
        <v>0</v>
      </c>
      <c r="EL40" t="s">
        <v>49</v>
      </c>
      <c r="EM40" t="s">
        <v>50</v>
      </c>
      <c r="EO40" t="s">
        <v>3</v>
      </c>
      <c r="EQ40">
        <v>512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Q40">
        <v>0</v>
      </c>
      <c r="FR40">
        <f t="shared" si="33"/>
        <v>0</v>
      </c>
      <c r="FS40">
        <v>0</v>
      </c>
      <c r="FV40" t="s">
        <v>51</v>
      </c>
      <c r="FW40" t="s">
        <v>52</v>
      </c>
      <c r="FX40">
        <v>0</v>
      </c>
      <c r="FY40">
        <v>0</v>
      </c>
    </row>
    <row r="41" spans="1:181">
      <c r="A41">
        <v>17</v>
      </c>
      <c r="B41">
        <v>1</v>
      </c>
      <c r="E41" t="s">
        <v>65</v>
      </c>
      <c r="F41" t="s">
        <v>18</v>
      </c>
      <c r="G41" t="s">
        <v>66</v>
      </c>
      <c r="H41" t="s">
        <v>3</v>
      </c>
      <c r="I41">
        <v>4</v>
      </c>
      <c r="J41">
        <v>0</v>
      </c>
      <c r="O41">
        <f t="shared" si="3"/>
        <v>325.43</v>
      </c>
      <c r="P41">
        <f t="shared" si="4"/>
        <v>325.43</v>
      </c>
      <c r="Q41">
        <f t="shared" si="5"/>
        <v>0</v>
      </c>
      <c r="R41">
        <f t="shared" si="6"/>
        <v>0</v>
      </c>
      <c r="S41">
        <f t="shared" si="7"/>
        <v>0</v>
      </c>
      <c r="T41">
        <f t="shared" si="8"/>
        <v>0</v>
      </c>
      <c r="U41">
        <f t="shared" si="9"/>
        <v>0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AA41">
        <v>0</v>
      </c>
      <c r="AB41">
        <f t="shared" si="14"/>
        <v>32.412999999999997</v>
      </c>
      <c r="AC41">
        <f>ROUND((96/1.18/2.51),3)</f>
        <v>32.412999999999997</v>
      </c>
      <c r="AD41">
        <f t="shared" si="15"/>
        <v>0</v>
      </c>
      <c r="AE41">
        <f t="shared" si="16"/>
        <v>0</v>
      </c>
      <c r="AF41">
        <f t="shared" si="17"/>
        <v>0</v>
      </c>
      <c r="AG41">
        <f t="shared" si="18"/>
        <v>0</v>
      </c>
      <c r="AH41">
        <f t="shared" si="19"/>
        <v>0</v>
      </c>
      <c r="AI41">
        <f t="shared" si="20"/>
        <v>0</v>
      </c>
      <c r="AJ41">
        <f t="shared" si="21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2.5099999999999998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4</v>
      </c>
      <c r="BJ41" t="s">
        <v>3</v>
      </c>
      <c r="BM41">
        <v>0</v>
      </c>
      <c r="BN41">
        <v>0</v>
      </c>
      <c r="BO41" t="s">
        <v>3</v>
      </c>
      <c r="BP41">
        <v>0</v>
      </c>
      <c r="BQ41">
        <v>1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22"/>
        <v>325.43</v>
      </c>
      <c r="CQ41">
        <f t="shared" si="23"/>
        <v>81.356629999999981</v>
      </c>
      <c r="CR41">
        <f t="shared" si="24"/>
        <v>0</v>
      </c>
      <c r="CS41">
        <f t="shared" si="25"/>
        <v>0</v>
      </c>
      <c r="CT41">
        <f t="shared" si="26"/>
        <v>0</v>
      </c>
      <c r="CU41">
        <f t="shared" si="27"/>
        <v>0</v>
      </c>
      <c r="CV41">
        <f t="shared" si="28"/>
        <v>0</v>
      </c>
      <c r="CW41">
        <f t="shared" si="29"/>
        <v>0</v>
      </c>
      <c r="CX41">
        <f t="shared" si="30"/>
        <v>0</v>
      </c>
      <c r="CY41">
        <f t="shared" si="34"/>
        <v>0</v>
      </c>
      <c r="CZ41">
        <f t="shared" si="35"/>
        <v>0</v>
      </c>
      <c r="DC41" t="s">
        <v>3</v>
      </c>
      <c r="DD41" t="s">
        <v>67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R41">
        <v>1</v>
      </c>
      <c r="DS41">
        <v>1</v>
      </c>
      <c r="DT41">
        <v>1</v>
      </c>
      <c r="DX41">
        <v>0</v>
      </c>
      <c r="EE41">
        <v>21331503</v>
      </c>
      <c r="EF41">
        <v>1</v>
      </c>
      <c r="EG41" t="s">
        <v>49</v>
      </c>
      <c r="EH41">
        <v>0</v>
      </c>
      <c r="EI41" t="s">
        <v>3</v>
      </c>
      <c r="EJ41">
        <v>4</v>
      </c>
      <c r="EK41">
        <v>0</v>
      </c>
      <c r="EL41" t="s">
        <v>49</v>
      </c>
      <c r="EM41" t="s">
        <v>50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Q41">
        <v>0</v>
      </c>
      <c r="FR41">
        <f t="shared" si="33"/>
        <v>0</v>
      </c>
      <c r="FS41">
        <v>0</v>
      </c>
      <c r="FV41" t="s">
        <v>51</v>
      </c>
      <c r="FW41" t="s">
        <v>52</v>
      </c>
      <c r="FX41">
        <v>0</v>
      </c>
      <c r="FY41">
        <v>0</v>
      </c>
    </row>
    <row r="43" spans="1:181">
      <c r="A43" s="2">
        <v>51</v>
      </c>
      <c r="B43" s="2">
        <f>B24</f>
        <v>1</v>
      </c>
      <c r="C43" s="2">
        <f>A24</f>
        <v>4</v>
      </c>
      <c r="D43" s="2">
        <f>ROW(A24)</f>
        <v>24</v>
      </c>
      <c r="E43" s="2"/>
      <c r="F43" s="2" t="str">
        <f>IF(F24&lt;&gt;"",F24,"")</f>
        <v>Новый раздел</v>
      </c>
      <c r="G43" s="2" t="str">
        <f>IF(G24&lt;&gt;"",G24,"")</f>
        <v>1. Оборудование и материалы неучтённые ценниками</v>
      </c>
      <c r="H43" s="2"/>
      <c r="I43" s="2"/>
      <c r="J43" s="2"/>
      <c r="K43" s="2"/>
      <c r="L43" s="2"/>
      <c r="M43" s="2"/>
      <c r="N43" s="2"/>
      <c r="O43" s="2">
        <f t="shared" ref="O43:Y43" si="36">ROUND(AB43,2)</f>
        <v>53504.65</v>
      </c>
      <c r="P43" s="2">
        <f t="shared" si="36"/>
        <v>53504.65</v>
      </c>
      <c r="Q43" s="2">
        <f t="shared" si="36"/>
        <v>0</v>
      </c>
      <c r="R43" s="2">
        <f t="shared" si="36"/>
        <v>0</v>
      </c>
      <c r="S43" s="2">
        <f t="shared" si="36"/>
        <v>0</v>
      </c>
      <c r="T43" s="2">
        <f t="shared" si="36"/>
        <v>0</v>
      </c>
      <c r="U43" s="2">
        <f t="shared" si="36"/>
        <v>0</v>
      </c>
      <c r="V43" s="2">
        <f t="shared" si="36"/>
        <v>0</v>
      </c>
      <c r="W43" s="2">
        <f t="shared" si="36"/>
        <v>0</v>
      </c>
      <c r="X43" s="2">
        <f t="shared" si="36"/>
        <v>0</v>
      </c>
      <c r="Y43" s="2">
        <f t="shared" si="36"/>
        <v>0</v>
      </c>
      <c r="Z43" s="2"/>
      <c r="AA43" s="2"/>
      <c r="AB43" s="2">
        <f>ROUND(SUMIF(AA28:AA41,"=0",O28:O41),2)</f>
        <v>53504.65</v>
      </c>
      <c r="AC43" s="2">
        <f>ROUND(SUMIF(AA28:AA41,"=0",P28:P41),2)</f>
        <v>53504.65</v>
      </c>
      <c r="AD43" s="2">
        <f>ROUND(SUMIF(AA28:AA41,"=0",Q28:Q41),2)</f>
        <v>0</v>
      </c>
      <c r="AE43" s="2">
        <f>ROUND(SUMIF(AA28:AA41,"=0",R28:R41),2)</f>
        <v>0</v>
      </c>
      <c r="AF43" s="2">
        <f>ROUND(SUMIF(AA28:AA41,"=0",S28:S41),2)</f>
        <v>0</v>
      </c>
      <c r="AG43" s="2">
        <f>ROUND(SUMIF(AA28:AA41,"=0",T28:T41),2)</f>
        <v>0</v>
      </c>
      <c r="AH43" s="2">
        <f>ROUND(SUMIF(AA28:AA41,"=0",U28:U41),2)</f>
        <v>0</v>
      </c>
      <c r="AI43" s="2">
        <f>ROUND(SUMIF(AA28:AA41,"=0",V28:V41),2)</f>
        <v>0</v>
      </c>
      <c r="AJ43" s="2">
        <f>ROUND(SUMIF(AA28:AA41,"=0",W28:W41),2)</f>
        <v>0</v>
      </c>
      <c r="AK43" s="2">
        <f>ROUND(SUMIF(AA28:AA41,"=0",X28:X41),2)</f>
        <v>0</v>
      </c>
      <c r="AL43" s="2">
        <f>ROUND(SUMIF(AA28:AA41,"=0",Y28:Y41),2)</f>
        <v>0</v>
      </c>
      <c r="AM43" s="2"/>
      <c r="AN43" s="2">
        <f>ROUND(AO43,2)</f>
        <v>0</v>
      </c>
      <c r="AO43" s="2">
        <f>ROUND(SUMIF(AA28:AA41,"=0",FQ28:FQ41),2)</f>
        <v>0</v>
      </c>
      <c r="AP43" s="2">
        <f>ROUND(AQ43,2)</f>
        <v>41402.160000000003</v>
      </c>
      <c r="AQ43" s="2">
        <f>ROUND(SUM(FR28:FR41),2)</f>
        <v>41402.160000000003</v>
      </c>
    </row>
    <row r="45" spans="1:181">
      <c r="A45" s="3">
        <v>50</v>
      </c>
      <c r="B45" s="3">
        <f>IF(Source!F45&lt;&gt;0,1,0)</f>
        <v>1</v>
      </c>
      <c r="C45" s="3">
        <v>0</v>
      </c>
      <c r="D45" s="3">
        <v>1</v>
      </c>
      <c r="E45" s="3">
        <v>201</v>
      </c>
      <c r="F45" s="3">
        <f>Source!O43</f>
        <v>53504.65</v>
      </c>
      <c r="G45" s="3" t="s">
        <v>68</v>
      </c>
      <c r="H45" s="3" t="s">
        <v>69</v>
      </c>
      <c r="I45" s="3"/>
      <c r="J45" s="3"/>
      <c r="K45" s="3">
        <v>201</v>
      </c>
      <c r="L45" s="3">
        <v>1</v>
      </c>
      <c r="M45" s="3">
        <v>1</v>
      </c>
      <c r="N45" s="3" t="s">
        <v>3</v>
      </c>
    </row>
    <row r="46" spans="1:181">
      <c r="A46" s="3">
        <v>50</v>
      </c>
      <c r="B46" s="3">
        <f>IF(Source!F46&lt;&gt;0,1,0)</f>
        <v>1</v>
      </c>
      <c r="C46" s="3">
        <v>0</v>
      </c>
      <c r="D46" s="3">
        <v>1</v>
      </c>
      <c r="E46" s="3">
        <v>202</v>
      </c>
      <c r="F46" s="3">
        <f>Source!P43</f>
        <v>53504.65</v>
      </c>
      <c r="G46" s="3" t="s">
        <v>70</v>
      </c>
      <c r="H46" s="3" t="s">
        <v>71</v>
      </c>
      <c r="I46" s="3"/>
      <c r="J46" s="3"/>
      <c r="K46" s="3">
        <v>202</v>
      </c>
      <c r="L46" s="3">
        <v>2</v>
      </c>
      <c r="M46" s="3">
        <v>1</v>
      </c>
      <c r="N46" s="3" t="s">
        <v>3</v>
      </c>
    </row>
    <row r="47" spans="1:181">
      <c r="A47" s="3">
        <v>50</v>
      </c>
      <c r="B47" s="3">
        <v>0</v>
      </c>
      <c r="C47" s="3">
        <v>0</v>
      </c>
      <c r="D47" s="3">
        <v>1</v>
      </c>
      <c r="E47" s="3">
        <v>222</v>
      </c>
      <c r="F47" s="3">
        <f>Source!AN43</f>
        <v>0</v>
      </c>
      <c r="G47" s="3" t="s">
        <v>72</v>
      </c>
      <c r="H47" s="3" t="s">
        <v>73</v>
      </c>
      <c r="I47" s="3"/>
      <c r="J47" s="3"/>
      <c r="K47" s="3">
        <v>222</v>
      </c>
      <c r="L47" s="3">
        <v>3</v>
      </c>
      <c r="M47" s="3">
        <v>3</v>
      </c>
      <c r="N47" s="3" t="s">
        <v>3</v>
      </c>
    </row>
    <row r="48" spans="1:181">
      <c r="A48" s="3">
        <v>50</v>
      </c>
      <c r="B48" s="3">
        <v>0</v>
      </c>
      <c r="C48" s="3">
        <v>0</v>
      </c>
      <c r="D48" s="3">
        <v>1</v>
      </c>
      <c r="E48" s="3">
        <v>216</v>
      </c>
      <c r="F48" s="3">
        <f>Source!AP43</f>
        <v>41402.160000000003</v>
      </c>
      <c r="G48" s="3" t="s">
        <v>74</v>
      </c>
      <c r="H48" s="3" t="s">
        <v>75</v>
      </c>
      <c r="I48" s="3"/>
      <c r="J48" s="3"/>
      <c r="K48" s="3">
        <v>216</v>
      </c>
      <c r="L48" s="3">
        <v>4</v>
      </c>
      <c r="M48" s="3">
        <v>3</v>
      </c>
      <c r="N48" s="3" t="s">
        <v>3</v>
      </c>
    </row>
    <row r="49" spans="1:181">
      <c r="A49" s="3">
        <v>50</v>
      </c>
      <c r="B49" s="3">
        <f>IF(Source!F49&lt;&gt;0,1,0)</f>
        <v>0</v>
      </c>
      <c r="C49" s="3">
        <v>0</v>
      </c>
      <c r="D49" s="3">
        <v>1</v>
      </c>
      <c r="E49" s="3">
        <v>203</v>
      </c>
      <c r="F49" s="3">
        <f>Source!Q43</f>
        <v>0</v>
      </c>
      <c r="G49" s="3" t="s">
        <v>76</v>
      </c>
      <c r="H49" s="3" t="s">
        <v>77</v>
      </c>
      <c r="I49" s="3"/>
      <c r="J49" s="3"/>
      <c r="K49" s="3">
        <v>203</v>
      </c>
      <c r="L49" s="3">
        <v>5</v>
      </c>
      <c r="M49" s="3">
        <v>1</v>
      </c>
      <c r="N49" s="3" t="s">
        <v>3</v>
      </c>
    </row>
    <row r="50" spans="1:181">
      <c r="A50" s="3">
        <v>50</v>
      </c>
      <c r="B50" s="3">
        <f>IF(Source!F50&lt;&gt;0,1,0)</f>
        <v>0</v>
      </c>
      <c r="C50" s="3">
        <v>0</v>
      </c>
      <c r="D50" s="3">
        <v>1</v>
      </c>
      <c r="E50" s="3">
        <v>204</v>
      </c>
      <c r="F50" s="3">
        <f>Source!R43</f>
        <v>0</v>
      </c>
      <c r="G50" s="3" t="s">
        <v>78</v>
      </c>
      <c r="H50" s="3" t="s">
        <v>79</v>
      </c>
      <c r="I50" s="3"/>
      <c r="J50" s="3"/>
      <c r="K50" s="3">
        <v>204</v>
      </c>
      <c r="L50" s="3">
        <v>6</v>
      </c>
      <c r="M50" s="3">
        <v>1</v>
      </c>
      <c r="N50" s="3" t="s">
        <v>3</v>
      </c>
    </row>
    <row r="51" spans="1:181">
      <c r="A51" s="3">
        <v>50</v>
      </c>
      <c r="B51" s="3">
        <f>IF(Source!F51&lt;&gt;0,1,0)</f>
        <v>0</v>
      </c>
      <c r="C51" s="3">
        <v>0</v>
      </c>
      <c r="D51" s="3">
        <v>1</v>
      </c>
      <c r="E51" s="3">
        <v>205</v>
      </c>
      <c r="F51" s="3">
        <f>Source!S43</f>
        <v>0</v>
      </c>
      <c r="G51" s="3" t="s">
        <v>80</v>
      </c>
      <c r="H51" s="3" t="s">
        <v>81</v>
      </c>
      <c r="I51" s="3"/>
      <c r="J51" s="3"/>
      <c r="K51" s="3">
        <v>205</v>
      </c>
      <c r="L51" s="3">
        <v>7</v>
      </c>
      <c r="M51" s="3">
        <v>1</v>
      </c>
      <c r="N51" s="3" t="s">
        <v>3</v>
      </c>
    </row>
    <row r="52" spans="1:181">
      <c r="A52" s="3">
        <v>50</v>
      </c>
      <c r="B52" s="3">
        <f>IF(Source!F52&lt;&gt;0,1,0)</f>
        <v>0</v>
      </c>
      <c r="C52" s="3">
        <v>0</v>
      </c>
      <c r="D52" s="3">
        <v>1</v>
      </c>
      <c r="E52" s="3">
        <v>206</v>
      </c>
      <c r="F52" s="3">
        <f>Source!T43</f>
        <v>0</v>
      </c>
      <c r="G52" s="3" t="s">
        <v>82</v>
      </c>
      <c r="H52" s="3" t="s">
        <v>83</v>
      </c>
      <c r="I52" s="3"/>
      <c r="J52" s="3"/>
      <c r="K52" s="3">
        <v>206</v>
      </c>
      <c r="L52" s="3">
        <v>8</v>
      </c>
      <c r="M52" s="3">
        <v>1</v>
      </c>
      <c r="N52" s="3" t="s">
        <v>3</v>
      </c>
    </row>
    <row r="53" spans="1:181">
      <c r="A53" s="3">
        <v>50</v>
      </c>
      <c r="B53" s="3">
        <f>IF(Source!F53&lt;&gt;0,1,0)</f>
        <v>0</v>
      </c>
      <c r="C53" s="3">
        <v>0</v>
      </c>
      <c r="D53" s="3">
        <v>1</v>
      </c>
      <c r="E53" s="3">
        <v>207</v>
      </c>
      <c r="F53" s="3">
        <f>Source!U43</f>
        <v>0</v>
      </c>
      <c r="G53" s="3" t="s">
        <v>84</v>
      </c>
      <c r="H53" s="3" t="s">
        <v>85</v>
      </c>
      <c r="I53" s="3"/>
      <c r="J53" s="3"/>
      <c r="K53" s="3">
        <v>207</v>
      </c>
      <c r="L53" s="3">
        <v>9</v>
      </c>
      <c r="M53" s="3">
        <v>1</v>
      </c>
      <c r="N53" s="3" t="s">
        <v>3</v>
      </c>
    </row>
    <row r="54" spans="1:181">
      <c r="A54" s="3">
        <v>50</v>
      </c>
      <c r="B54" s="3">
        <f>IF(Source!F54&lt;&gt;0,1,0)</f>
        <v>0</v>
      </c>
      <c r="C54" s="3">
        <v>0</v>
      </c>
      <c r="D54" s="3">
        <v>1</v>
      </c>
      <c r="E54" s="3">
        <v>208</v>
      </c>
      <c r="F54" s="3">
        <f>Source!V43</f>
        <v>0</v>
      </c>
      <c r="G54" s="3" t="s">
        <v>86</v>
      </c>
      <c r="H54" s="3" t="s">
        <v>87</v>
      </c>
      <c r="I54" s="3"/>
      <c r="J54" s="3"/>
      <c r="K54" s="3">
        <v>208</v>
      </c>
      <c r="L54" s="3">
        <v>10</v>
      </c>
      <c r="M54" s="3">
        <v>1</v>
      </c>
      <c r="N54" s="3" t="s">
        <v>3</v>
      </c>
    </row>
    <row r="55" spans="1:181">
      <c r="A55" s="3">
        <v>50</v>
      </c>
      <c r="B55" s="3">
        <f>IF(Source!F55&lt;&gt;0,1,0)</f>
        <v>0</v>
      </c>
      <c r="C55" s="3">
        <v>0</v>
      </c>
      <c r="D55" s="3">
        <v>1</v>
      </c>
      <c r="E55" s="3">
        <v>209</v>
      </c>
      <c r="F55" s="3">
        <f>Source!W43</f>
        <v>0</v>
      </c>
      <c r="G55" s="3" t="s">
        <v>88</v>
      </c>
      <c r="H55" s="3" t="s">
        <v>89</v>
      </c>
      <c r="I55" s="3"/>
      <c r="J55" s="3"/>
      <c r="K55" s="3">
        <v>209</v>
      </c>
      <c r="L55" s="3">
        <v>11</v>
      </c>
      <c r="M55" s="3">
        <v>1</v>
      </c>
      <c r="N55" s="3" t="s">
        <v>3</v>
      </c>
    </row>
    <row r="56" spans="1:181">
      <c r="A56" s="3">
        <v>50</v>
      </c>
      <c r="B56" s="3">
        <f>IF(Source!F56&lt;&gt;0,1,0)</f>
        <v>0</v>
      </c>
      <c r="C56" s="3">
        <v>0</v>
      </c>
      <c r="D56" s="3">
        <v>1</v>
      </c>
      <c r="E56" s="3">
        <v>210</v>
      </c>
      <c r="F56" s="3">
        <f>Source!X43</f>
        <v>0</v>
      </c>
      <c r="G56" s="3" t="s">
        <v>90</v>
      </c>
      <c r="H56" s="3" t="s">
        <v>91</v>
      </c>
      <c r="I56" s="3"/>
      <c r="J56" s="3"/>
      <c r="K56" s="3">
        <v>210</v>
      </c>
      <c r="L56" s="3">
        <v>12</v>
      </c>
      <c r="M56" s="3">
        <v>1</v>
      </c>
      <c r="N56" s="3" t="s">
        <v>3</v>
      </c>
    </row>
    <row r="57" spans="1:181">
      <c r="A57" s="3">
        <v>50</v>
      </c>
      <c r="B57" s="3">
        <f>IF(Source!F57&lt;&gt;0,1,0)</f>
        <v>0</v>
      </c>
      <c r="C57" s="3">
        <v>0</v>
      </c>
      <c r="D57" s="3">
        <v>1</v>
      </c>
      <c r="E57" s="3">
        <v>211</v>
      </c>
      <c r="F57" s="3">
        <f>Source!Y43</f>
        <v>0</v>
      </c>
      <c r="G57" s="3" t="s">
        <v>92</v>
      </c>
      <c r="H57" s="3" t="s">
        <v>93</v>
      </c>
      <c r="I57" s="3"/>
      <c r="J57" s="3"/>
      <c r="K57" s="3">
        <v>211</v>
      </c>
      <c r="L57" s="3">
        <v>13</v>
      </c>
      <c r="M57" s="3">
        <v>1</v>
      </c>
      <c r="N57" s="3" t="s">
        <v>3</v>
      </c>
    </row>
    <row r="58" spans="1:181">
      <c r="A58" s="3">
        <v>50</v>
      </c>
      <c r="B58" s="3">
        <v>1</v>
      </c>
      <c r="C58" s="3">
        <v>0</v>
      </c>
      <c r="D58" s="3">
        <v>2</v>
      </c>
      <c r="E58" s="3">
        <v>0</v>
      </c>
      <c r="F58" s="3">
        <f>ROUND(Source!F45+Source!F56+Source!F57,2)</f>
        <v>53504.65</v>
      </c>
      <c r="G58" s="3" t="s">
        <v>94</v>
      </c>
      <c r="H58" s="3" t="s">
        <v>94</v>
      </c>
      <c r="I58" s="3"/>
      <c r="J58" s="3"/>
      <c r="K58" s="3">
        <v>212</v>
      </c>
      <c r="L58" s="3">
        <v>14</v>
      </c>
      <c r="M58" s="3">
        <v>0</v>
      </c>
      <c r="N58" s="3" t="s">
        <v>3</v>
      </c>
    </row>
    <row r="59" spans="1:181">
      <c r="G59">
        <v>0</v>
      </c>
    </row>
    <row r="60" spans="1:181">
      <c r="A60" s="1">
        <v>4</v>
      </c>
      <c r="B60" s="1">
        <v>1</v>
      </c>
      <c r="C60" s="1"/>
      <c r="D60" s="1">
        <f>ROW(A76)</f>
        <v>76</v>
      </c>
      <c r="E60" s="1"/>
      <c r="F60" s="1" t="s">
        <v>14</v>
      </c>
      <c r="G60" s="1" t="s">
        <v>95</v>
      </c>
      <c r="H60" s="1"/>
      <c r="I60" s="1"/>
      <c r="J60" s="1"/>
      <c r="K60" s="1"/>
      <c r="L60" s="1"/>
      <c r="M60" s="1"/>
      <c r="N60" s="1" t="s">
        <v>3</v>
      </c>
      <c r="O60" s="1"/>
      <c r="P60" s="1"/>
      <c r="Q60" s="1"/>
      <c r="R60" s="1" t="s">
        <v>3</v>
      </c>
      <c r="S60" s="1" t="s">
        <v>3</v>
      </c>
      <c r="T60" s="1" t="s">
        <v>3</v>
      </c>
      <c r="U60" s="1" t="s">
        <v>3</v>
      </c>
      <c r="V60" s="1"/>
      <c r="W60" s="1"/>
      <c r="X60" s="1">
        <v>0</v>
      </c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>
        <v>0</v>
      </c>
      <c r="AM60" s="1"/>
      <c r="AN60" s="1"/>
      <c r="AO60" s="1" t="s">
        <v>3</v>
      </c>
      <c r="AP60" s="1" t="s">
        <v>3</v>
      </c>
      <c r="AQ60" s="1" t="s">
        <v>3</v>
      </c>
      <c r="AR60" s="1"/>
      <c r="AS60" s="1"/>
      <c r="AT60" s="1" t="s">
        <v>3</v>
      </c>
      <c r="AU60" s="1" t="s">
        <v>3</v>
      </c>
      <c r="AV60" s="1" t="s">
        <v>3</v>
      </c>
      <c r="AW60" s="1" t="s">
        <v>3</v>
      </c>
      <c r="AX60" s="1" t="s">
        <v>3</v>
      </c>
      <c r="AY60" s="1" t="s">
        <v>3</v>
      </c>
      <c r="AZ60" s="1" t="s">
        <v>3</v>
      </c>
      <c r="BA60" s="1" t="s">
        <v>3</v>
      </c>
      <c r="BB60" s="1" t="s">
        <v>3</v>
      </c>
      <c r="BC60" s="1" t="s">
        <v>3</v>
      </c>
      <c r="BD60" s="1" t="s">
        <v>3</v>
      </c>
      <c r="BE60" s="1" t="s">
        <v>96</v>
      </c>
      <c r="BF60" s="1">
        <v>0</v>
      </c>
      <c r="BG60" s="1">
        <v>0</v>
      </c>
      <c r="BH60" s="1" t="s">
        <v>3</v>
      </c>
      <c r="BI60" s="1" t="s">
        <v>3</v>
      </c>
      <c r="BJ60" s="1" t="s">
        <v>3</v>
      </c>
      <c r="BK60" s="1" t="s">
        <v>3</v>
      </c>
      <c r="BL60" s="1" t="s">
        <v>3</v>
      </c>
      <c r="BM60" s="1">
        <v>0</v>
      </c>
      <c r="BN60" s="1" t="s">
        <v>3</v>
      </c>
      <c r="BO60" s="1">
        <v>0</v>
      </c>
    </row>
    <row r="62" spans="1:181">
      <c r="A62" s="2">
        <v>52</v>
      </c>
      <c r="B62" s="2">
        <f t="shared" ref="B62:AQ62" si="37">B76</f>
        <v>1</v>
      </c>
      <c r="C62" s="2">
        <f t="shared" si="37"/>
        <v>4</v>
      </c>
      <c r="D62" s="2">
        <f t="shared" si="37"/>
        <v>60</v>
      </c>
      <c r="E62" s="2">
        <f t="shared" si="37"/>
        <v>0</v>
      </c>
      <c r="F62" s="2" t="str">
        <f t="shared" si="37"/>
        <v>Новый раздел</v>
      </c>
      <c r="G62" s="2" t="str">
        <f t="shared" si="37"/>
        <v>2. Монтажные работы</v>
      </c>
      <c r="H62" s="2">
        <f t="shared" si="37"/>
        <v>0</v>
      </c>
      <c r="I62" s="2">
        <f t="shared" si="37"/>
        <v>0</v>
      </c>
      <c r="J62" s="2">
        <f t="shared" si="37"/>
        <v>0</v>
      </c>
      <c r="K62" s="2">
        <f t="shared" si="37"/>
        <v>0</v>
      </c>
      <c r="L62" s="2">
        <f t="shared" si="37"/>
        <v>0</v>
      </c>
      <c r="M62" s="2">
        <f t="shared" si="37"/>
        <v>0</v>
      </c>
      <c r="N62" s="2">
        <f t="shared" si="37"/>
        <v>0</v>
      </c>
      <c r="O62" s="2">
        <f t="shared" si="37"/>
        <v>29904.87</v>
      </c>
      <c r="P62" s="2">
        <f t="shared" si="37"/>
        <v>2383.5500000000002</v>
      </c>
      <c r="Q62" s="2">
        <f t="shared" si="37"/>
        <v>1084.6300000000001</v>
      </c>
      <c r="R62" s="2">
        <f t="shared" si="37"/>
        <v>261.91000000000003</v>
      </c>
      <c r="S62" s="2">
        <f t="shared" si="37"/>
        <v>26436.69</v>
      </c>
      <c r="T62" s="2">
        <f t="shared" si="37"/>
        <v>0</v>
      </c>
      <c r="U62" s="2">
        <f t="shared" si="37"/>
        <v>155.16</v>
      </c>
      <c r="V62" s="2">
        <f t="shared" si="37"/>
        <v>3.06</v>
      </c>
      <c r="W62" s="2">
        <f t="shared" si="37"/>
        <v>0</v>
      </c>
      <c r="X62" s="2">
        <f t="shared" si="37"/>
        <v>19493.05</v>
      </c>
      <c r="Y62" s="2">
        <f t="shared" si="37"/>
        <v>13297.78</v>
      </c>
      <c r="Z62" s="2">
        <f t="shared" si="37"/>
        <v>0</v>
      </c>
      <c r="AA62" s="2">
        <f t="shared" si="37"/>
        <v>0</v>
      </c>
      <c r="AB62" s="2">
        <f t="shared" si="37"/>
        <v>29904.87</v>
      </c>
      <c r="AC62" s="2">
        <f t="shared" si="37"/>
        <v>2383.5500000000002</v>
      </c>
      <c r="AD62" s="2">
        <f t="shared" si="37"/>
        <v>1084.6300000000001</v>
      </c>
      <c r="AE62" s="2">
        <f t="shared" si="37"/>
        <v>261.91000000000003</v>
      </c>
      <c r="AF62" s="2">
        <f t="shared" si="37"/>
        <v>26436.69</v>
      </c>
      <c r="AG62" s="2">
        <f t="shared" si="37"/>
        <v>0</v>
      </c>
      <c r="AH62" s="2">
        <f t="shared" si="37"/>
        <v>155.16</v>
      </c>
      <c r="AI62" s="2">
        <f t="shared" si="37"/>
        <v>3.06</v>
      </c>
      <c r="AJ62" s="2">
        <f t="shared" si="37"/>
        <v>0</v>
      </c>
      <c r="AK62" s="2">
        <f t="shared" si="37"/>
        <v>19493.05</v>
      </c>
      <c r="AL62" s="2">
        <f t="shared" si="37"/>
        <v>13297.78</v>
      </c>
      <c r="AM62" s="2">
        <f t="shared" si="37"/>
        <v>0</v>
      </c>
      <c r="AN62" s="2">
        <f t="shared" si="37"/>
        <v>0</v>
      </c>
      <c r="AO62" s="2">
        <f t="shared" si="37"/>
        <v>0</v>
      </c>
      <c r="AP62" s="2">
        <f t="shared" si="37"/>
        <v>0</v>
      </c>
      <c r="AQ62" s="2">
        <f t="shared" si="37"/>
        <v>0</v>
      </c>
    </row>
    <row r="64" spans="1:181">
      <c r="A64">
        <v>17</v>
      </c>
      <c r="B64">
        <v>1</v>
      </c>
      <c r="C64">
        <f>ROW(SmtRes!A13)</f>
        <v>13</v>
      </c>
      <c r="D64">
        <f>ROW(EtalonRes!A14)</f>
        <v>14</v>
      </c>
      <c r="E64" t="s">
        <v>97</v>
      </c>
      <c r="F64" t="s">
        <v>98</v>
      </c>
      <c r="G64" t="s">
        <v>99</v>
      </c>
      <c r="H64" t="s">
        <v>100</v>
      </c>
      <c r="I64">
        <v>1</v>
      </c>
      <c r="J64">
        <v>0</v>
      </c>
      <c r="O64">
        <f t="shared" ref="O64:O74" si="38">ROUND(CP64,2)</f>
        <v>4433.93</v>
      </c>
      <c r="P64">
        <f t="shared" ref="P64:P74" si="39">ROUND(CQ64*I64,2)</f>
        <v>439.47</v>
      </c>
      <c r="Q64">
        <f t="shared" ref="Q64:Q74" si="40">ROUND(CR64*I64,2)</f>
        <v>13.88</v>
      </c>
      <c r="R64">
        <f t="shared" ref="R64:R74" si="41">ROUND(CS64*I64,2)</f>
        <v>4.9400000000000004</v>
      </c>
      <c r="S64">
        <f t="shared" ref="S64:S74" si="42">ROUND(CT64*I64,2)</f>
        <v>3980.58</v>
      </c>
      <c r="T64">
        <f t="shared" ref="T64:T74" si="43">ROUND(CU64*I64,2)</f>
        <v>0</v>
      </c>
      <c r="U64">
        <f t="shared" ref="U64:U74" si="44">CV64*I64</f>
        <v>21.8</v>
      </c>
      <c r="V64">
        <f t="shared" ref="V64:V74" si="45">CW64*I64</f>
        <v>0.03</v>
      </c>
      <c r="W64">
        <f t="shared" ref="W64:W74" si="46">ROUND(CX64*I64,2)</f>
        <v>0</v>
      </c>
      <c r="X64">
        <f t="shared" ref="X64:X74" si="47">ROUND(CY64,2)</f>
        <v>3108.71</v>
      </c>
      <c r="Y64">
        <f t="shared" ref="Y64:Y74" si="48">ROUND(CZ64,2)</f>
        <v>2072.4699999999998</v>
      </c>
      <c r="AA64">
        <v>0</v>
      </c>
      <c r="AB64">
        <f t="shared" ref="AB64:AB74" si="49">ROUND((AC64+AD64+AF64),3)</f>
        <v>296.31</v>
      </c>
      <c r="AC64">
        <f t="shared" ref="AC64:AC74" si="50">ROUND((ES64),3)</f>
        <v>52.07</v>
      </c>
      <c r="AD64">
        <f t="shared" ref="AD64:AD74" si="51">ROUND((ET64),3)</f>
        <v>2.7</v>
      </c>
      <c r="AE64">
        <f t="shared" ref="AE64:AE74" si="52">ROUND((EU64),3)</f>
        <v>0.3</v>
      </c>
      <c r="AF64">
        <f t="shared" ref="AF64:AF74" si="53">ROUND((EV64),3)</f>
        <v>241.54</v>
      </c>
      <c r="AG64">
        <f t="shared" ref="AG64:AG74" si="54">ROUND((AP64),3)</f>
        <v>0</v>
      </c>
      <c r="AH64">
        <f t="shared" ref="AH64:AH74" si="55">(EW64)</f>
        <v>21.8</v>
      </c>
      <c r="AI64">
        <f t="shared" ref="AI64:AI74" si="56">(EX64)</f>
        <v>0.03</v>
      </c>
      <c r="AJ64">
        <f t="shared" ref="AJ64:AJ74" si="57">ROUND((AS64),3)</f>
        <v>0</v>
      </c>
      <c r="AK64">
        <v>296.31</v>
      </c>
      <c r="AL64">
        <v>52.07</v>
      </c>
      <c r="AM64">
        <v>2.7</v>
      </c>
      <c r="AN64">
        <v>0.3</v>
      </c>
      <c r="AO64">
        <v>241.54000000000002</v>
      </c>
      <c r="AP64">
        <v>0</v>
      </c>
      <c r="AQ64">
        <v>21.8</v>
      </c>
      <c r="AR64">
        <v>0.03</v>
      </c>
      <c r="AS64">
        <v>0</v>
      </c>
      <c r="AT64">
        <v>78</v>
      </c>
      <c r="AU64">
        <v>52</v>
      </c>
      <c r="AV64">
        <v>1</v>
      </c>
      <c r="AW64">
        <v>1</v>
      </c>
      <c r="AX64">
        <v>1</v>
      </c>
      <c r="AY64">
        <v>1</v>
      </c>
      <c r="AZ64">
        <v>14.87</v>
      </c>
      <c r="BA64">
        <v>16.48</v>
      </c>
      <c r="BB64">
        <v>5.14</v>
      </c>
      <c r="BC64">
        <v>8.44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2</v>
      </c>
      <c r="BJ64" t="s">
        <v>101</v>
      </c>
      <c r="BM64">
        <v>38</v>
      </c>
      <c r="BN64">
        <v>0</v>
      </c>
      <c r="BO64" t="s">
        <v>98</v>
      </c>
      <c r="BP64">
        <v>1</v>
      </c>
      <c r="BQ64">
        <v>3</v>
      </c>
      <c r="BR64">
        <v>0</v>
      </c>
      <c r="BS64">
        <v>16.48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92</v>
      </c>
      <c r="CA64">
        <v>65</v>
      </c>
      <c r="CF64">
        <v>0</v>
      </c>
      <c r="CG64">
        <v>0</v>
      </c>
      <c r="CM64">
        <v>0</v>
      </c>
      <c r="CN64" t="s">
        <v>3</v>
      </c>
      <c r="CO64">
        <v>0</v>
      </c>
      <c r="CP64">
        <f t="shared" ref="CP64:CP74" si="58">(P64+Q64+S64)</f>
        <v>4433.93</v>
      </c>
      <c r="CQ64">
        <f t="shared" ref="CQ64:CQ74" si="59">(AC64)*BC64</f>
        <v>439.4708</v>
      </c>
      <c r="CR64">
        <f t="shared" ref="CR64:CR74" si="60">(AD64)*BB64</f>
        <v>13.878</v>
      </c>
      <c r="CS64">
        <f t="shared" ref="CS64:CS74" si="61">(AE64)*BS64</f>
        <v>4.944</v>
      </c>
      <c r="CT64">
        <f t="shared" ref="CT64:CT74" si="62">(AF64)*BA64</f>
        <v>3980.5792000000001</v>
      </c>
      <c r="CU64">
        <f t="shared" ref="CU64:CU74" si="63">(AG64)*BT64</f>
        <v>0</v>
      </c>
      <c r="CV64">
        <f t="shared" ref="CV64:CV74" si="64">(AH64)*BU64</f>
        <v>21.8</v>
      </c>
      <c r="CW64">
        <f t="shared" ref="CW64:CW74" si="65">(AI64)*BV64</f>
        <v>0.03</v>
      </c>
      <c r="CX64">
        <f t="shared" ref="CX64:CX74" si="66">(AJ64)*BW64</f>
        <v>0</v>
      </c>
      <c r="CY64">
        <f>((S64+R64)*(ROUND((FX64*IF((0=1),0.94,0.85)*IF((0=1),0.85,1)),0)/100))</f>
        <v>3108.7056000000002</v>
      </c>
      <c r="CZ64">
        <f>((S64+R64)*(ROUND((FY64*0.8),0)/100))</f>
        <v>2072.4704000000002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  <c r="DU64">
        <v>1013</v>
      </c>
      <c r="DV64" t="s">
        <v>100</v>
      </c>
      <c r="DW64" t="s">
        <v>100</v>
      </c>
      <c r="DX64">
        <v>1</v>
      </c>
      <c r="EE64">
        <v>21331719</v>
      </c>
      <c r="EF64">
        <v>3</v>
      </c>
      <c r="EG64" t="s">
        <v>102</v>
      </c>
      <c r="EH64">
        <v>0</v>
      </c>
      <c r="EI64" t="s">
        <v>3</v>
      </c>
      <c r="EJ64">
        <v>2</v>
      </c>
      <c r="EK64">
        <v>38</v>
      </c>
      <c r="EL64" t="s">
        <v>103</v>
      </c>
      <c r="EM64" t="s">
        <v>104</v>
      </c>
      <c r="EO64" t="s">
        <v>3</v>
      </c>
      <c r="EQ64">
        <v>64</v>
      </c>
      <c r="ER64">
        <v>296.31</v>
      </c>
      <c r="ES64">
        <v>52.07</v>
      </c>
      <c r="ET64">
        <v>2.7</v>
      </c>
      <c r="EU64">
        <v>0.3</v>
      </c>
      <c r="EV64">
        <v>241.54000000000002</v>
      </c>
      <c r="EW64">
        <v>21.8</v>
      </c>
      <c r="EX64">
        <v>0.03</v>
      </c>
      <c r="EY64">
        <v>0</v>
      </c>
      <c r="EZ64">
        <v>0</v>
      </c>
      <c r="FQ64">
        <v>0</v>
      </c>
      <c r="FR64">
        <f t="shared" ref="FR64:FR74" si="67">ROUND(IF(AND(AA64=0,BI64=3),P64,0),2)</f>
        <v>0</v>
      </c>
      <c r="FS64">
        <v>0</v>
      </c>
      <c r="FV64" t="s">
        <v>51</v>
      </c>
      <c r="FW64" t="s">
        <v>52</v>
      </c>
      <c r="FX64">
        <v>92</v>
      </c>
      <c r="FY64">
        <v>65</v>
      </c>
    </row>
    <row r="65" spans="1:181">
      <c r="A65">
        <v>17</v>
      </c>
      <c r="B65">
        <v>1</v>
      </c>
      <c r="C65">
        <f>ROW(SmtRes!A21)</f>
        <v>21</v>
      </c>
      <c r="D65">
        <f>ROW(EtalonRes!A23)</f>
        <v>23</v>
      </c>
      <c r="E65" t="s">
        <v>105</v>
      </c>
      <c r="F65" t="s">
        <v>106</v>
      </c>
      <c r="G65" t="s">
        <v>107</v>
      </c>
      <c r="H65" t="s">
        <v>108</v>
      </c>
      <c r="I65">
        <v>3</v>
      </c>
      <c r="J65">
        <v>0</v>
      </c>
      <c r="O65">
        <f t="shared" si="38"/>
        <v>8111.74</v>
      </c>
      <c r="P65">
        <f t="shared" si="39"/>
        <v>436.18</v>
      </c>
      <c r="Q65">
        <f t="shared" si="40"/>
        <v>0</v>
      </c>
      <c r="R65">
        <f t="shared" si="41"/>
        <v>0</v>
      </c>
      <c r="S65">
        <f t="shared" si="42"/>
        <v>7675.56</v>
      </c>
      <c r="T65">
        <f t="shared" si="43"/>
        <v>0</v>
      </c>
      <c r="U65">
        <f t="shared" si="44"/>
        <v>45</v>
      </c>
      <c r="V65">
        <f t="shared" si="45"/>
        <v>0</v>
      </c>
      <c r="W65">
        <f t="shared" si="46"/>
        <v>0</v>
      </c>
      <c r="X65">
        <f t="shared" si="47"/>
        <v>5219.38</v>
      </c>
      <c r="Y65">
        <f t="shared" si="48"/>
        <v>3684.27</v>
      </c>
      <c r="AA65">
        <v>0</v>
      </c>
      <c r="AB65">
        <f t="shared" si="49"/>
        <v>205.91</v>
      </c>
      <c r="AC65">
        <f t="shared" si="50"/>
        <v>50.66</v>
      </c>
      <c r="AD65">
        <f t="shared" si="51"/>
        <v>0</v>
      </c>
      <c r="AE65">
        <f t="shared" si="52"/>
        <v>0</v>
      </c>
      <c r="AF65">
        <f t="shared" si="53"/>
        <v>155.25</v>
      </c>
      <c r="AG65">
        <f t="shared" si="54"/>
        <v>0</v>
      </c>
      <c r="AH65">
        <f t="shared" si="55"/>
        <v>15</v>
      </c>
      <c r="AI65">
        <f t="shared" si="56"/>
        <v>0</v>
      </c>
      <c r="AJ65">
        <f t="shared" si="57"/>
        <v>0</v>
      </c>
      <c r="AK65">
        <v>205.91</v>
      </c>
      <c r="AL65">
        <v>50.660000000000004</v>
      </c>
      <c r="AM65">
        <v>0</v>
      </c>
      <c r="AN65">
        <v>0</v>
      </c>
      <c r="AO65">
        <v>155.25</v>
      </c>
      <c r="AP65">
        <v>0</v>
      </c>
      <c r="AQ65">
        <v>15</v>
      </c>
      <c r="AR65">
        <v>0</v>
      </c>
      <c r="AS65">
        <v>0</v>
      </c>
      <c r="AT65">
        <v>68</v>
      </c>
      <c r="AU65">
        <v>48</v>
      </c>
      <c r="AV65">
        <v>1</v>
      </c>
      <c r="AW65">
        <v>1</v>
      </c>
      <c r="AX65">
        <v>1</v>
      </c>
      <c r="AY65">
        <v>1</v>
      </c>
      <c r="AZ65">
        <v>12.32</v>
      </c>
      <c r="BA65">
        <v>16.48</v>
      </c>
      <c r="BB65">
        <v>1</v>
      </c>
      <c r="BC65">
        <v>2.87</v>
      </c>
      <c r="BD65" t="s">
        <v>3</v>
      </c>
      <c r="BE65" t="s">
        <v>3</v>
      </c>
      <c r="BF65" t="s">
        <v>3</v>
      </c>
      <c r="BG65" t="s">
        <v>3</v>
      </c>
      <c r="BH65">
        <v>0</v>
      </c>
      <c r="BI65">
        <v>2</v>
      </c>
      <c r="BJ65" t="s">
        <v>109</v>
      </c>
      <c r="BM65">
        <v>55</v>
      </c>
      <c r="BN65">
        <v>0</v>
      </c>
      <c r="BO65" t="s">
        <v>106</v>
      </c>
      <c r="BP65">
        <v>1</v>
      </c>
      <c r="BQ65">
        <v>3</v>
      </c>
      <c r="BR65">
        <v>0</v>
      </c>
      <c r="BS65">
        <v>16.48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80</v>
      </c>
      <c r="CA65">
        <v>60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58"/>
        <v>8111.7400000000007</v>
      </c>
      <c r="CQ65">
        <f t="shared" si="59"/>
        <v>145.39419999999998</v>
      </c>
      <c r="CR65">
        <f t="shared" si="60"/>
        <v>0</v>
      </c>
      <c r="CS65">
        <f t="shared" si="61"/>
        <v>0</v>
      </c>
      <c r="CT65">
        <f t="shared" si="62"/>
        <v>2558.52</v>
      </c>
      <c r="CU65">
        <f t="shared" si="63"/>
        <v>0</v>
      </c>
      <c r="CV65">
        <f t="shared" si="64"/>
        <v>15</v>
      </c>
      <c r="CW65">
        <f t="shared" si="65"/>
        <v>0</v>
      </c>
      <c r="CX65">
        <f t="shared" si="66"/>
        <v>0</v>
      </c>
      <c r="CY65">
        <f>((S65+R65)*(ROUND((FX65*IF((0=1),0.94,0.85)*IF((0=1),0.85,1)),0)/100))</f>
        <v>5219.3808000000008</v>
      </c>
      <c r="CZ65">
        <f>((S65+R65)*(ROUND((FY65*0.8),0)/100))</f>
        <v>3684.2687999999998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R65">
        <v>1</v>
      </c>
      <c r="DS65">
        <v>1</v>
      </c>
      <c r="DT65">
        <v>1</v>
      </c>
      <c r="DU65">
        <v>1013</v>
      </c>
      <c r="DV65" t="s">
        <v>108</v>
      </c>
      <c r="DW65" t="s">
        <v>108</v>
      </c>
      <c r="DX65">
        <v>1</v>
      </c>
      <c r="EE65">
        <v>21331721</v>
      </c>
      <c r="EF65">
        <v>3</v>
      </c>
      <c r="EG65" t="s">
        <v>102</v>
      </c>
      <c r="EH65">
        <v>0</v>
      </c>
      <c r="EI65" t="s">
        <v>3</v>
      </c>
      <c r="EJ65">
        <v>2</v>
      </c>
      <c r="EK65">
        <v>55</v>
      </c>
      <c r="EL65" t="s">
        <v>110</v>
      </c>
      <c r="EM65" t="s">
        <v>111</v>
      </c>
      <c r="EO65" t="s">
        <v>3</v>
      </c>
      <c r="EQ65">
        <v>64</v>
      </c>
      <c r="ER65">
        <v>205.91</v>
      </c>
      <c r="ES65">
        <v>50.660000000000004</v>
      </c>
      <c r="ET65">
        <v>0</v>
      </c>
      <c r="EU65">
        <v>0</v>
      </c>
      <c r="EV65">
        <v>155.25</v>
      </c>
      <c r="EW65">
        <v>15</v>
      </c>
      <c r="EX65">
        <v>0</v>
      </c>
      <c r="EY65">
        <v>0</v>
      </c>
      <c r="EZ65">
        <v>0</v>
      </c>
      <c r="FQ65">
        <v>0</v>
      </c>
      <c r="FR65">
        <f t="shared" si="67"/>
        <v>0</v>
      </c>
      <c r="FS65">
        <v>0</v>
      </c>
      <c r="FV65" t="s">
        <v>51</v>
      </c>
      <c r="FW65" t="s">
        <v>52</v>
      </c>
      <c r="FX65">
        <v>80</v>
      </c>
      <c r="FY65">
        <v>60</v>
      </c>
    </row>
    <row r="66" spans="1:181">
      <c r="A66">
        <v>17</v>
      </c>
      <c r="B66">
        <v>1</v>
      </c>
      <c r="C66">
        <f>ROW(SmtRes!A26)</f>
        <v>26</v>
      </c>
      <c r="D66">
        <f>ROW(EtalonRes!A29)</f>
        <v>29</v>
      </c>
      <c r="E66" t="s">
        <v>112</v>
      </c>
      <c r="F66" t="s">
        <v>113</v>
      </c>
      <c r="G66" t="s">
        <v>114</v>
      </c>
      <c r="H66" t="s">
        <v>115</v>
      </c>
      <c r="I66">
        <v>1</v>
      </c>
      <c r="J66">
        <v>0</v>
      </c>
      <c r="O66">
        <f t="shared" si="38"/>
        <v>1253.24</v>
      </c>
      <c r="P66">
        <f t="shared" si="39"/>
        <v>57.45</v>
      </c>
      <c r="Q66">
        <f t="shared" si="40"/>
        <v>0</v>
      </c>
      <c r="R66">
        <f t="shared" si="41"/>
        <v>0</v>
      </c>
      <c r="S66">
        <f t="shared" si="42"/>
        <v>1195.79</v>
      </c>
      <c r="T66">
        <f t="shared" si="43"/>
        <v>0</v>
      </c>
      <c r="U66">
        <f t="shared" si="44"/>
        <v>8</v>
      </c>
      <c r="V66">
        <f t="shared" si="45"/>
        <v>0</v>
      </c>
      <c r="W66">
        <f t="shared" si="46"/>
        <v>0</v>
      </c>
      <c r="X66">
        <f t="shared" si="47"/>
        <v>932.72</v>
      </c>
      <c r="Y66">
        <f t="shared" si="48"/>
        <v>621.80999999999995</v>
      </c>
      <c r="AA66">
        <v>0</v>
      </c>
      <c r="AB66">
        <f t="shared" si="49"/>
        <v>86.71</v>
      </c>
      <c r="AC66">
        <f t="shared" si="50"/>
        <v>14.15</v>
      </c>
      <c r="AD66">
        <f t="shared" si="51"/>
        <v>0</v>
      </c>
      <c r="AE66">
        <f t="shared" si="52"/>
        <v>0</v>
      </c>
      <c r="AF66">
        <f t="shared" si="53"/>
        <v>72.56</v>
      </c>
      <c r="AG66">
        <f t="shared" si="54"/>
        <v>0</v>
      </c>
      <c r="AH66">
        <f t="shared" si="55"/>
        <v>8</v>
      </c>
      <c r="AI66">
        <f t="shared" si="56"/>
        <v>0</v>
      </c>
      <c r="AJ66">
        <f t="shared" si="57"/>
        <v>0</v>
      </c>
      <c r="AK66">
        <v>86.710000000000008</v>
      </c>
      <c r="AL66">
        <v>14.15</v>
      </c>
      <c r="AM66">
        <v>0</v>
      </c>
      <c r="AN66">
        <v>0</v>
      </c>
      <c r="AO66">
        <v>72.56</v>
      </c>
      <c r="AP66">
        <v>0</v>
      </c>
      <c r="AQ66">
        <v>8</v>
      </c>
      <c r="AR66">
        <v>0</v>
      </c>
      <c r="AS66">
        <v>0</v>
      </c>
      <c r="AT66">
        <v>78</v>
      </c>
      <c r="AU66">
        <v>52</v>
      </c>
      <c r="AV66">
        <v>1</v>
      </c>
      <c r="AW66">
        <v>1</v>
      </c>
      <c r="AX66">
        <v>1</v>
      </c>
      <c r="AY66">
        <v>1</v>
      </c>
      <c r="AZ66">
        <v>14.45</v>
      </c>
      <c r="BA66">
        <v>16.48</v>
      </c>
      <c r="BB66">
        <v>1</v>
      </c>
      <c r="BC66">
        <v>4.0599999999999996</v>
      </c>
      <c r="BD66" t="s">
        <v>3</v>
      </c>
      <c r="BE66" t="s">
        <v>3</v>
      </c>
      <c r="BF66" t="s">
        <v>3</v>
      </c>
      <c r="BG66" t="s">
        <v>3</v>
      </c>
      <c r="BH66">
        <v>0</v>
      </c>
      <c r="BI66">
        <v>2</v>
      </c>
      <c r="BJ66" t="s">
        <v>116</v>
      </c>
      <c r="BM66">
        <v>110004</v>
      </c>
      <c r="BN66">
        <v>0</v>
      </c>
      <c r="BO66" t="s">
        <v>113</v>
      </c>
      <c r="BP66">
        <v>1</v>
      </c>
      <c r="BQ66">
        <v>3</v>
      </c>
      <c r="BR66">
        <v>0</v>
      </c>
      <c r="BS66">
        <v>16.48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92</v>
      </c>
      <c r="CA66">
        <v>65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58"/>
        <v>1253.24</v>
      </c>
      <c r="CQ66">
        <f t="shared" si="59"/>
        <v>57.448999999999998</v>
      </c>
      <c r="CR66">
        <f t="shared" si="60"/>
        <v>0</v>
      </c>
      <c r="CS66">
        <f t="shared" si="61"/>
        <v>0</v>
      </c>
      <c r="CT66">
        <f t="shared" si="62"/>
        <v>1195.7888</v>
      </c>
      <c r="CU66">
        <f t="shared" si="63"/>
        <v>0</v>
      </c>
      <c r="CV66">
        <f t="shared" si="64"/>
        <v>8</v>
      </c>
      <c r="CW66">
        <f t="shared" si="65"/>
        <v>0</v>
      </c>
      <c r="CX66">
        <f t="shared" si="66"/>
        <v>0</v>
      </c>
      <c r="CY66">
        <f>((S66+R66)*(ROUND((FX66*IF((0=1),0.94,0.85)*IF((0=1),0.85,1)),0)/100))</f>
        <v>932.71619999999996</v>
      </c>
      <c r="CZ66">
        <f>((S66+R66)*(ROUND((FY66*0.8),0)/100))</f>
        <v>621.81079999999997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R66">
        <v>1</v>
      </c>
      <c r="DS66">
        <v>1</v>
      </c>
      <c r="DT66">
        <v>1</v>
      </c>
      <c r="DU66">
        <v>1013</v>
      </c>
      <c r="DV66" t="s">
        <v>115</v>
      </c>
      <c r="DW66" t="s">
        <v>115</v>
      </c>
      <c r="DX66">
        <v>1</v>
      </c>
      <c r="EE66">
        <v>21331448</v>
      </c>
      <c r="EF66">
        <v>3</v>
      </c>
      <c r="EG66" t="s">
        <v>102</v>
      </c>
      <c r="EH66">
        <v>0</v>
      </c>
      <c r="EI66" t="s">
        <v>3</v>
      </c>
      <c r="EJ66">
        <v>2</v>
      </c>
      <c r="EK66">
        <v>110004</v>
      </c>
      <c r="EL66" t="s">
        <v>117</v>
      </c>
      <c r="EM66" t="s">
        <v>104</v>
      </c>
      <c r="EO66" t="s">
        <v>3</v>
      </c>
      <c r="EQ66">
        <v>64</v>
      </c>
      <c r="ER66">
        <v>86.71</v>
      </c>
      <c r="ES66">
        <v>14.15</v>
      </c>
      <c r="ET66">
        <v>0</v>
      </c>
      <c r="EU66">
        <v>0</v>
      </c>
      <c r="EV66">
        <v>72.56</v>
      </c>
      <c r="EW66">
        <v>8</v>
      </c>
      <c r="EX66">
        <v>0</v>
      </c>
      <c r="EY66">
        <v>0</v>
      </c>
      <c r="EZ66">
        <v>0</v>
      </c>
      <c r="FQ66">
        <v>0</v>
      </c>
      <c r="FR66">
        <f t="shared" si="67"/>
        <v>0</v>
      </c>
      <c r="FS66">
        <v>0</v>
      </c>
      <c r="FV66" t="s">
        <v>51</v>
      </c>
      <c r="FW66" t="s">
        <v>52</v>
      </c>
      <c r="FX66">
        <v>92</v>
      </c>
      <c r="FY66">
        <v>65</v>
      </c>
    </row>
    <row r="67" spans="1:181">
      <c r="A67">
        <v>17</v>
      </c>
      <c r="B67">
        <v>1</v>
      </c>
      <c r="C67">
        <f>ROW(SmtRes!A29)</f>
        <v>29</v>
      </c>
      <c r="D67">
        <f>ROW(EtalonRes!A33)</f>
        <v>33</v>
      </c>
      <c r="E67" t="s">
        <v>118</v>
      </c>
      <c r="F67" t="s">
        <v>119</v>
      </c>
      <c r="G67" t="s">
        <v>120</v>
      </c>
      <c r="H67" t="s">
        <v>20</v>
      </c>
      <c r="I67">
        <v>1</v>
      </c>
      <c r="J67">
        <v>0</v>
      </c>
      <c r="O67">
        <f t="shared" si="38"/>
        <v>411.03</v>
      </c>
      <c r="P67">
        <f t="shared" si="39"/>
        <v>7.91</v>
      </c>
      <c r="Q67">
        <f t="shared" si="40"/>
        <v>4.63</v>
      </c>
      <c r="R67">
        <f t="shared" si="41"/>
        <v>1.65</v>
      </c>
      <c r="S67">
        <f t="shared" si="42"/>
        <v>398.49</v>
      </c>
      <c r="T67">
        <f t="shared" si="43"/>
        <v>0</v>
      </c>
      <c r="U67">
        <f t="shared" si="44"/>
        <v>2.1800000000000002</v>
      </c>
      <c r="V67">
        <f t="shared" si="45"/>
        <v>0.01</v>
      </c>
      <c r="W67">
        <f t="shared" si="46"/>
        <v>0</v>
      </c>
      <c r="X67">
        <f t="shared" si="47"/>
        <v>312.11</v>
      </c>
      <c r="Y67">
        <f t="shared" si="48"/>
        <v>208.07</v>
      </c>
      <c r="AA67">
        <v>0</v>
      </c>
      <c r="AB67">
        <f t="shared" si="49"/>
        <v>25.56</v>
      </c>
      <c r="AC67">
        <f t="shared" si="50"/>
        <v>0.48</v>
      </c>
      <c r="AD67">
        <f t="shared" si="51"/>
        <v>0.9</v>
      </c>
      <c r="AE67">
        <f t="shared" si="52"/>
        <v>0.1</v>
      </c>
      <c r="AF67">
        <f t="shared" si="53"/>
        <v>24.18</v>
      </c>
      <c r="AG67">
        <f t="shared" si="54"/>
        <v>0</v>
      </c>
      <c r="AH67">
        <f t="shared" si="55"/>
        <v>2.1800000000000002</v>
      </c>
      <c r="AI67">
        <f t="shared" si="56"/>
        <v>0.01</v>
      </c>
      <c r="AJ67">
        <f t="shared" si="57"/>
        <v>0</v>
      </c>
      <c r="AK67">
        <v>25.56</v>
      </c>
      <c r="AL67">
        <v>0.48</v>
      </c>
      <c r="AM67">
        <v>0.9</v>
      </c>
      <c r="AN67">
        <v>0.1</v>
      </c>
      <c r="AO67">
        <v>24.18</v>
      </c>
      <c r="AP67">
        <v>0</v>
      </c>
      <c r="AQ67">
        <v>2.1800000000000002</v>
      </c>
      <c r="AR67">
        <v>0.01</v>
      </c>
      <c r="AS67">
        <v>0</v>
      </c>
      <c r="AT67">
        <v>78</v>
      </c>
      <c r="AU67">
        <v>52</v>
      </c>
      <c r="AV67">
        <v>1</v>
      </c>
      <c r="AW67">
        <v>1</v>
      </c>
      <c r="AX67">
        <v>1</v>
      </c>
      <c r="AY67">
        <v>1</v>
      </c>
      <c r="AZ67">
        <v>16.079999999999998</v>
      </c>
      <c r="BA67">
        <v>16.48</v>
      </c>
      <c r="BB67">
        <v>5.14</v>
      </c>
      <c r="BC67">
        <v>16.48</v>
      </c>
      <c r="BD67" t="s">
        <v>3</v>
      </c>
      <c r="BE67" t="s">
        <v>3</v>
      </c>
      <c r="BF67" t="s">
        <v>3</v>
      </c>
      <c r="BG67" t="s">
        <v>3</v>
      </c>
      <c r="BH67">
        <v>0</v>
      </c>
      <c r="BI67">
        <v>2</v>
      </c>
      <c r="BJ67" t="s">
        <v>121</v>
      </c>
      <c r="BM67">
        <v>110004</v>
      </c>
      <c r="BN67">
        <v>0</v>
      </c>
      <c r="BO67" t="s">
        <v>119</v>
      </c>
      <c r="BP67">
        <v>1</v>
      </c>
      <c r="BQ67">
        <v>3</v>
      </c>
      <c r="BR67">
        <v>0</v>
      </c>
      <c r="BS67">
        <v>16.48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92</v>
      </c>
      <c r="CA67">
        <v>65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58"/>
        <v>411.03000000000003</v>
      </c>
      <c r="CQ67">
        <f t="shared" si="59"/>
        <v>7.9104000000000001</v>
      </c>
      <c r="CR67">
        <f t="shared" si="60"/>
        <v>4.6259999999999994</v>
      </c>
      <c r="CS67">
        <f t="shared" si="61"/>
        <v>1.6480000000000001</v>
      </c>
      <c r="CT67">
        <f t="shared" si="62"/>
        <v>398.4864</v>
      </c>
      <c r="CU67">
        <f t="shared" si="63"/>
        <v>0</v>
      </c>
      <c r="CV67">
        <f t="shared" si="64"/>
        <v>2.1800000000000002</v>
      </c>
      <c r="CW67">
        <f t="shared" si="65"/>
        <v>0.01</v>
      </c>
      <c r="CX67">
        <f t="shared" si="66"/>
        <v>0</v>
      </c>
      <c r="CY67">
        <f>((S67+R67)*(ROUND((FX67*IF((0=1),0.94,0.85)*IF((0=1),0.85,1)),0)/100))</f>
        <v>312.10919999999999</v>
      </c>
      <c r="CZ67">
        <f>((S67+R67)*(ROUND((FY67*0.8),0)/100))</f>
        <v>208.0728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R67">
        <v>1</v>
      </c>
      <c r="DS67">
        <v>1</v>
      </c>
      <c r="DT67">
        <v>1</v>
      </c>
      <c r="DU67">
        <v>1010</v>
      </c>
      <c r="DV67" t="s">
        <v>20</v>
      </c>
      <c r="DW67" t="s">
        <v>20</v>
      </c>
      <c r="DX67">
        <v>1</v>
      </c>
      <c r="EE67">
        <v>21331448</v>
      </c>
      <c r="EF67">
        <v>3</v>
      </c>
      <c r="EG67" t="s">
        <v>102</v>
      </c>
      <c r="EH67">
        <v>0</v>
      </c>
      <c r="EI67" t="s">
        <v>3</v>
      </c>
      <c r="EJ67">
        <v>2</v>
      </c>
      <c r="EK67">
        <v>110004</v>
      </c>
      <c r="EL67" t="s">
        <v>117</v>
      </c>
      <c r="EM67" t="s">
        <v>104</v>
      </c>
      <c r="EO67" t="s">
        <v>3</v>
      </c>
      <c r="EQ67">
        <v>0</v>
      </c>
      <c r="ER67">
        <v>25.56</v>
      </c>
      <c r="ES67">
        <v>0.48</v>
      </c>
      <c r="ET67">
        <v>0.9</v>
      </c>
      <c r="EU67">
        <v>0.1</v>
      </c>
      <c r="EV67">
        <v>24.18</v>
      </c>
      <c r="EW67">
        <v>2.1800000000000002</v>
      </c>
      <c r="EX67">
        <v>0.01</v>
      </c>
      <c r="EY67">
        <v>0</v>
      </c>
      <c r="EZ67">
        <v>0</v>
      </c>
      <c r="FQ67">
        <v>0</v>
      </c>
      <c r="FR67">
        <f t="shared" si="67"/>
        <v>0</v>
      </c>
      <c r="FS67">
        <v>0</v>
      </c>
      <c r="FV67" t="s">
        <v>51</v>
      </c>
      <c r="FW67" t="s">
        <v>52</v>
      </c>
      <c r="FX67">
        <v>92</v>
      </c>
      <c r="FY67">
        <v>65</v>
      </c>
    </row>
    <row r="68" spans="1:181">
      <c r="A68">
        <v>17</v>
      </c>
      <c r="B68">
        <v>1</v>
      </c>
      <c r="C68">
        <f>ROW(SmtRes!A41)</f>
        <v>41</v>
      </c>
      <c r="D68">
        <f>ROW(EtalonRes!A46)</f>
        <v>46</v>
      </c>
      <c r="E68" t="s">
        <v>122</v>
      </c>
      <c r="F68" t="s">
        <v>123</v>
      </c>
      <c r="G68" t="s">
        <v>124</v>
      </c>
      <c r="H68" t="s">
        <v>20</v>
      </c>
      <c r="I68">
        <v>12</v>
      </c>
      <c r="J68">
        <v>0</v>
      </c>
      <c r="O68">
        <f t="shared" si="38"/>
        <v>2465.6799999999998</v>
      </c>
      <c r="P68">
        <f t="shared" si="39"/>
        <v>382.2</v>
      </c>
      <c r="Q68">
        <f t="shared" si="40"/>
        <v>0</v>
      </c>
      <c r="R68">
        <f t="shared" si="41"/>
        <v>0</v>
      </c>
      <c r="S68">
        <f t="shared" si="42"/>
        <v>2083.48</v>
      </c>
      <c r="T68">
        <f t="shared" si="43"/>
        <v>0</v>
      </c>
      <c r="U68">
        <f t="shared" si="44"/>
        <v>12.36</v>
      </c>
      <c r="V68">
        <f t="shared" si="45"/>
        <v>0</v>
      </c>
      <c r="W68">
        <f t="shared" si="46"/>
        <v>0</v>
      </c>
      <c r="X68">
        <f t="shared" si="47"/>
        <v>1625.11</v>
      </c>
      <c r="Y68">
        <f t="shared" si="48"/>
        <v>1083.4100000000001</v>
      </c>
      <c r="AA68">
        <v>0</v>
      </c>
      <c r="AB68">
        <f t="shared" si="49"/>
        <v>15.68</v>
      </c>
      <c r="AC68">
        <f t="shared" si="50"/>
        <v>5.77</v>
      </c>
      <c r="AD68">
        <f t="shared" si="51"/>
        <v>0</v>
      </c>
      <c r="AE68">
        <f t="shared" si="52"/>
        <v>0</v>
      </c>
      <c r="AF68">
        <f t="shared" si="53"/>
        <v>9.91</v>
      </c>
      <c r="AG68">
        <f t="shared" si="54"/>
        <v>0</v>
      </c>
      <c r="AH68">
        <f t="shared" si="55"/>
        <v>1.03</v>
      </c>
      <c r="AI68">
        <f t="shared" si="56"/>
        <v>0</v>
      </c>
      <c r="AJ68">
        <f t="shared" si="57"/>
        <v>0</v>
      </c>
      <c r="AK68">
        <v>15.68</v>
      </c>
      <c r="AL68">
        <v>5.77</v>
      </c>
      <c r="AM68">
        <v>0</v>
      </c>
      <c r="AN68">
        <v>0</v>
      </c>
      <c r="AO68">
        <v>9.91</v>
      </c>
      <c r="AP68">
        <v>0</v>
      </c>
      <c r="AQ68">
        <v>1.03</v>
      </c>
      <c r="AR68">
        <v>0</v>
      </c>
      <c r="AS68">
        <v>0</v>
      </c>
      <c r="AT68">
        <v>78</v>
      </c>
      <c r="AU68">
        <v>52</v>
      </c>
      <c r="AV68">
        <v>1</v>
      </c>
      <c r="AW68">
        <v>1</v>
      </c>
      <c r="AX68">
        <v>1</v>
      </c>
      <c r="AY68">
        <v>1</v>
      </c>
      <c r="AZ68">
        <v>13.8</v>
      </c>
      <c r="BA68">
        <v>17.52</v>
      </c>
      <c r="BB68">
        <v>1</v>
      </c>
      <c r="BC68">
        <v>5.52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2</v>
      </c>
      <c r="BJ68" t="s">
        <v>125</v>
      </c>
      <c r="BM68">
        <v>111002</v>
      </c>
      <c r="BN68">
        <v>0</v>
      </c>
      <c r="BO68" t="s">
        <v>126</v>
      </c>
      <c r="BP68">
        <v>1</v>
      </c>
      <c r="BQ68">
        <v>3</v>
      </c>
      <c r="BR68">
        <v>0</v>
      </c>
      <c r="BS68">
        <v>17.52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92</v>
      </c>
      <c r="CA68">
        <v>65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 t="shared" si="58"/>
        <v>2465.6799999999998</v>
      </c>
      <c r="CQ68">
        <f t="shared" si="59"/>
        <v>31.850399999999997</v>
      </c>
      <c r="CR68">
        <f t="shared" si="60"/>
        <v>0</v>
      </c>
      <c r="CS68">
        <f t="shared" si="61"/>
        <v>0</v>
      </c>
      <c r="CT68">
        <f t="shared" si="62"/>
        <v>173.6232</v>
      </c>
      <c r="CU68">
        <f t="shared" si="63"/>
        <v>0</v>
      </c>
      <c r="CV68">
        <f t="shared" si="64"/>
        <v>1.03</v>
      </c>
      <c r="CW68">
        <f t="shared" si="65"/>
        <v>0</v>
      </c>
      <c r="CX68">
        <f t="shared" si="66"/>
        <v>0</v>
      </c>
      <c r="CY68">
        <f t="shared" ref="CY68:CY74" si="68">((S68+R68)*(ROUND((FX68*IF(1,(IF(0,0.94,0.85)*IF(0,0.85,1)),1)),IF(1,0,2))/100))</f>
        <v>1625.1144000000002</v>
      </c>
      <c r="CZ68">
        <f t="shared" ref="CZ68:CZ74" si="69">((S68+R68)*(ROUND((FY68*IF(1,0.8,1)),IF(1,0,2))/100))</f>
        <v>1083.4096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R68">
        <v>1</v>
      </c>
      <c r="DS68">
        <v>1</v>
      </c>
      <c r="DT68">
        <v>1</v>
      </c>
      <c r="DU68">
        <v>1010</v>
      </c>
      <c r="DV68" t="s">
        <v>20</v>
      </c>
      <c r="DW68" t="s">
        <v>20</v>
      </c>
      <c r="DX68">
        <v>1</v>
      </c>
      <c r="EE68">
        <v>21331451</v>
      </c>
      <c r="EF68">
        <v>3</v>
      </c>
      <c r="EG68" t="s">
        <v>102</v>
      </c>
      <c r="EH68">
        <v>0</v>
      </c>
      <c r="EI68" t="s">
        <v>3</v>
      </c>
      <c r="EJ68">
        <v>2</v>
      </c>
      <c r="EK68">
        <v>111002</v>
      </c>
      <c r="EL68" t="s">
        <v>127</v>
      </c>
      <c r="EM68" t="s">
        <v>128</v>
      </c>
      <c r="EO68" t="s">
        <v>3</v>
      </c>
      <c r="EQ68">
        <v>64</v>
      </c>
      <c r="ER68">
        <v>15.68</v>
      </c>
      <c r="ES68">
        <v>5.77</v>
      </c>
      <c r="ET68">
        <v>0</v>
      </c>
      <c r="EU68">
        <v>0</v>
      </c>
      <c r="EV68">
        <v>9.91</v>
      </c>
      <c r="EW68">
        <v>1.03</v>
      </c>
      <c r="EX68">
        <v>0</v>
      </c>
      <c r="EY68">
        <v>0</v>
      </c>
      <c r="EZ68">
        <v>0</v>
      </c>
      <c r="FQ68">
        <v>0</v>
      </c>
      <c r="FR68">
        <f t="shared" si="67"/>
        <v>0</v>
      </c>
      <c r="FS68">
        <v>0</v>
      </c>
      <c r="FV68" t="s">
        <v>51</v>
      </c>
      <c r="FW68" t="s">
        <v>52</v>
      </c>
      <c r="FX68">
        <v>92</v>
      </c>
      <c r="FY68">
        <v>65</v>
      </c>
    </row>
    <row r="69" spans="1:181">
      <c r="A69">
        <v>17</v>
      </c>
      <c r="B69">
        <v>1</v>
      </c>
      <c r="C69">
        <f>ROW(SmtRes!A47)</f>
        <v>47</v>
      </c>
      <c r="D69">
        <f>ROW(EtalonRes!A53)</f>
        <v>53</v>
      </c>
      <c r="E69" t="s">
        <v>129</v>
      </c>
      <c r="F69" t="s">
        <v>130</v>
      </c>
      <c r="G69" t="s">
        <v>131</v>
      </c>
      <c r="H69" t="s">
        <v>20</v>
      </c>
      <c r="I69">
        <v>1</v>
      </c>
      <c r="J69">
        <v>0</v>
      </c>
      <c r="O69">
        <f t="shared" si="38"/>
        <v>673.97</v>
      </c>
      <c r="P69">
        <f t="shared" si="39"/>
        <v>27.82</v>
      </c>
      <c r="Q69">
        <f t="shared" si="40"/>
        <v>2.11</v>
      </c>
      <c r="R69">
        <f t="shared" si="41"/>
        <v>0</v>
      </c>
      <c r="S69">
        <f t="shared" si="42"/>
        <v>644.04</v>
      </c>
      <c r="T69">
        <f t="shared" si="43"/>
        <v>0</v>
      </c>
      <c r="U69">
        <f t="shared" si="44"/>
        <v>3.6</v>
      </c>
      <c r="V69">
        <f t="shared" si="45"/>
        <v>0</v>
      </c>
      <c r="W69">
        <f t="shared" si="46"/>
        <v>0</v>
      </c>
      <c r="X69">
        <f t="shared" si="47"/>
        <v>437.95</v>
      </c>
      <c r="Y69">
        <f t="shared" si="48"/>
        <v>309.14</v>
      </c>
      <c r="AA69">
        <v>0</v>
      </c>
      <c r="AB69">
        <f t="shared" si="49"/>
        <v>41.35</v>
      </c>
      <c r="AC69">
        <f t="shared" si="50"/>
        <v>4.34</v>
      </c>
      <c r="AD69">
        <f t="shared" si="51"/>
        <v>0.25</v>
      </c>
      <c r="AE69">
        <f t="shared" si="52"/>
        <v>0</v>
      </c>
      <c r="AF69">
        <f t="shared" si="53"/>
        <v>36.76</v>
      </c>
      <c r="AG69">
        <f t="shared" si="54"/>
        <v>0</v>
      </c>
      <c r="AH69">
        <f t="shared" si="55"/>
        <v>3.6</v>
      </c>
      <c r="AI69">
        <f t="shared" si="56"/>
        <v>0</v>
      </c>
      <c r="AJ69">
        <f t="shared" si="57"/>
        <v>0</v>
      </c>
      <c r="AK69">
        <v>41.349999999999994</v>
      </c>
      <c r="AL69">
        <v>4.34</v>
      </c>
      <c r="AM69">
        <v>0.25</v>
      </c>
      <c r="AN69">
        <v>0</v>
      </c>
      <c r="AO69">
        <v>36.76</v>
      </c>
      <c r="AP69">
        <v>0</v>
      </c>
      <c r="AQ69">
        <v>3.6</v>
      </c>
      <c r="AR69">
        <v>0</v>
      </c>
      <c r="AS69">
        <v>0</v>
      </c>
      <c r="AT69">
        <v>68</v>
      </c>
      <c r="AU69">
        <v>48</v>
      </c>
      <c r="AV69">
        <v>1</v>
      </c>
      <c r="AW69">
        <v>1</v>
      </c>
      <c r="AX69">
        <v>1</v>
      </c>
      <c r="AY69">
        <v>1</v>
      </c>
      <c r="AZ69">
        <v>15.31</v>
      </c>
      <c r="BA69">
        <v>17.52</v>
      </c>
      <c r="BB69">
        <v>8.44</v>
      </c>
      <c r="BC69">
        <v>6.41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2</v>
      </c>
      <c r="BJ69" t="s">
        <v>132</v>
      </c>
      <c r="BM69">
        <v>110011</v>
      </c>
      <c r="BN69">
        <v>0</v>
      </c>
      <c r="BO69" t="s">
        <v>130</v>
      </c>
      <c r="BP69">
        <v>1</v>
      </c>
      <c r="BQ69">
        <v>3</v>
      </c>
      <c r="BR69">
        <v>0</v>
      </c>
      <c r="BS69">
        <v>17.52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80</v>
      </c>
      <c r="CA69">
        <v>60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58"/>
        <v>673.96999999999991</v>
      </c>
      <c r="CQ69">
        <f t="shared" si="59"/>
        <v>27.819399999999998</v>
      </c>
      <c r="CR69">
        <f t="shared" si="60"/>
        <v>2.11</v>
      </c>
      <c r="CS69">
        <f t="shared" si="61"/>
        <v>0</v>
      </c>
      <c r="CT69">
        <f t="shared" si="62"/>
        <v>644.03519999999992</v>
      </c>
      <c r="CU69">
        <f t="shared" si="63"/>
        <v>0</v>
      </c>
      <c r="CV69">
        <f t="shared" si="64"/>
        <v>3.6</v>
      </c>
      <c r="CW69">
        <f t="shared" si="65"/>
        <v>0</v>
      </c>
      <c r="CX69">
        <f t="shared" si="66"/>
        <v>0</v>
      </c>
      <c r="CY69">
        <f t="shared" si="68"/>
        <v>437.94720000000001</v>
      </c>
      <c r="CZ69">
        <f t="shared" si="69"/>
        <v>309.13919999999996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R69">
        <v>1</v>
      </c>
      <c r="DS69">
        <v>1</v>
      </c>
      <c r="DT69">
        <v>1</v>
      </c>
      <c r="DU69">
        <v>1010</v>
      </c>
      <c r="DV69" t="s">
        <v>20</v>
      </c>
      <c r="DW69" t="s">
        <v>20</v>
      </c>
      <c r="DX69">
        <v>1</v>
      </c>
      <c r="EE69">
        <v>21331491</v>
      </c>
      <c r="EF69">
        <v>3</v>
      </c>
      <c r="EG69" t="s">
        <v>102</v>
      </c>
      <c r="EH69">
        <v>0</v>
      </c>
      <c r="EI69" t="s">
        <v>3</v>
      </c>
      <c r="EJ69">
        <v>2</v>
      </c>
      <c r="EK69">
        <v>110011</v>
      </c>
      <c r="EL69" t="s">
        <v>133</v>
      </c>
      <c r="EM69" t="s">
        <v>104</v>
      </c>
      <c r="EO69" t="s">
        <v>3</v>
      </c>
      <c r="EQ69">
        <v>64</v>
      </c>
      <c r="ER69">
        <v>41.35</v>
      </c>
      <c r="ES69">
        <v>4.34</v>
      </c>
      <c r="ET69">
        <v>0.25</v>
      </c>
      <c r="EU69">
        <v>0</v>
      </c>
      <c r="EV69">
        <v>36.76</v>
      </c>
      <c r="EW69">
        <v>3.6</v>
      </c>
      <c r="EX69">
        <v>0</v>
      </c>
      <c r="EY69">
        <v>0</v>
      </c>
      <c r="EZ69">
        <v>0</v>
      </c>
      <c r="FQ69">
        <v>0</v>
      </c>
      <c r="FR69">
        <f t="shared" si="67"/>
        <v>0</v>
      </c>
      <c r="FS69">
        <v>0</v>
      </c>
      <c r="FV69" t="s">
        <v>51</v>
      </c>
      <c r="FW69" t="s">
        <v>52</v>
      </c>
      <c r="FX69">
        <v>80</v>
      </c>
      <c r="FY69">
        <v>60</v>
      </c>
    </row>
    <row r="70" spans="1:181">
      <c r="A70">
        <v>17</v>
      </c>
      <c r="B70">
        <v>1</v>
      </c>
      <c r="C70">
        <f>ROW(SmtRes!A54)</f>
        <v>54</v>
      </c>
      <c r="D70">
        <f>ROW(EtalonRes!A61)</f>
        <v>61</v>
      </c>
      <c r="E70" t="s">
        <v>134</v>
      </c>
      <c r="F70" t="s">
        <v>135</v>
      </c>
      <c r="G70" t="s">
        <v>136</v>
      </c>
      <c r="H70" t="s">
        <v>137</v>
      </c>
      <c r="I70">
        <v>1</v>
      </c>
      <c r="J70">
        <v>0</v>
      </c>
      <c r="O70">
        <f t="shared" si="38"/>
        <v>3071.86</v>
      </c>
      <c r="P70">
        <f t="shared" si="39"/>
        <v>135.52000000000001</v>
      </c>
      <c r="Q70">
        <f t="shared" si="40"/>
        <v>222.14</v>
      </c>
      <c r="R70">
        <f t="shared" si="41"/>
        <v>2.1</v>
      </c>
      <c r="S70">
        <f t="shared" si="42"/>
        <v>2714.2</v>
      </c>
      <c r="T70">
        <f t="shared" si="43"/>
        <v>0</v>
      </c>
      <c r="U70">
        <f t="shared" si="44"/>
        <v>16.29</v>
      </c>
      <c r="V70">
        <f t="shared" si="45"/>
        <v>0.01</v>
      </c>
      <c r="W70">
        <f t="shared" si="46"/>
        <v>0</v>
      </c>
      <c r="X70">
        <f t="shared" si="47"/>
        <v>2200.1999999999998</v>
      </c>
      <c r="Y70">
        <f t="shared" si="48"/>
        <v>1412.48</v>
      </c>
      <c r="AA70">
        <v>0</v>
      </c>
      <c r="AB70">
        <f t="shared" si="49"/>
        <v>237.65</v>
      </c>
      <c r="AC70">
        <f t="shared" si="50"/>
        <v>51.53</v>
      </c>
      <c r="AD70">
        <f t="shared" si="51"/>
        <v>31.2</v>
      </c>
      <c r="AE70">
        <f t="shared" si="52"/>
        <v>0.12</v>
      </c>
      <c r="AF70">
        <f t="shared" si="53"/>
        <v>154.91999999999999</v>
      </c>
      <c r="AG70">
        <f t="shared" si="54"/>
        <v>0</v>
      </c>
      <c r="AH70">
        <f t="shared" si="55"/>
        <v>16.29</v>
      </c>
      <c r="AI70">
        <f t="shared" si="56"/>
        <v>0.01</v>
      </c>
      <c r="AJ70">
        <f t="shared" si="57"/>
        <v>0</v>
      </c>
      <c r="AK70">
        <v>237.64999999999998</v>
      </c>
      <c r="AL70">
        <v>51.53</v>
      </c>
      <c r="AM70">
        <v>31.2</v>
      </c>
      <c r="AN70">
        <v>0.12</v>
      </c>
      <c r="AO70">
        <v>154.91999999999999</v>
      </c>
      <c r="AP70">
        <v>0</v>
      </c>
      <c r="AQ70">
        <v>16.29</v>
      </c>
      <c r="AR70">
        <v>0.01</v>
      </c>
      <c r="AS70">
        <v>0</v>
      </c>
      <c r="AT70">
        <v>81</v>
      </c>
      <c r="AU70">
        <v>52</v>
      </c>
      <c r="AV70">
        <v>1</v>
      </c>
      <c r="AW70">
        <v>1</v>
      </c>
      <c r="AX70">
        <v>1</v>
      </c>
      <c r="AY70">
        <v>1</v>
      </c>
      <c r="AZ70">
        <v>13.76</v>
      </c>
      <c r="BA70">
        <v>17.52</v>
      </c>
      <c r="BB70">
        <v>7.12</v>
      </c>
      <c r="BC70">
        <v>2.63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2</v>
      </c>
      <c r="BJ70" t="s">
        <v>138</v>
      </c>
      <c r="BM70">
        <v>108001</v>
      </c>
      <c r="BN70">
        <v>0</v>
      </c>
      <c r="BO70" t="s">
        <v>135</v>
      </c>
      <c r="BP70">
        <v>1</v>
      </c>
      <c r="BQ70">
        <v>3</v>
      </c>
      <c r="BR70">
        <v>0</v>
      </c>
      <c r="BS70">
        <v>17.52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95</v>
      </c>
      <c r="CA70">
        <v>65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58"/>
        <v>3071.8599999999997</v>
      </c>
      <c r="CQ70">
        <f t="shared" si="59"/>
        <v>135.5239</v>
      </c>
      <c r="CR70">
        <f t="shared" si="60"/>
        <v>222.14400000000001</v>
      </c>
      <c r="CS70">
        <f t="shared" si="61"/>
        <v>2.1023999999999998</v>
      </c>
      <c r="CT70">
        <f t="shared" si="62"/>
        <v>2714.1983999999998</v>
      </c>
      <c r="CU70">
        <f t="shared" si="63"/>
        <v>0</v>
      </c>
      <c r="CV70">
        <f t="shared" si="64"/>
        <v>16.29</v>
      </c>
      <c r="CW70">
        <f t="shared" si="65"/>
        <v>0.01</v>
      </c>
      <c r="CX70">
        <f t="shared" si="66"/>
        <v>0</v>
      </c>
      <c r="CY70">
        <f t="shared" si="68"/>
        <v>2200.203</v>
      </c>
      <c r="CZ70">
        <f t="shared" si="69"/>
        <v>1412.4759999999999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R70">
        <v>1</v>
      </c>
      <c r="DS70">
        <v>1</v>
      </c>
      <c r="DT70">
        <v>1</v>
      </c>
      <c r="DU70">
        <v>1003</v>
      </c>
      <c r="DV70" t="s">
        <v>137</v>
      </c>
      <c r="DW70" t="s">
        <v>137</v>
      </c>
      <c r="DX70">
        <v>100</v>
      </c>
      <c r="EE70">
        <v>21331444</v>
      </c>
      <c r="EF70">
        <v>3</v>
      </c>
      <c r="EG70" t="s">
        <v>102</v>
      </c>
      <c r="EH70">
        <v>0</v>
      </c>
      <c r="EI70" t="s">
        <v>3</v>
      </c>
      <c r="EJ70">
        <v>2</v>
      </c>
      <c r="EK70">
        <v>108001</v>
      </c>
      <c r="EL70" t="s">
        <v>139</v>
      </c>
      <c r="EM70" t="s">
        <v>140</v>
      </c>
      <c r="EO70" t="s">
        <v>3</v>
      </c>
      <c r="EQ70">
        <v>64</v>
      </c>
      <c r="ER70">
        <v>237.65</v>
      </c>
      <c r="ES70">
        <v>51.53</v>
      </c>
      <c r="ET70">
        <v>31.2</v>
      </c>
      <c r="EU70">
        <v>0.12</v>
      </c>
      <c r="EV70">
        <v>154.91999999999999</v>
      </c>
      <c r="EW70">
        <v>16.29</v>
      </c>
      <c r="EX70">
        <v>0.01</v>
      </c>
      <c r="EY70">
        <v>0</v>
      </c>
      <c r="EZ70">
        <v>0</v>
      </c>
      <c r="FQ70">
        <v>0</v>
      </c>
      <c r="FR70">
        <f t="shared" si="67"/>
        <v>0</v>
      </c>
      <c r="FS70">
        <v>0</v>
      </c>
      <c r="FV70" t="s">
        <v>51</v>
      </c>
      <c r="FW70" t="s">
        <v>52</v>
      </c>
      <c r="FX70">
        <v>95</v>
      </c>
      <c r="FY70">
        <v>65</v>
      </c>
    </row>
    <row r="71" spans="1:181">
      <c r="A71">
        <v>17</v>
      </c>
      <c r="B71">
        <v>1</v>
      </c>
      <c r="C71">
        <f>ROW(SmtRes!A69)</f>
        <v>69</v>
      </c>
      <c r="D71">
        <f>ROW(EtalonRes!A77)</f>
        <v>77</v>
      </c>
      <c r="E71" t="s">
        <v>141</v>
      </c>
      <c r="F71" t="s">
        <v>142</v>
      </c>
      <c r="G71" t="s">
        <v>143</v>
      </c>
      <c r="H71" t="s">
        <v>137</v>
      </c>
      <c r="I71">
        <v>0.1</v>
      </c>
      <c r="J71">
        <v>0</v>
      </c>
      <c r="O71">
        <f t="shared" si="38"/>
        <v>801.77</v>
      </c>
      <c r="P71">
        <f t="shared" si="39"/>
        <v>365.66</v>
      </c>
      <c r="Q71">
        <f t="shared" si="40"/>
        <v>44.15</v>
      </c>
      <c r="R71">
        <f t="shared" si="41"/>
        <v>2.61</v>
      </c>
      <c r="S71">
        <f t="shared" si="42"/>
        <v>391.96</v>
      </c>
      <c r="T71">
        <f t="shared" si="43"/>
        <v>0</v>
      </c>
      <c r="U71">
        <f t="shared" si="44"/>
        <v>2.3800000000000003</v>
      </c>
      <c r="V71">
        <f t="shared" si="45"/>
        <v>1.5910000000000002</v>
      </c>
      <c r="W71">
        <f t="shared" si="46"/>
        <v>0</v>
      </c>
      <c r="X71">
        <f t="shared" si="47"/>
        <v>319.60000000000002</v>
      </c>
      <c r="Y71">
        <f t="shared" si="48"/>
        <v>205.18</v>
      </c>
      <c r="AA71">
        <v>0</v>
      </c>
      <c r="AB71">
        <f t="shared" si="49"/>
        <v>1739.1</v>
      </c>
      <c r="AC71">
        <f t="shared" si="50"/>
        <v>1456.83</v>
      </c>
      <c r="AD71">
        <f t="shared" si="51"/>
        <v>58.55</v>
      </c>
      <c r="AE71">
        <f t="shared" si="52"/>
        <v>1.49</v>
      </c>
      <c r="AF71">
        <f t="shared" si="53"/>
        <v>223.72</v>
      </c>
      <c r="AG71">
        <f t="shared" si="54"/>
        <v>0</v>
      </c>
      <c r="AH71">
        <f t="shared" si="55"/>
        <v>23.8</v>
      </c>
      <c r="AI71">
        <f t="shared" si="56"/>
        <v>15.91</v>
      </c>
      <c r="AJ71">
        <f t="shared" si="57"/>
        <v>0</v>
      </c>
      <c r="AK71">
        <v>1739.1</v>
      </c>
      <c r="AL71">
        <v>1456.83</v>
      </c>
      <c r="AM71">
        <v>58.55</v>
      </c>
      <c r="AN71">
        <v>1.49</v>
      </c>
      <c r="AO71">
        <v>223.72</v>
      </c>
      <c r="AP71">
        <v>0</v>
      </c>
      <c r="AQ71">
        <v>23.8</v>
      </c>
      <c r="AR71">
        <v>15.91</v>
      </c>
      <c r="AS71">
        <v>0</v>
      </c>
      <c r="AT71">
        <v>81</v>
      </c>
      <c r="AU71">
        <v>52</v>
      </c>
      <c r="AV71">
        <v>1</v>
      </c>
      <c r="AW71">
        <v>1</v>
      </c>
      <c r="AX71">
        <v>1</v>
      </c>
      <c r="AY71">
        <v>1</v>
      </c>
      <c r="AZ71">
        <v>6.32</v>
      </c>
      <c r="BA71">
        <v>17.52</v>
      </c>
      <c r="BB71">
        <v>7.54</v>
      </c>
      <c r="BC71">
        <v>2.5099999999999998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2</v>
      </c>
      <c r="BJ71" t="s">
        <v>144</v>
      </c>
      <c r="BM71">
        <v>108001</v>
      </c>
      <c r="BN71">
        <v>0</v>
      </c>
      <c r="BO71" t="s">
        <v>142</v>
      </c>
      <c r="BP71">
        <v>1</v>
      </c>
      <c r="BQ71">
        <v>3</v>
      </c>
      <c r="BR71">
        <v>0</v>
      </c>
      <c r="BS71">
        <v>17.52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95</v>
      </c>
      <c r="CA71">
        <v>65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58"/>
        <v>801.77</v>
      </c>
      <c r="CQ71">
        <f t="shared" si="59"/>
        <v>3656.6432999999997</v>
      </c>
      <c r="CR71">
        <f t="shared" si="60"/>
        <v>441.46699999999998</v>
      </c>
      <c r="CS71">
        <f t="shared" si="61"/>
        <v>26.104800000000001</v>
      </c>
      <c r="CT71">
        <f t="shared" si="62"/>
        <v>3919.5744</v>
      </c>
      <c r="CU71">
        <f t="shared" si="63"/>
        <v>0</v>
      </c>
      <c r="CV71">
        <f t="shared" si="64"/>
        <v>23.8</v>
      </c>
      <c r="CW71">
        <f t="shared" si="65"/>
        <v>15.91</v>
      </c>
      <c r="CX71">
        <f t="shared" si="66"/>
        <v>0</v>
      </c>
      <c r="CY71">
        <f t="shared" si="68"/>
        <v>319.60169999999999</v>
      </c>
      <c r="CZ71">
        <f t="shared" si="69"/>
        <v>205.1764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R71">
        <v>1</v>
      </c>
      <c r="DS71">
        <v>1</v>
      </c>
      <c r="DT71">
        <v>1</v>
      </c>
      <c r="DU71">
        <v>1003</v>
      </c>
      <c r="DV71" t="s">
        <v>137</v>
      </c>
      <c r="DW71" t="s">
        <v>137</v>
      </c>
      <c r="DX71">
        <v>100</v>
      </c>
      <c r="EE71">
        <v>21331444</v>
      </c>
      <c r="EF71">
        <v>3</v>
      </c>
      <c r="EG71" t="s">
        <v>102</v>
      </c>
      <c r="EH71">
        <v>0</v>
      </c>
      <c r="EI71" t="s">
        <v>3</v>
      </c>
      <c r="EJ71">
        <v>2</v>
      </c>
      <c r="EK71">
        <v>108001</v>
      </c>
      <c r="EL71" t="s">
        <v>139</v>
      </c>
      <c r="EM71" t="s">
        <v>140</v>
      </c>
      <c r="EO71" t="s">
        <v>3</v>
      </c>
      <c r="EQ71">
        <v>64</v>
      </c>
      <c r="ER71">
        <v>1739.1</v>
      </c>
      <c r="ES71">
        <v>1456.83</v>
      </c>
      <c r="ET71">
        <v>58.55</v>
      </c>
      <c r="EU71">
        <v>1.49</v>
      </c>
      <c r="EV71">
        <v>223.72</v>
      </c>
      <c r="EW71">
        <v>23.8</v>
      </c>
      <c r="EX71">
        <v>15.91</v>
      </c>
      <c r="EY71">
        <v>0</v>
      </c>
      <c r="EZ71">
        <v>0</v>
      </c>
      <c r="FQ71">
        <v>0</v>
      </c>
      <c r="FR71">
        <f t="shared" si="67"/>
        <v>0</v>
      </c>
      <c r="FS71">
        <v>0</v>
      </c>
      <c r="FV71" t="s">
        <v>51</v>
      </c>
      <c r="FW71" t="s">
        <v>52</v>
      </c>
      <c r="FX71">
        <v>95</v>
      </c>
      <c r="FY71">
        <v>65</v>
      </c>
    </row>
    <row r="72" spans="1:181">
      <c r="A72">
        <v>17</v>
      </c>
      <c r="B72">
        <v>1</v>
      </c>
      <c r="C72">
        <f>ROW(SmtRes!A80)</f>
        <v>80</v>
      </c>
      <c r="D72">
        <f>ROW(EtalonRes!A89)</f>
        <v>89</v>
      </c>
      <c r="E72" t="s">
        <v>145</v>
      </c>
      <c r="F72" t="s">
        <v>146</v>
      </c>
      <c r="G72" t="s">
        <v>147</v>
      </c>
      <c r="H72" t="s">
        <v>137</v>
      </c>
      <c r="I72">
        <v>0.1</v>
      </c>
      <c r="J72">
        <v>0</v>
      </c>
      <c r="O72">
        <f t="shared" si="38"/>
        <v>495.33</v>
      </c>
      <c r="P72">
        <f t="shared" si="39"/>
        <v>76.62</v>
      </c>
      <c r="Q72">
        <f t="shared" si="40"/>
        <v>1.59</v>
      </c>
      <c r="R72">
        <f t="shared" si="41"/>
        <v>0.25</v>
      </c>
      <c r="S72">
        <f t="shared" si="42"/>
        <v>417.12</v>
      </c>
      <c r="T72">
        <f t="shared" si="43"/>
        <v>0</v>
      </c>
      <c r="U72">
        <f t="shared" si="44"/>
        <v>2.4000000000000004</v>
      </c>
      <c r="V72">
        <f t="shared" si="45"/>
        <v>1E-3</v>
      </c>
      <c r="W72">
        <f t="shared" si="46"/>
        <v>0</v>
      </c>
      <c r="X72">
        <f t="shared" si="47"/>
        <v>338.07</v>
      </c>
      <c r="Y72">
        <f t="shared" si="48"/>
        <v>217.03</v>
      </c>
      <c r="AA72">
        <v>0</v>
      </c>
      <c r="AB72">
        <f t="shared" si="49"/>
        <v>457.56</v>
      </c>
      <c r="AC72">
        <f t="shared" si="50"/>
        <v>217.06</v>
      </c>
      <c r="AD72">
        <f t="shared" si="51"/>
        <v>2.42</v>
      </c>
      <c r="AE72">
        <f t="shared" si="52"/>
        <v>0.14000000000000001</v>
      </c>
      <c r="AF72">
        <f t="shared" si="53"/>
        <v>238.08</v>
      </c>
      <c r="AG72">
        <f t="shared" si="54"/>
        <v>0</v>
      </c>
      <c r="AH72">
        <f t="shared" si="55"/>
        <v>24</v>
      </c>
      <c r="AI72">
        <f t="shared" si="56"/>
        <v>0.01</v>
      </c>
      <c r="AJ72">
        <f t="shared" si="57"/>
        <v>0</v>
      </c>
      <c r="AK72">
        <v>457.56</v>
      </c>
      <c r="AL72">
        <v>217.06</v>
      </c>
      <c r="AM72">
        <v>2.42</v>
      </c>
      <c r="AN72">
        <v>0.14000000000000001</v>
      </c>
      <c r="AO72">
        <v>238.08</v>
      </c>
      <c r="AP72">
        <v>0</v>
      </c>
      <c r="AQ72">
        <v>24</v>
      </c>
      <c r="AR72">
        <v>0.01</v>
      </c>
      <c r="AS72">
        <v>0</v>
      </c>
      <c r="AT72">
        <v>81</v>
      </c>
      <c r="AU72">
        <v>52</v>
      </c>
      <c r="AV72">
        <v>1</v>
      </c>
      <c r="AW72">
        <v>1</v>
      </c>
      <c r="AX72">
        <v>1</v>
      </c>
      <c r="AY72">
        <v>1</v>
      </c>
      <c r="AZ72">
        <v>12.52</v>
      </c>
      <c r="BA72">
        <v>17.52</v>
      </c>
      <c r="BB72">
        <v>6.58</v>
      </c>
      <c r="BC72">
        <v>3.53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2</v>
      </c>
      <c r="BJ72" t="s">
        <v>148</v>
      </c>
      <c r="BM72">
        <v>108001</v>
      </c>
      <c r="BN72">
        <v>0</v>
      </c>
      <c r="BO72" t="s">
        <v>146</v>
      </c>
      <c r="BP72">
        <v>1</v>
      </c>
      <c r="BQ72">
        <v>3</v>
      </c>
      <c r="BR72">
        <v>0</v>
      </c>
      <c r="BS72">
        <v>17.52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95</v>
      </c>
      <c r="CA72">
        <v>65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58"/>
        <v>495.33000000000004</v>
      </c>
      <c r="CQ72">
        <f t="shared" si="59"/>
        <v>766.22179999999992</v>
      </c>
      <c r="CR72">
        <f t="shared" si="60"/>
        <v>15.9236</v>
      </c>
      <c r="CS72">
        <f t="shared" si="61"/>
        <v>2.4528000000000003</v>
      </c>
      <c r="CT72">
        <f t="shared" si="62"/>
        <v>4171.1616000000004</v>
      </c>
      <c r="CU72">
        <f t="shared" si="63"/>
        <v>0</v>
      </c>
      <c r="CV72">
        <f t="shared" si="64"/>
        <v>24</v>
      </c>
      <c r="CW72">
        <f t="shared" si="65"/>
        <v>0.01</v>
      </c>
      <c r="CX72">
        <f t="shared" si="66"/>
        <v>0</v>
      </c>
      <c r="CY72">
        <f t="shared" si="68"/>
        <v>338.06970000000001</v>
      </c>
      <c r="CZ72">
        <f t="shared" si="69"/>
        <v>217.03240000000002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R72">
        <v>1</v>
      </c>
      <c r="DS72">
        <v>1</v>
      </c>
      <c r="DT72">
        <v>1</v>
      </c>
      <c r="DU72">
        <v>1003</v>
      </c>
      <c r="DV72" t="s">
        <v>137</v>
      </c>
      <c r="DW72" t="s">
        <v>149</v>
      </c>
      <c r="DX72">
        <v>100</v>
      </c>
      <c r="EE72">
        <v>21331444</v>
      </c>
      <c r="EF72">
        <v>3</v>
      </c>
      <c r="EG72" t="s">
        <v>102</v>
      </c>
      <c r="EH72">
        <v>0</v>
      </c>
      <c r="EI72" t="s">
        <v>3</v>
      </c>
      <c r="EJ72">
        <v>2</v>
      </c>
      <c r="EK72">
        <v>108001</v>
      </c>
      <c r="EL72" t="s">
        <v>139</v>
      </c>
      <c r="EM72" t="s">
        <v>140</v>
      </c>
      <c r="EO72" t="s">
        <v>3</v>
      </c>
      <c r="EQ72">
        <v>64</v>
      </c>
      <c r="ER72">
        <v>457.56</v>
      </c>
      <c r="ES72">
        <v>217.06</v>
      </c>
      <c r="ET72">
        <v>2.42</v>
      </c>
      <c r="EU72">
        <v>0.14000000000000001</v>
      </c>
      <c r="EV72">
        <v>238.08</v>
      </c>
      <c r="EW72">
        <v>24</v>
      </c>
      <c r="EX72">
        <v>0.01</v>
      </c>
      <c r="EY72">
        <v>0</v>
      </c>
      <c r="EZ72">
        <v>0</v>
      </c>
      <c r="FQ72">
        <v>0</v>
      </c>
      <c r="FR72">
        <f t="shared" si="67"/>
        <v>0</v>
      </c>
      <c r="FS72">
        <v>0</v>
      </c>
      <c r="FV72" t="s">
        <v>51</v>
      </c>
      <c r="FW72" t="s">
        <v>52</v>
      </c>
      <c r="FX72">
        <v>95</v>
      </c>
      <c r="FY72">
        <v>65</v>
      </c>
    </row>
    <row r="73" spans="1:181">
      <c r="A73">
        <v>17</v>
      </c>
      <c r="B73">
        <v>1</v>
      </c>
      <c r="C73">
        <f>ROW(SmtRes!A85)</f>
        <v>85</v>
      </c>
      <c r="D73">
        <f>ROW(EtalonRes!A94)</f>
        <v>94</v>
      </c>
      <c r="E73" t="s">
        <v>150</v>
      </c>
      <c r="F73" t="s">
        <v>151</v>
      </c>
      <c r="G73" t="s">
        <v>152</v>
      </c>
      <c r="H73" t="s">
        <v>115</v>
      </c>
      <c r="I73">
        <v>1</v>
      </c>
      <c r="J73">
        <v>0</v>
      </c>
      <c r="O73">
        <f t="shared" si="38"/>
        <v>6989.34</v>
      </c>
      <c r="P73">
        <f t="shared" si="39"/>
        <v>125.68</v>
      </c>
      <c r="Q73">
        <f t="shared" si="40"/>
        <v>796.13</v>
      </c>
      <c r="R73">
        <f t="shared" si="41"/>
        <v>250.36</v>
      </c>
      <c r="S73">
        <f t="shared" si="42"/>
        <v>6067.53</v>
      </c>
      <c r="T73">
        <f t="shared" si="43"/>
        <v>0</v>
      </c>
      <c r="U73">
        <f t="shared" si="44"/>
        <v>36</v>
      </c>
      <c r="V73">
        <f t="shared" si="45"/>
        <v>1.42</v>
      </c>
      <c r="W73">
        <f t="shared" si="46"/>
        <v>0</v>
      </c>
      <c r="X73">
        <f t="shared" si="47"/>
        <v>4296.17</v>
      </c>
      <c r="Y73">
        <f t="shared" si="48"/>
        <v>3032.59</v>
      </c>
      <c r="AA73">
        <v>0</v>
      </c>
      <c r="AB73">
        <f t="shared" si="49"/>
        <v>484.48</v>
      </c>
      <c r="AC73">
        <f t="shared" si="50"/>
        <v>10.37</v>
      </c>
      <c r="AD73">
        <f t="shared" si="51"/>
        <v>127.79</v>
      </c>
      <c r="AE73">
        <f t="shared" si="52"/>
        <v>14.29</v>
      </c>
      <c r="AF73">
        <f t="shared" si="53"/>
        <v>346.32</v>
      </c>
      <c r="AG73">
        <f t="shared" si="54"/>
        <v>0</v>
      </c>
      <c r="AH73">
        <f t="shared" si="55"/>
        <v>36</v>
      </c>
      <c r="AI73">
        <f t="shared" si="56"/>
        <v>1.42</v>
      </c>
      <c r="AJ73">
        <f t="shared" si="57"/>
        <v>0</v>
      </c>
      <c r="AK73">
        <v>484.48</v>
      </c>
      <c r="AL73">
        <v>10.37</v>
      </c>
      <c r="AM73">
        <v>127.79</v>
      </c>
      <c r="AN73">
        <v>14.29</v>
      </c>
      <c r="AO73">
        <v>346.32</v>
      </c>
      <c r="AP73">
        <v>0</v>
      </c>
      <c r="AQ73">
        <v>36</v>
      </c>
      <c r="AR73">
        <v>1.42</v>
      </c>
      <c r="AS73">
        <v>0</v>
      </c>
      <c r="AT73">
        <v>68</v>
      </c>
      <c r="AU73">
        <v>48</v>
      </c>
      <c r="AV73">
        <v>1</v>
      </c>
      <c r="AW73">
        <v>1</v>
      </c>
      <c r="AX73">
        <v>1</v>
      </c>
      <c r="AY73">
        <v>1</v>
      </c>
      <c r="AZ73">
        <v>14.47</v>
      </c>
      <c r="BA73">
        <v>17.52</v>
      </c>
      <c r="BB73">
        <v>6.23</v>
      </c>
      <c r="BC73">
        <v>12.12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2</v>
      </c>
      <c r="BJ73" t="s">
        <v>153</v>
      </c>
      <c r="BM73">
        <v>110001</v>
      </c>
      <c r="BN73">
        <v>0</v>
      </c>
      <c r="BO73" t="s">
        <v>154</v>
      </c>
      <c r="BP73">
        <v>1</v>
      </c>
      <c r="BQ73">
        <v>3</v>
      </c>
      <c r="BR73">
        <v>0</v>
      </c>
      <c r="BS73">
        <v>17.52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80</v>
      </c>
      <c r="CA73">
        <v>60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58"/>
        <v>6989.34</v>
      </c>
      <c r="CQ73">
        <f t="shared" si="59"/>
        <v>125.68439999999998</v>
      </c>
      <c r="CR73">
        <f t="shared" si="60"/>
        <v>796.13170000000014</v>
      </c>
      <c r="CS73">
        <f t="shared" si="61"/>
        <v>250.36079999999998</v>
      </c>
      <c r="CT73">
        <f t="shared" si="62"/>
        <v>6067.5263999999997</v>
      </c>
      <c r="CU73">
        <f t="shared" si="63"/>
        <v>0</v>
      </c>
      <c r="CV73">
        <f t="shared" si="64"/>
        <v>36</v>
      </c>
      <c r="CW73">
        <f t="shared" si="65"/>
        <v>1.42</v>
      </c>
      <c r="CX73">
        <f t="shared" si="66"/>
        <v>0</v>
      </c>
      <c r="CY73">
        <f t="shared" si="68"/>
        <v>4296.1651999999995</v>
      </c>
      <c r="CZ73">
        <f t="shared" si="69"/>
        <v>3032.5871999999995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R73">
        <v>1</v>
      </c>
      <c r="DS73">
        <v>1</v>
      </c>
      <c r="DT73">
        <v>1</v>
      </c>
      <c r="DU73">
        <v>1013</v>
      </c>
      <c r="DV73" t="s">
        <v>115</v>
      </c>
      <c r="DW73" t="s">
        <v>115</v>
      </c>
      <c r="DX73">
        <v>1</v>
      </c>
      <c r="EE73">
        <v>21331447</v>
      </c>
      <c r="EF73">
        <v>3</v>
      </c>
      <c r="EG73" t="s">
        <v>102</v>
      </c>
      <c r="EH73">
        <v>0</v>
      </c>
      <c r="EI73" t="s">
        <v>3</v>
      </c>
      <c r="EJ73">
        <v>2</v>
      </c>
      <c r="EK73">
        <v>110001</v>
      </c>
      <c r="EL73" t="s">
        <v>155</v>
      </c>
      <c r="EM73" t="s">
        <v>104</v>
      </c>
      <c r="EO73" t="s">
        <v>3</v>
      </c>
      <c r="EQ73">
        <v>64</v>
      </c>
      <c r="ER73">
        <v>484.48</v>
      </c>
      <c r="ES73">
        <v>10.37</v>
      </c>
      <c r="ET73">
        <v>127.79</v>
      </c>
      <c r="EU73">
        <v>14.29</v>
      </c>
      <c r="EV73">
        <v>346.32</v>
      </c>
      <c r="EW73">
        <v>36</v>
      </c>
      <c r="EX73">
        <v>1.42</v>
      </c>
      <c r="EY73">
        <v>0</v>
      </c>
      <c r="EZ73">
        <v>0</v>
      </c>
      <c r="FQ73">
        <v>0</v>
      </c>
      <c r="FR73">
        <f t="shared" si="67"/>
        <v>0</v>
      </c>
      <c r="FS73">
        <v>0</v>
      </c>
      <c r="FV73" t="s">
        <v>51</v>
      </c>
      <c r="FW73" t="s">
        <v>52</v>
      </c>
      <c r="FX73">
        <v>80</v>
      </c>
      <c r="FY73">
        <v>60</v>
      </c>
    </row>
    <row r="74" spans="1:181">
      <c r="A74">
        <v>17</v>
      </c>
      <c r="B74">
        <v>1</v>
      </c>
      <c r="C74">
        <f>ROW(SmtRes!A90)</f>
        <v>90</v>
      </c>
      <c r="D74">
        <f>ROW(EtalonRes!A100)</f>
        <v>100</v>
      </c>
      <c r="E74" t="s">
        <v>156</v>
      </c>
      <c r="F74" t="s">
        <v>157</v>
      </c>
      <c r="G74" t="s">
        <v>158</v>
      </c>
      <c r="H74" t="s">
        <v>20</v>
      </c>
      <c r="I74">
        <v>1</v>
      </c>
      <c r="J74">
        <v>0</v>
      </c>
      <c r="O74">
        <f t="shared" si="38"/>
        <v>1196.98</v>
      </c>
      <c r="P74">
        <f t="shared" si="39"/>
        <v>329.04</v>
      </c>
      <c r="Q74">
        <f t="shared" si="40"/>
        <v>0</v>
      </c>
      <c r="R74">
        <f t="shared" si="41"/>
        <v>0</v>
      </c>
      <c r="S74">
        <f t="shared" si="42"/>
        <v>867.94</v>
      </c>
      <c r="T74">
        <f t="shared" si="43"/>
        <v>0</v>
      </c>
      <c r="U74">
        <f t="shared" si="44"/>
        <v>5.15</v>
      </c>
      <c r="V74">
        <f t="shared" si="45"/>
        <v>0</v>
      </c>
      <c r="W74">
        <f t="shared" si="46"/>
        <v>0</v>
      </c>
      <c r="X74">
        <f t="shared" si="47"/>
        <v>703.03</v>
      </c>
      <c r="Y74">
        <f t="shared" si="48"/>
        <v>451.33</v>
      </c>
      <c r="AA74">
        <v>0</v>
      </c>
      <c r="AB74">
        <f t="shared" si="49"/>
        <v>145.75</v>
      </c>
      <c r="AC74">
        <f t="shared" si="50"/>
        <v>96.21</v>
      </c>
      <c r="AD74">
        <f t="shared" si="51"/>
        <v>0</v>
      </c>
      <c r="AE74">
        <f t="shared" si="52"/>
        <v>0</v>
      </c>
      <c r="AF74">
        <f t="shared" si="53"/>
        <v>49.54</v>
      </c>
      <c r="AG74">
        <f t="shared" si="54"/>
        <v>0</v>
      </c>
      <c r="AH74">
        <f t="shared" si="55"/>
        <v>5.15</v>
      </c>
      <c r="AI74">
        <f t="shared" si="56"/>
        <v>0</v>
      </c>
      <c r="AJ74">
        <f t="shared" si="57"/>
        <v>0</v>
      </c>
      <c r="AK74">
        <v>145.75</v>
      </c>
      <c r="AL74">
        <v>96.21</v>
      </c>
      <c r="AM74">
        <v>0</v>
      </c>
      <c r="AN74">
        <v>0</v>
      </c>
      <c r="AO74">
        <v>49.54</v>
      </c>
      <c r="AP74">
        <v>0</v>
      </c>
      <c r="AQ74">
        <v>5.15</v>
      </c>
      <c r="AR74">
        <v>0</v>
      </c>
      <c r="AS74">
        <v>0</v>
      </c>
      <c r="AT74">
        <v>81</v>
      </c>
      <c r="AU74">
        <v>52</v>
      </c>
      <c r="AV74">
        <v>1</v>
      </c>
      <c r="AW74">
        <v>1</v>
      </c>
      <c r="AX74">
        <v>1</v>
      </c>
      <c r="AY74">
        <v>1</v>
      </c>
      <c r="AZ74">
        <v>10.45</v>
      </c>
      <c r="BA74">
        <v>17.52</v>
      </c>
      <c r="BB74">
        <v>1</v>
      </c>
      <c r="BC74">
        <v>3.42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2</v>
      </c>
      <c r="BJ74" t="s">
        <v>159</v>
      </c>
      <c r="BM74">
        <v>108001</v>
      </c>
      <c r="BN74">
        <v>0</v>
      </c>
      <c r="BO74" t="s">
        <v>157</v>
      </c>
      <c r="BP74">
        <v>1</v>
      </c>
      <c r="BQ74">
        <v>3</v>
      </c>
      <c r="BR74">
        <v>0</v>
      </c>
      <c r="BS74">
        <v>17.52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95</v>
      </c>
      <c r="CA74">
        <v>65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58"/>
        <v>1196.98</v>
      </c>
      <c r="CQ74">
        <f t="shared" si="59"/>
        <v>329.03819999999996</v>
      </c>
      <c r="CR74">
        <f t="shared" si="60"/>
        <v>0</v>
      </c>
      <c r="CS74">
        <f t="shared" si="61"/>
        <v>0</v>
      </c>
      <c r="CT74">
        <f t="shared" si="62"/>
        <v>867.94079999999997</v>
      </c>
      <c r="CU74">
        <f t="shared" si="63"/>
        <v>0</v>
      </c>
      <c r="CV74">
        <f t="shared" si="64"/>
        <v>5.15</v>
      </c>
      <c r="CW74">
        <f t="shared" si="65"/>
        <v>0</v>
      </c>
      <c r="CX74">
        <f t="shared" si="66"/>
        <v>0</v>
      </c>
      <c r="CY74">
        <f t="shared" si="68"/>
        <v>703.03140000000008</v>
      </c>
      <c r="CZ74">
        <f t="shared" si="69"/>
        <v>451.32880000000006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R74">
        <v>1</v>
      </c>
      <c r="DS74">
        <v>1</v>
      </c>
      <c r="DT74">
        <v>1</v>
      </c>
      <c r="DU74">
        <v>1010</v>
      </c>
      <c r="DV74" t="s">
        <v>20</v>
      </c>
      <c r="DW74" t="s">
        <v>20</v>
      </c>
      <c r="DX74">
        <v>1</v>
      </c>
      <c r="EE74">
        <v>21331444</v>
      </c>
      <c r="EF74">
        <v>3</v>
      </c>
      <c r="EG74" t="s">
        <v>102</v>
      </c>
      <c r="EH74">
        <v>0</v>
      </c>
      <c r="EI74" t="s">
        <v>3</v>
      </c>
      <c r="EJ74">
        <v>2</v>
      </c>
      <c r="EK74">
        <v>108001</v>
      </c>
      <c r="EL74" t="s">
        <v>139</v>
      </c>
      <c r="EM74" t="s">
        <v>140</v>
      </c>
      <c r="EO74" t="s">
        <v>3</v>
      </c>
      <c r="EQ74">
        <v>64</v>
      </c>
      <c r="ER74">
        <v>145.75</v>
      </c>
      <c r="ES74">
        <v>96.21</v>
      </c>
      <c r="ET74">
        <v>0</v>
      </c>
      <c r="EU74">
        <v>0</v>
      </c>
      <c r="EV74">
        <v>49.54</v>
      </c>
      <c r="EW74">
        <v>5.15</v>
      </c>
      <c r="EX74">
        <v>0</v>
      </c>
      <c r="EY74">
        <v>0</v>
      </c>
      <c r="EZ74">
        <v>0</v>
      </c>
      <c r="FQ74">
        <v>0</v>
      </c>
      <c r="FR74">
        <f t="shared" si="67"/>
        <v>0</v>
      </c>
      <c r="FS74">
        <v>0</v>
      </c>
      <c r="FV74" t="s">
        <v>51</v>
      </c>
      <c r="FW74" t="s">
        <v>52</v>
      </c>
      <c r="FX74">
        <v>95</v>
      </c>
      <c r="FY74">
        <v>65</v>
      </c>
    </row>
    <row r="76" spans="1:181">
      <c r="A76" s="2">
        <v>51</v>
      </c>
      <c r="B76" s="2">
        <f>B60</f>
        <v>1</v>
      </c>
      <c r="C76" s="2">
        <f>A60</f>
        <v>4</v>
      </c>
      <c r="D76" s="2">
        <f>ROW(A60)</f>
        <v>60</v>
      </c>
      <c r="E76" s="2"/>
      <c r="F76" s="2" t="str">
        <f>IF(F60&lt;&gt;"",F60,"")</f>
        <v>Новый раздел</v>
      </c>
      <c r="G76" s="2" t="str">
        <f>IF(G60&lt;&gt;"",G60,"")</f>
        <v>2. Монтажные работы</v>
      </c>
      <c r="H76" s="2"/>
      <c r="I76" s="2"/>
      <c r="J76" s="2"/>
      <c r="K76" s="2"/>
      <c r="L76" s="2"/>
      <c r="M76" s="2"/>
      <c r="N76" s="2"/>
      <c r="O76" s="2">
        <f t="shared" ref="O76:Y76" si="70">ROUND(AB76,2)</f>
        <v>29904.87</v>
      </c>
      <c r="P76" s="2">
        <f t="shared" si="70"/>
        <v>2383.5500000000002</v>
      </c>
      <c r="Q76" s="2">
        <f t="shared" si="70"/>
        <v>1084.6300000000001</v>
      </c>
      <c r="R76" s="2">
        <f t="shared" si="70"/>
        <v>261.91000000000003</v>
      </c>
      <c r="S76" s="2">
        <f t="shared" si="70"/>
        <v>26436.69</v>
      </c>
      <c r="T76" s="2">
        <f t="shared" si="70"/>
        <v>0</v>
      </c>
      <c r="U76" s="2">
        <f t="shared" si="70"/>
        <v>155.16</v>
      </c>
      <c r="V76" s="2">
        <f t="shared" si="70"/>
        <v>3.06</v>
      </c>
      <c r="W76" s="2">
        <f t="shared" si="70"/>
        <v>0</v>
      </c>
      <c r="X76" s="2">
        <f t="shared" si="70"/>
        <v>19493.05</v>
      </c>
      <c r="Y76" s="2">
        <f t="shared" si="70"/>
        <v>13297.78</v>
      </c>
      <c r="Z76" s="2"/>
      <c r="AA76" s="2"/>
      <c r="AB76" s="2">
        <f>ROUND(SUMIF(AA64:AA74,"=0",O64:O74),2)</f>
        <v>29904.87</v>
      </c>
      <c r="AC76" s="2">
        <f>ROUND(SUMIF(AA64:AA74,"=0",P64:P74),2)</f>
        <v>2383.5500000000002</v>
      </c>
      <c r="AD76" s="2">
        <f>ROUND(SUMIF(AA64:AA74,"=0",Q64:Q74),2)</f>
        <v>1084.6300000000001</v>
      </c>
      <c r="AE76" s="2">
        <f>ROUND(SUMIF(AA64:AA74,"=0",R64:R74),2)</f>
        <v>261.91000000000003</v>
      </c>
      <c r="AF76" s="2">
        <f>ROUND(SUMIF(AA64:AA74,"=0",S64:S74),2)</f>
        <v>26436.69</v>
      </c>
      <c r="AG76" s="2">
        <f>ROUND(SUMIF(AA64:AA74,"=0",T64:T74),2)</f>
        <v>0</v>
      </c>
      <c r="AH76" s="2">
        <f>ROUND(SUMIF(AA64:AA74,"=0",U64:U74),2)</f>
        <v>155.16</v>
      </c>
      <c r="AI76" s="2">
        <f>ROUND(SUMIF(AA64:AA74,"=0",V64:V74),2)</f>
        <v>3.06</v>
      </c>
      <c r="AJ76" s="2">
        <f>ROUND(SUMIF(AA64:AA74,"=0",W64:W74),2)</f>
        <v>0</v>
      </c>
      <c r="AK76" s="2">
        <f>ROUND(SUMIF(AA64:AA74,"=0",X64:X74),2)</f>
        <v>19493.05</v>
      </c>
      <c r="AL76" s="2">
        <f>ROUND(SUMIF(AA64:AA74,"=0",Y64:Y74),2)</f>
        <v>13297.78</v>
      </c>
      <c r="AM76" s="2"/>
      <c r="AN76" s="2">
        <f>ROUND(AO76,2)</f>
        <v>0</v>
      </c>
      <c r="AO76" s="2">
        <f>ROUND(SUMIF(AA64:AA74,"=0",FQ64:FQ74),2)</f>
        <v>0</v>
      </c>
      <c r="AP76" s="2">
        <f>ROUND(AQ76,2)</f>
        <v>0</v>
      </c>
      <c r="AQ76" s="2">
        <f>ROUND(SUM(FR64:FR74),2)</f>
        <v>0</v>
      </c>
    </row>
    <row r="78" spans="1:181">
      <c r="A78" s="3">
        <v>50</v>
      </c>
      <c r="B78" s="3">
        <f>IF(Source!F78&lt;&gt;0,1,0)</f>
        <v>1</v>
      </c>
      <c r="C78" s="3">
        <v>0</v>
      </c>
      <c r="D78" s="3">
        <v>1</v>
      </c>
      <c r="E78" s="3">
        <v>201</v>
      </c>
      <c r="F78" s="3">
        <f>Source!O76</f>
        <v>29904.87</v>
      </c>
      <c r="G78" s="3" t="s">
        <v>68</v>
      </c>
      <c r="H78" s="3" t="s">
        <v>69</v>
      </c>
      <c r="I78" s="3"/>
      <c r="J78" s="3"/>
      <c r="K78" s="3">
        <v>201</v>
      </c>
      <c r="L78" s="3">
        <v>1</v>
      </c>
      <c r="M78" s="3">
        <v>1</v>
      </c>
      <c r="N78" s="3" t="s">
        <v>3</v>
      </c>
    </row>
    <row r="79" spans="1:181">
      <c r="A79" s="3">
        <v>50</v>
      </c>
      <c r="B79" s="3">
        <f>IF(Source!F79&lt;&gt;0,1,0)</f>
        <v>1</v>
      </c>
      <c r="C79" s="3">
        <v>0</v>
      </c>
      <c r="D79" s="3">
        <v>1</v>
      </c>
      <c r="E79" s="3">
        <v>202</v>
      </c>
      <c r="F79" s="3">
        <f>Source!P76</f>
        <v>2383.5500000000002</v>
      </c>
      <c r="G79" s="3" t="s">
        <v>70</v>
      </c>
      <c r="H79" s="3" t="s">
        <v>71</v>
      </c>
      <c r="I79" s="3"/>
      <c r="J79" s="3"/>
      <c r="K79" s="3">
        <v>202</v>
      </c>
      <c r="L79" s="3">
        <v>2</v>
      </c>
      <c r="M79" s="3">
        <v>1</v>
      </c>
      <c r="N79" s="3" t="s">
        <v>3</v>
      </c>
    </row>
    <row r="80" spans="1:181">
      <c r="A80" s="3">
        <v>50</v>
      </c>
      <c r="B80" s="3">
        <v>0</v>
      </c>
      <c r="C80" s="3">
        <v>0</v>
      </c>
      <c r="D80" s="3">
        <v>1</v>
      </c>
      <c r="E80" s="3">
        <v>222</v>
      </c>
      <c r="F80" s="3">
        <f>Source!AN76</f>
        <v>0</v>
      </c>
      <c r="G80" s="3" t="s">
        <v>72</v>
      </c>
      <c r="H80" s="3" t="s">
        <v>73</v>
      </c>
      <c r="I80" s="3"/>
      <c r="J80" s="3"/>
      <c r="K80" s="3">
        <v>222</v>
      </c>
      <c r="L80" s="3">
        <v>3</v>
      </c>
      <c r="M80" s="3">
        <v>3</v>
      </c>
      <c r="N80" s="3" t="s">
        <v>3</v>
      </c>
    </row>
    <row r="81" spans="1:67">
      <c r="A81" s="3">
        <v>50</v>
      </c>
      <c r="B81" s="3">
        <v>0</v>
      </c>
      <c r="C81" s="3">
        <v>0</v>
      </c>
      <c r="D81" s="3">
        <v>1</v>
      </c>
      <c r="E81" s="3">
        <v>216</v>
      </c>
      <c r="F81" s="3">
        <f>Source!AP76</f>
        <v>0</v>
      </c>
      <c r="G81" s="3" t="s">
        <v>74</v>
      </c>
      <c r="H81" s="3" t="s">
        <v>75</v>
      </c>
      <c r="I81" s="3"/>
      <c r="J81" s="3"/>
      <c r="K81" s="3">
        <v>216</v>
      </c>
      <c r="L81" s="3">
        <v>4</v>
      </c>
      <c r="M81" s="3">
        <v>3</v>
      </c>
      <c r="N81" s="3" t="s">
        <v>3</v>
      </c>
    </row>
    <row r="82" spans="1:67">
      <c r="A82" s="3">
        <v>50</v>
      </c>
      <c r="B82" s="3">
        <f>IF(Source!F82&lt;&gt;0,1,0)</f>
        <v>1</v>
      </c>
      <c r="C82" s="3">
        <v>0</v>
      </c>
      <c r="D82" s="3">
        <v>1</v>
      </c>
      <c r="E82" s="3">
        <v>203</v>
      </c>
      <c r="F82" s="3">
        <f>Source!Q76</f>
        <v>1084.6300000000001</v>
      </c>
      <c r="G82" s="3" t="s">
        <v>76</v>
      </c>
      <c r="H82" s="3" t="s">
        <v>77</v>
      </c>
      <c r="I82" s="3"/>
      <c r="J82" s="3"/>
      <c r="K82" s="3">
        <v>203</v>
      </c>
      <c r="L82" s="3">
        <v>5</v>
      </c>
      <c r="M82" s="3">
        <v>1</v>
      </c>
      <c r="N82" s="3" t="s">
        <v>3</v>
      </c>
    </row>
    <row r="83" spans="1:67">
      <c r="A83" s="3">
        <v>50</v>
      </c>
      <c r="B83" s="3">
        <f>IF(Source!F83&lt;&gt;0,1,0)</f>
        <v>1</v>
      </c>
      <c r="C83" s="3">
        <v>0</v>
      </c>
      <c r="D83" s="3">
        <v>1</v>
      </c>
      <c r="E83" s="3">
        <v>204</v>
      </c>
      <c r="F83" s="3">
        <f>Source!R76</f>
        <v>261.91000000000003</v>
      </c>
      <c r="G83" s="3" t="s">
        <v>78</v>
      </c>
      <c r="H83" s="3" t="s">
        <v>79</v>
      </c>
      <c r="I83" s="3"/>
      <c r="J83" s="3"/>
      <c r="K83" s="3">
        <v>204</v>
      </c>
      <c r="L83" s="3">
        <v>6</v>
      </c>
      <c r="M83" s="3">
        <v>1</v>
      </c>
      <c r="N83" s="3" t="s">
        <v>3</v>
      </c>
    </row>
    <row r="84" spans="1:67">
      <c r="A84" s="3">
        <v>50</v>
      </c>
      <c r="B84" s="3">
        <f>IF(Source!F84&lt;&gt;0,1,0)</f>
        <v>1</v>
      </c>
      <c r="C84" s="3">
        <v>0</v>
      </c>
      <c r="D84" s="3">
        <v>1</v>
      </c>
      <c r="E84" s="3">
        <v>205</v>
      </c>
      <c r="F84" s="3">
        <f>Source!S76</f>
        <v>26436.69</v>
      </c>
      <c r="G84" s="3" t="s">
        <v>80</v>
      </c>
      <c r="H84" s="3" t="s">
        <v>81</v>
      </c>
      <c r="I84" s="3"/>
      <c r="J84" s="3"/>
      <c r="K84" s="3">
        <v>205</v>
      </c>
      <c r="L84" s="3">
        <v>7</v>
      </c>
      <c r="M84" s="3">
        <v>1</v>
      </c>
      <c r="N84" s="3" t="s">
        <v>3</v>
      </c>
    </row>
    <row r="85" spans="1:67">
      <c r="A85" s="3">
        <v>50</v>
      </c>
      <c r="B85" s="3">
        <f>IF(Source!F85&lt;&gt;0,1,0)</f>
        <v>0</v>
      </c>
      <c r="C85" s="3">
        <v>0</v>
      </c>
      <c r="D85" s="3">
        <v>1</v>
      </c>
      <c r="E85" s="3">
        <v>206</v>
      </c>
      <c r="F85" s="3">
        <f>Source!T76</f>
        <v>0</v>
      </c>
      <c r="G85" s="3" t="s">
        <v>82</v>
      </c>
      <c r="H85" s="3" t="s">
        <v>83</v>
      </c>
      <c r="I85" s="3"/>
      <c r="J85" s="3"/>
      <c r="K85" s="3">
        <v>206</v>
      </c>
      <c r="L85" s="3">
        <v>8</v>
      </c>
      <c r="M85" s="3">
        <v>1</v>
      </c>
      <c r="N85" s="3" t="s">
        <v>3</v>
      </c>
    </row>
    <row r="86" spans="1:67">
      <c r="A86" s="3">
        <v>50</v>
      </c>
      <c r="B86" s="3">
        <f>IF(Source!F86&lt;&gt;0,1,0)</f>
        <v>1</v>
      </c>
      <c r="C86" s="3">
        <v>0</v>
      </c>
      <c r="D86" s="3">
        <v>1</v>
      </c>
      <c r="E86" s="3">
        <v>207</v>
      </c>
      <c r="F86" s="3">
        <f>Source!U76</f>
        <v>155.16</v>
      </c>
      <c r="G86" s="3" t="s">
        <v>84</v>
      </c>
      <c r="H86" s="3" t="s">
        <v>85</v>
      </c>
      <c r="I86" s="3"/>
      <c r="J86" s="3"/>
      <c r="K86" s="3">
        <v>207</v>
      </c>
      <c r="L86" s="3">
        <v>9</v>
      </c>
      <c r="M86" s="3">
        <v>1</v>
      </c>
      <c r="N86" s="3" t="s">
        <v>3</v>
      </c>
    </row>
    <row r="87" spans="1:67">
      <c r="A87" s="3">
        <v>50</v>
      </c>
      <c r="B87" s="3">
        <f>IF(Source!F87&lt;&gt;0,1,0)</f>
        <v>1</v>
      </c>
      <c r="C87" s="3">
        <v>0</v>
      </c>
      <c r="D87" s="3">
        <v>1</v>
      </c>
      <c r="E87" s="3">
        <v>208</v>
      </c>
      <c r="F87" s="3">
        <f>Source!V76</f>
        <v>3.06</v>
      </c>
      <c r="G87" s="3" t="s">
        <v>86</v>
      </c>
      <c r="H87" s="3" t="s">
        <v>87</v>
      </c>
      <c r="I87" s="3"/>
      <c r="J87" s="3"/>
      <c r="K87" s="3">
        <v>208</v>
      </c>
      <c r="L87" s="3">
        <v>10</v>
      </c>
      <c r="M87" s="3">
        <v>1</v>
      </c>
      <c r="N87" s="3" t="s">
        <v>3</v>
      </c>
    </row>
    <row r="88" spans="1:67">
      <c r="A88" s="3">
        <v>50</v>
      </c>
      <c r="B88" s="3">
        <f>IF(Source!F88&lt;&gt;0,1,0)</f>
        <v>0</v>
      </c>
      <c r="C88" s="3">
        <v>0</v>
      </c>
      <c r="D88" s="3">
        <v>1</v>
      </c>
      <c r="E88" s="3">
        <v>209</v>
      </c>
      <c r="F88" s="3">
        <f>Source!W76</f>
        <v>0</v>
      </c>
      <c r="G88" s="3" t="s">
        <v>88</v>
      </c>
      <c r="H88" s="3" t="s">
        <v>89</v>
      </c>
      <c r="I88" s="3"/>
      <c r="J88" s="3"/>
      <c r="K88" s="3">
        <v>209</v>
      </c>
      <c r="L88" s="3">
        <v>11</v>
      </c>
      <c r="M88" s="3">
        <v>1</v>
      </c>
      <c r="N88" s="3" t="s">
        <v>3</v>
      </c>
    </row>
    <row r="89" spans="1:67">
      <c r="A89" s="3">
        <v>50</v>
      </c>
      <c r="B89" s="3">
        <f>IF(Source!F89&lt;&gt;0,1,0)</f>
        <v>1</v>
      </c>
      <c r="C89" s="3">
        <v>0</v>
      </c>
      <c r="D89" s="3">
        <v>1</v>
      </c>
      <c r="E89" s="3">
        <v>210</v>
      </c>
      <c r="F89" s="3">
        <f>Source!X76</f>
        <v>19493.05</v>
      </c>
      <c r="G89" s="3" t="s">
        <v>90</v>
      </c>
      <c r="H89" s="3" t="s">
        <v>91</v>
      </c>
      <c r="I89" s="3"/>
      <c r="J89" s="3"/>
      <c r="K89" s="3">
        <v>210</v>
      </c>
      <c r="L89" s="3">
        <v>12</v>
      </c>
      <c r="M89" s="3">
        <v>1</v>
      </c>
      <c r="N89" s="3" t="s">
        <v>3</v>
      </c>
    </row>
    <row r="90" spans="1:67">
      <c r="A90" s="3">
        <v>50</v>
      </c>
      <c r="B90" s="3">
        <f>IF(Source!F90&lt;&gt;0,1,0)</f>
        <v>1</v>
      </c>
      <c r="C90" s="3">
        <v>0</v>
      </c>
      <c r="D90" s="3">
        <v>1</v>
      </c>
      <c r="E90" s="3">
        <v>211</v>
      </c>
      <c r="F90" s="3">
        <f>Source!Y76</f>
        <v>13297.78</v>
      </c>
      <c r="G90" s="3" t="s">
        <v>92</v>
      </c>
      <c r="H90" s="3" t="s">
        <v>93</v>
      </c>
      <c r="I90" s="3"/>
      <c r="J90" s="3"/>
      <c r="K90" s="3">
        <v>211</v>
      </c>
      <c r="L90" s="3">
        <v>13</v>
      </c>
      <c r="M90" s="3">
        <v>1</v>
      </c>
      <c r="N90" s="3" t="s">
        <v>3</v>
      </c>
    </row>
    <row r="91" spans="1:67">
      <c r="A91" s="3">
        <v>50</v>
      </c>
      <c r="B91" s="3">
        <v>1</v>
      </c>
      <c r="C91" s="3">
        <v>0</v>
      </c>
      <c r="D91" s="3">
        <v>2</v>
      </c>
      <c r="E91" s="3">
        <v>0</v>
      </c>
      <c r="F91" s="3">
        <f>ROUND(Source!F78+Source!F89+Source!F90,2)</f>
        <v>62695.7</v>
      </c>
      <c r="G91" s="3" t="s">
        <v>94</v>
      </c>
      <c r="H91" s="3" t="s">
        <v>94</v>
      </c>
      <c r="I91" s="3"/>
      <c r="J91" s="3"/>
      <c r="K91" s="3">
        <v>212</v>
      </c>
      <c r="L91" s="3">
        <v>14</v>
      </c>
      <c r="M91" s="3">
        <v>0</v>
      </c>
      <c r="N91" s="3" t="s">
        <v>3</v>
      </c>
    </row>
    <row r="92" spans="1:67">
      <c r="G92">
        <v>0</v>
      </c>
    </row>
    <row r="93" spans="1:67">
      <c r="A93" s="1">
        <v>4</v>
      </c>
      <c r="B93" s="1">
        <v>1</v>
      </c>
      <c r="C93" s="1"/>
      <c r="D93" s="1">
        <f>ROW(A100)</f>
        <v>100</v>
      </c>
      <c r="E93" s="1"/>
      <c r="F93" s="1" t="s">
        <v>14</v>
      </c>
      <c r="G93" s="1" t="s">
        <v>160</v>
      </c>
      <c r="H93" s="1"/>
      <c r="I93" s="1"/>
      <c r="J93" s="1"/>
      <c r="K93" s="1"/>
      <c r="L93" s="1"/>
      <c r="M93" s="1"/>
      <c r="N93" s="1" t="s">
        <v>3</v>
      </c>
      <c r="O93" s="1"/>
      <c r="P93" s="1"/>
      <c r="Q93" s="1"/>
      <c r="R93" s="1" t="s">
        <v>3</v>
      </c>
      <c r="S93" s="1" t="s">
        <v>3</v>
      </c>
      <c r="T93" s="1" t="s">
        <v>3</v>
      </c>
      <c r="U93" s="1" t="s">
        <v>3</v>
      </c>
      <c r="V93" s="1"/>
      <c r="W93" s="1"/>
      <c r="X93" s="1">
        <v>0</v>
      </c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>
        <v>0</v>
      </c>
      <c r="AM93" s="1"/>
      <c r="AN93" s="1"/>
      <c r="AO93" s="1" t="s">
        <v>3</v>
      </c>
      <c r="AP93" s="1" t="s">
        <v>3</v>
      </c>
      <c r="AQ93" s="1" t="s">
        <v>3</v>
      </c>
      <c r="AR93" s="1"/>
      <c r="AS93" s="1"/>
      <c r="AT93" s="1" t="s">
        <v>3</v>
      </c>
      <c r="AU93" s="1" t="s">
        <v>3</v>
      </c>
      <c r="AV93" s="1" t="s">
        <v>3</v>
      </c>
      <c r="AW93" s="1" t="s">
        <v>3</v>
      </c>
      <c r="AX93" s="1" t="s">
        <v>3</v>
      </c>
      <c r="AY93" s="1" t="s">
        <v>3</v>
      </c>
      <c r="AZ93" s="1" t="s">
        <v>3</v>
      </c>
      <c r="BA93" s="1" t="s">
        <v>3</v>
      </c>
      <c r="BB93" s="1" t="s">
        <v>3</v>
      </c>
      <c r="BC93" s="1" t="s">
        <v>3</v>
      </c>
      <c r="BD93" s="1" t="s">
        <v>3</v>
      </c>
      <c r="BE93" s="1" t="s">
        <v>161</v>
      </c>
      <c r="BF93" s="1">
        <v>0</v>
      </c>
      <c r="BG93" s="1">
        <v>0</v>
      </c>
      <c r="BH93" s="1" t="s">
        <v>3</v>
      </c>
      <c r="BI93" s="1" t="s">
        <v>3</v>
      </c>
      <c r="BJ93" s="1" t="s">
        <v>3</v>
      </c>
      <c r="BK93" s="1" t="s">
        <v>3</v>
      </c>
      <c r="BL93" s="1" t="s">
        <v>3</v>
      </c>
      <c r="BM93" s="1">
        <v>0</v>
      </c>
      <c r="BN93" s="1" t="s">
        <v>3</v>
      </c>
      <c r="BO93" s="1">
        <v>0</v>
      </c>
    </row>
    <row r="95" spans="1:67">
      <c r="A95" s="2">
        <v>52</v>
      </c>
      <c r="B95" s="2">
        <f t="shared" ref="B95:AQ95" si="71">B100</f>
        <v>1</v>
      </c>
      <c r="C95" s="2">
        <f t="shared" si="71"/>
        <v>4</v>
      </c>
      <c r="D95" s="2">
        <f t="shared" si="71"/>
        <v>93</v>
      </c>
      <c r="E95" s="2">
        <f t="shared" si="71"/>
        <v>0</v>
      </c>
      <c r="F95" s="2" t="str">
        <f t="shared" si="71"/>
        <v>Новый раздел</v>
      </c>
      <c r="G95" s="2" t="str">
        <f t="shared" si="71"/>
        <v>3. Пусконаладочные работы</v>
      </c>
      <c r="H95" s="2">
        <f t="shared" si="71"/>
        <v>0</v>
      </c>
      <c r="I95" s="2">
        <f t="shared" si="71"/>
        <v>0</v>
      </c>
      <c r="J95" s="2">
        <f t="shared" si="71"/>
        <v>0</v>
      </c>
      <c r="K95" s="2">
        <f t="shared" si="71"/>
        <v>0</v>
      </c>
      <c r="L95" s="2">
        <f t="shared" si="71"/>
        <v>0</v>
      </c>
      <c r="M95" s="2">
        <f t="shared" si="71"/>
        <v>0</v>
      </c>
      <c r="N95" s="2">
        <f t="shared" si="71"/>
        <v>0</v>
      </c>
      <c r="O95" s="2">
        <f t="shared" si="71"/>
        <v>5738.71</v>
      </c>
      <c r="P95" s="2">
        <f t="shared" si="71"/>
        <v>0</v>
      </c>
      <c r="Q95" s="2">
        <f t="shared" si="71"/>
        <v>0</v>
      </c>
      <c r="R95" s="2">
        <f t="shared" si="71"/>
        <v>0</v>
      </c>
      <c r="S95" s="2">
        <f t="shared" si="71"/>
        <v>5738.71</v>
      </c>
      <c r="T95" s="2">
        <f t="shared" si="71"/>
        <v>0</v>
      </c>
      <c r="U95" s="2">
        <f t="shared" si="71"/>
        <v>28</v>
      </c>
      <c r="V95" s="2">
        <f t="shared" si="71"/>
        <v>0</v>
      </c>
      <c r="W95" s="2">
        <f t="shared" si="71"/>
        <v>0</v>
      </c>
      <c r="X95" s="2">
        <f t="shared" si="71"/>
        <v>3156.29</v>
      </c>
      <c r="Y95" s="2">
        <f t="shared" si="71"/>
        <v>1836.38</v>
      </c>
      <c r="Z95" s="2">
        <f t="shared" si="71"/>
        <v>0</v>
      </c>
      <c r="AA95" s="2">
        <f t="shared" si="71"/>
        <v>0</v>
      </c>
      <c r="AB95" s="2">
        <f t="shared" si="71"/>
        <v>5738.71</v>
      </c>
      <c r="AC95" s="2">
        <f t="shared" si="71"/>
        <v>0</v>
      </c>
      <c r="AD95" s="2">
        <f t="shared" si="71"/>
        <v>0</v>
      </c>
      <c r="AE95" s="2">
        <f t="shared" si="71"/>
        <v>0</v>
      </c>
      <c r="AF95" s="2">
        <f t="shared" si="71"/>
        <v>5738.71</v>
      </c>
      <c r="AG95" s="2">
        <f t="shared" si="71"/>
        <v>0</v>
      </c>
      <c r="AH95" s="2">
        <f t="shared" si="71"/>
        <v>28</v>
      </c>
      <c r="AI95" s="2">
        <f t="shared" si="71"/>
        <v>0</v>
      </c>
      <c r="AJ95" s="2">
        <f t="shared" si="71"/>
        <v>0</v>
      </c>
      <c r="AK95" s="2">
        <f t="shared" si="71"/>
        <v>3156.29</v>
      </c>
      <c r="AL95" s="2">
        <f t="shared" si="71"/>
        <v>1836.38</v>
      </c>
      <c r="AM95" s="2">
        <f t="shared" si="71"/>
        <v>0</v>
      </c>
      <c r="AN95" s="2">
        <f t="shared" si="71"/>
        <v>0</v>
      </c>
      <c r="AO95" s="2">
        <f t="shared" si="71"/>
        <v>0</v>
      </c>
      <c r="AP95" s="2">
        <f t="shared" si="71"/>
        <v>0</v>
      </c>
      <c r="AQ95" s="2">
        <f t="shared" si="71"/>
        <v>0</v>
      </c>
    </row>
    <row r="97" spans="1:181">
      <c r="A97">
        <v>17</v>
      </c>
      <c r="B97">
        <v>1</v>
      </c>
      <c r="C97">
        <f>ROW(SmtRes!A92)</f>
        <v>92</v>
      </c>
      <c r="D97">
        <f>ROW(EtalonRes!A102)</f>
        <v>102</v>
      </c>
      <c r="E97" t="s">
        <v>162</v>
      </c>
      <c r="F97" t="s">
        <v>163</v>
      </c>
      <c r="G97" t="s">
        <v>164</v>
      </c>
      <c r="H97" t="s">
        <v>165</v>
      </c>
      <c r="I97">
        <v>4</v>
      </c>
      <c r="J97">
        <v>0</v>
      </c>
      <c r="O97">
        <f>ROUND(CP97,2)</f>
        <v>983.92</v>
      </c>
      <c r="P97">
        <f>ROUND(CQ97*I97,2)</f>
        <v>0</v>
      </c>
      <c r="Q97">
        <f>ROUND(CR97*I97,2)</f>
        <v>0</v>
      </c>
      <c r="R97">
        <f>ROUND(CS97*I97,2)</f>
        <v>0</v>
      </c>
      <c r="S97">
        <f>ROUND(CT97*I97,2)</f>
        <v>983.92</v>
      </c>
      <c r="T97">
        <f>ROUND(CU97*I97,2)</f>
        <v>0</v>
      </c>
      <c r="U97">
        <f>CV97*I97</f>
        <v>4.8000000000000007</v>
      </c>
      <c r="V97">
        <f>CW97*I97</f>
        <v>0</v>
      </c>
      <c r="W97">
        <f>ROUND(CX97*I97,2)</f>
        <v>0</v>
      </c>
      <c r="X97">
        <f>ROUND(CY97,2)</f>
        <v>541.16</v>
      </c>
      <c r="Y97">
        <f>ROUND(CZ97,2)</f>
        <v>314.85000000000002</v>
      </c>
      <c r="AA97">
        <v>0</v>
      </c>
      <c r="AB97">
        <f>ROUND((AC97+AD97+AF97),3)</f>
        <v>14.04</v>
      </c>
      <c r="AC97">
        <f t="shared" ref="AC97:AE98" si="72">ROUND((ES97),3)</f>
        <v>0</v>
      </c>
      <c r="AD97">
        <f t="shared" si="72"/>
        <v>0</v>
      </c>
      <c r="AE97">
        <f t="shared" si="72"/>
        <v>0</v>
      </c>
      <c r="AF97">
        <f>ROUND(((EV97*0.8)),3)</f>
        <v>14.04</v>
      </c>
      <c r="AG97">
        <f>ROUND((AP97),3)</f>
        <v>0</v>
      </c>
      <c r="AH97">
        <f>((EW97*0.8))</f>
        <v>1.2000000000000002</v>
      </c>
      <c r="AI97">
        <f>(EX97)</f>
        <v>0</v>
      </c>
      <c r="AJ97">
        <f>ROUND((AS97),3)</f>
        <v>0</v>
      </c>
      <c r="AK97">
        <v>17.55</v>
      </c>
      <c r="AL97">
        <v>0</v>
      </c>
      <c r="AM97">
        <v>0</v>
      </c>
      <c r="AN97">
        <v>0</v>
      </c>
      <c r="AO97">
        <v>17.55</v>
      </c>
      <c r="AP97">
        <v>0</v>
      </c>
      <c r="AQ97">
        <v>1.5</v>
      </c>
      <c r="AR97">
        <v>0</v>
      </c>
      <c r="AS97">
        <v>0</v>
      </c>
      <c r="AT97">
        <v>55</v>
      </c>
      <c r="AU97">
        <v>32</v>
      </c>
      <c r="AV97">
        <v>1</v>
      </c>
      <c r="AW97">
        <v>1</v>
      </c>
      <c r="AX97">
        <v>1</v>
      </c>
      <c r="AY97">
        <v>1</v>
      </c>
      <c r="AZ97">
        <v>15.98</v>
      </c>
      <c r="BA97">
        <v>17.52</v>
      </c>
      <c r="BB97">
        <v>1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0</v>
      </c>
      <c r="BI97">
        <v>4</v>
      </c>
      <c r="BJ97" t="s">
        <v>166</v>
      </c>
      <c r="BM97">
        <v>200001</v>
      </c>
      <c r="BN97">
        <v>0</v>
      </c>
      <c r="BO97" t="s">
        <v>163</v>
      </c>
      <c r="BP97">
        <v>1</v>
      </c>
      <c r="BQ97">
        <v>4</v>
      </c>
      <c r="BR97">
        <v>0</v>
      </c>
      <c r="BS97">
        <v>17.510000000000002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65</v>
      </c>
      <c r="CA97">
        <v>40</v>
      </c>
      <c r="CF97">
        <v>0</v>
      </c>
      <c r="CG97">
        <v>0</v>
      </c>
      <c r="CM97">
        <v>0</v>
      </c>
      <c r="CN97" t="s">
        <v>441</v>
      </c>
      <c r="CO97">
        <v>0</v>
      </c>
      <c r="CP97">
        <f>(P97+Q97+S97)</f>
        <v>983.92</v>
      </c>
      <c r="CQ97">
        <f>(AC97)*BC97</f>
        <v>0</v>
      </c>
      <c r="CR97">
        <f>(AD97)*BB97</f>
        <v>0</v>
      </c>
      <c r="CS97">
        <f>(AE97)*BS97</f>
        <v>0</v>
      </c>
      <c r="CT97">
        <f>(AF97)*BA97</f>
        <v>245.98079999999999</v>
      </c>
      <c r="CU97">
        <f t="shared" ref="CU97:CX98" si="73">(AG97)*BT97</f>
        <v>0</v>
      </c>
      <c r="CV97">
        <f t="shared" si="73"/>
        <v>1.2000000000000002</v>
      </c>
      <c r="CW97">
        <f t="shared" si="73"/>
        <v>0</v>
      </c>
      <c r="CX97">
        <f t="shared" si="73"/>
        <v>0</v>
      </c>
      <c r="CY97">
        <f>((S97+R97)*(ROUND((FX97*IF(1,(IF(0,0.94,0.85)*IF(0,0.85,1)),1)),IF(1,0,2))/100))</f>
        <v>541.15600000000006</v>
      </c>
      <c r="CZ97">
        <f>((S97+R97)*(ROUND((FY97*IF(1,0.8,1)),IF(1,0,2))/100))</f>
        <v>314.8544</v>
      </c>
      <c r="DC97" t="s">
        <v>3</v>
      </c>
      <c r="DD97" t="s">
        <v>3</v>
      </c>
      <c r="DE97" t="s">
        <v>3</v>
      </c>
      <c r="DF97" t="s">
        <v>3</v>
      </c>
      <c r="DG97" t="s">
        <v>167</v>
      </c>
      <c r="DH97" t="s">
        <v>3</v>
      </c>
      <c r="DI97" t="s">
        <v>167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R97">
        <v>1</v>
      </c>
      <c r="DS97">
        <v>1</v>
      </c>
      <c r="DT97">
        <v>1</v>
      </c>
      <c r="DU97">
        <v>1013</v>
      </c>
      <c r="DV97" t="s">
        <v>165</v>
      </c>
      <c r="DW97" t="s">
        <v>165</v>
      </c>
      <c r="DX97">
        <v>1</v>
      </c>
      <c r="EE97">
        <v>21331486</v>
      </c>
      <c r="EF97">
        <v>4</v>
      </c>
      <c r="EG97" t="s">
        <v>168</v>
      </c>
      <c r="EH97">
        <v>0</v>
      </c>
      <c r="EI97" t="s">
        <v>3</v>
      </c>
      <c r="EJ97">
        <v>4</v>
      </c>
      <c r="EK97">
        <v>200001</v>
      </c>
      <c r="EL97" t="s">
        <v>169</v>
      </c>
      <c r="EM97" t="s">
        <v>170</v>
      </c>
      <c r="EO97" t="s">
        <v>171</v>
      </c>
      <c r="EQ97">
        <v>0</v>
      </c>
      <c r="ER97">
        <v>17.55</v>
      </c>
      <c r="ES97">
        <v>0</v>
      </c>
      <c r="ET97">
        <v>0</v>
      </c>
      <c r="EU97">
        <v>0</v>
      </c>
      <c r="EV97">
        <v>17.55</v>
      </c>
      <c r="EW97">
        <v>1.5</v>
      </c>
      <c r="EX97">
        <v>0</v>
      </c>
      <c r="EY97">
        <v>0</v>
      </c>
      <c r="EZ97">
        <v>0</v>
      </c>
      <c r="FQ97">
        <v>0</v>
      </c>
      <c r="FR97">
        <f>ROUND(IF(AND(AA97=0,BI97=3),P97,0),2)</f>
        <v>0</v>
      </c>
      <c r="FS97">
        <v>0</v>
      </c>
      <c r="FV97" t="s">
        <v>51</v>
      </c>
      <c r="FW97" t="s">
        <v>52</v>
      </c>
      <c r="FX97">
        <v>65</v>
      </c>
      <c r="FY97">
        <v>40</v>
      </c>
    </row>
    <row r="98" spans="1:181">
      <c r="A98">
        <v>17</v>
      </c>
      <c r="B98">
        <v>1</v>
      </c>
      <c r="C98">
        <f>ROW(SmtRes!A94)</f>
        <v>94</v>
      </c>
      <c r="D98">
        <f>ROW(EtalonRes!A104)</f>
        <v>104</v>
      </c>
      <c r="E98" t="s">
        <v>172</v>
      </c>
      <c r="F98" t="s">
        <v>173</v>
      </c>
      <c r="G98" t="s">
        <v>174</v>
      </c>
      <c r="H98" t="s">
        <v>175</v>
      </c>
      <c r="I98">
        <v>1</v>
      </c>
      <c r="J98">
        <v>0</v>
      </c>
      <c r="O98">
        <f>ROUND(CP98,2)</f>
        <v>4754.79</v>
      </c>
      <c r="P98">
        <f>ROUND(CQ98*I98,2)</f>
        <v>0</v>
      </c>
      <c r="Q98">
        <f>ROUND(CR98*I98,2)</f>
        <v>0</v>
      </c>
      <c r="R98">
        <f>ROUND(CS98*I98,2)</f>
        <v>0</v>
      </c>
      <c r="S98">
        <f>ROUND(CT98*I98,2)</f>
        <v>4754.79</v>
      </c>
      <c r="T98">
        <f>ROUND(CU98*I98,2)</f>
        <v>0</v>
      </c>
      <c r="U98">
        <f>CV98*I98</f>
        <v>23.200000000000003</v>
      </c>
      <c r="V98">
        <f>CW98*I98</f>
        <v>0</v>
      </c>
      <c r="W98">
        <f>ROUND(CX98*I98,2)</f>
        <v>0</v>
      </c>
      <c r="X98">
        <f>ROUND(CY98,2)</f>
        <v>2615.13</v>
      </c>
      <c r="Y98">
        <f>ROUND(CZ98,2)</f>
        <v>1521.53</v>
      </c>
      <c r="AA98">
        <v>0</v>
      </c>
      <c r="AB98">
        <f>ROUND((AC98+AD98+AF98),3)</f>
        <v>271.392</v>
      </c>
      <c r="AC98">
        <f t="shared" si="72"/>
        <v>0</v>
      </c>
      <c r="AD98">
        <f t="shared" si="72"/>
        <v>0</v>
      </c>
      <c r="AE98">
        <f t="shared" si="72"/>
        <v>0</v>
      </c>
      <c r="AF98">
        <f>ROUND(((EV98*0.8)),3)</f>
        <v>271.392</v>
      </c>
      <c r="AG98">
        <f>ROUND((AP98),3)</f>
        <v>0</v>
      </c>
      <c r="AH98">
        <f>((EW98*0.8))</f>
        <v>23.200000000000003</v>
      </c>
      <c r="AI98">
        <f>(EX98)</f>
        <v>0</v>
      </c>
      <c r="AJ98">
        <f>ROUND((AS98),3)</f>
        <v>0</v>
      </c>
      <c r="AK98">
        <v>339.24</v>
      </c>
      <c r="AL98">
        <v>0</v>
      </c>
      <c r="AM98">
        <v>0</v>
      </c>
      <c r="AN98">
        <v>0</v>
      </c>
      <c r="AO98">
        <v>339.24</v>
      </c>
      <c r="AP98">
        <v>0</v>
      </c>
      <c r="AQ98">
        <v>29</v>
      </c>
      <c r="AR98">
        <v>0</v>
      </c>
      <c r="AS98">
        <v>0</v>
      </c>
      <c r="AT98">
        <v>55</v>
      </c>
      <c r="AU98">
        <v>32</v>
      </c>
      <c r="AV98">
        <v>1</v>
      </c>
      <c r="AW98">
        <v>1</v>
      </c>
      <c r="AX98">
        <v>1</v>
      </c>
      <c r="AY98">
        <v>1</v>
      </c>
      <c r="AZ98">
        <v>15.98</v>
      </c>
      <c r="BA98">
        <v>17.52</v>
      </c>
      <c r="BB98">
        <v>1</v>
      </c>
      <c r="BC98">
        <v>1</v>
      </c>
      <c r="BD98" t="s">
        <v>3</v>
      </c>
      <c r="BE98" t="s">
        <v>3</v>
      </c>
      <c r="BF98" t="s">
        <v>3</v>
      </c>
      <c r="BG98" t="s">
        <v>3</v>
      </c>
      <c r="BH98">
        <v>0</v>
      </c>
      <c r="BI98">
        <v>4</v>
      </c>
      <c r="BJ98" t="s">
        <v>176</v>
      </c>
      <c r="BM98">
        <v>200001</v>
      </c>
      <c r="BN98">
        <v>0</v>
      </c>
      <c r="BO98" t="s">
        <v>173</v>
      </c>
      <c r="BP98">
        <v>1</v>
      </c>
      <c r="BQ98">
        <v>4</v>
      </c>
      <c r="BR98">
        <v>0</v>
      </c>
      <c r="BS98">
        <v>17.510000000000002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65</v>
      </c>
      <c r="CA98">
        <v>40</v>
      </c>
      <c r="CF98">
        <v>0</v>
      </c>
      <c r="CG98">
        <v>0</v>
      </c>
      <c r="CM98">
        <v>0</v>
      </c>
      <c r="CN98" t="s">
        <v>441</v>
      </c>
      <c r="CO98">
        <v>0</v>
      </c>
      <c r="CP98">
        <f>(P98+Q98+S98)</f>
        <v>4754.79</v>
      </c>
      <c r="CQ98">
        <f>(AC98)*BC98</f>
        <v>0</v>
      </c>
      <c r="CR98">
        <f>(AD98)*BB98</f>
        <v>0</v>
      </c>
      <c r="CS98">
        <f>(AE98)*BS98</f>
        <v>0</v>
      </c>
      <c r="CT98">
        <f>(AF98)*BA98</f>
        <v>4754.78784</v>
      </c>
      <c r="CU98">
        <f t="shared" si="73"/>
        <v>0</v>
      </c>
      <c r="CV98">
        <f t="shared" si="73"/>
        <v>23.200000000000003</v>
      </c>
      <c r="CW98">
        <f t="shared" si="73"/>
        <v>0</v>
      </c>
      <c r="CX98">
        <f t="shared" si="73"/>
        <v>0</v>
      </c>
      <c r="CY98">
        <f>((S98+R98)*(ROUND((FX98*IF(1,(IF(0,0.94,0.85)*IF(0,0.85,1)),1)),IF(1,0,2))/100))</f>
        <v>2615.1345000000001</v>
      </c>
      <c r="CZ98">
        <f>((S98+R98)*(ROUND((FY98*IF(1,0.8,1)),IF(1,0,2))/100))</f>
        <v>1521.5328</v>
      </c>
      <c r="DC98" t="s">
        <v>3</v>
      </c>
      <c r="DD98" t="s">
        <v>3</v>
      </c>
      <c r="DE98" t="s">
        <v>3</v>
      </c>
      <c r="DF98" t="s">
        <v>3</v>
      </c>
      <c r="DG98" t="s">
        <v>167</v>
      </c>
      <c r="DH98" t="s">
        <v>3</v>
      </c>
      <c r="DI98" t="s">
        <v>167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R98">
        <v>1</v>
      </c>
      <c r="DS98">
        <v>1</v>
      </c>
      <c r="DT98">
        <v>1</v>
      </c>
      <c r="DU98">
        <v>1013</v>
      </c>
      <c r="DV98" t="s">
        <v>175</v>
      </c>
      <c r="DW98" t="s">
        <v>175</v>
      </c>
      <c r="DX98">
        <v>1</v>
      </c>
      <c r="EE98">
        <v>21331486</v>
      </c>
      <c r="EF98">
        <v>4</v>
      </c>
      <c r="EG98" t="s">
        <v>168</v>
      </c>
      <c r="EH98">
        <v>0</v>
      </c>
      <c r="EI98" t="s">
        <v>3</v>
      </c>
      <c r="EJ98">
        <v>4</v>
      </c>
      <c r="EK98">
        <v>200001</v>
      </c>
      <c r="EL98" t="s">
        <v>169</v>
      </c>
      <c r="EM98" t="s">
        <v>170</v>
      </c>
      <c r="EO98" t="s">
        <v>171</v>
      </c>
      <c r="EQ98">
        <v>0</v>
      </c>
      <c r="ER98">
        <v>339.24</v>
      </c>
      <c r="ES98">
        <v>0</v>
      </c>
      <c r="ET98">
        <v>0</v>
      </c>
      <c r="EU98">
        <v>0</v>
      </c>
      <c r="EV98">
        <v>339.24</v>
      </c>
      <c r="EW98">
        <v>29</v>
      </c>
      <c r="EX98">
        <v>0</v>
      </c>
      <c r="EY98">
        <v>0</v>
      </c>
      <c r="EZ98">
        <v>0</v>
      </c>
      <c r="FQ98">
        <v>0</v>
      </c>
      <c r="FR98">
        <f>ROUND(IF(AND(AA98=0,BI98=3),P98,0),2)</f>
        <v>0</v>
      </c>
      <c r="FS98">
        <v>0</v>
      </c>
      <c r="FV98" t="s">
        <v>51</v>
      </c>
      <c r="FW98" t="s">
        <v>52</v>
      </c>
      <c r="FX98">
        <v>65</v>
      </c>
      <c r="FY98">
        <v>40</v>
      </c>
    </row>
    <row r="100" spans="1:181">
      <c r="A100" s="2">
        <v>51</v>
      </c>
      <c r="B100" s="2">
        <f>B93</f>
        <v>1</v>
      </c>
      <c r="C100" s="2">
        <f>A93</f>
        <v>4</v>
      </c>
      <c r="D100" s="2">
        <f>ROW(A93)</f>
        <v>93</v>
      </c>
      <c r="E100" s="2"/>
      <c r="F100" s="2" t="str">
        <f>IF(F93&lt;&gt;"",F93,"")</f>
        <v>Новый раздел</v>
      </c>
      <c r="G100" s="2" t="str">
        <f>IF(G93&lt;&gt;"",G93,"")</f>
        <v>3. Пусконаладочные работы</v>
      </c>
      <c r="H100" s="2"/>
      <c r="I100" s="2"/>
      <c r="J100" s="2"/>
      <c r="K100" s="2"/>
      <c r="L100" s="2"/>
      <c r="M100" s="2"/>
      <c r="N100" s="2"/>
      <c r="O100" s="2">
        <f t="shared" ref="O100:Y100" si="74">ROUND(AB100,2)</f>
        <v>5738.71</v>
      </c>
      <c r="P100" s="2">
        <f t="shared" si="74"/>
        <v>0</v>
      </c>
      <c r="Q100" s="2">
        <f t="shared" si="74"/>
        <v>0</v>
      </c>
      <c r="R100" s="2">
        <f t="shared" si="74"/>
        <v>0</v>
      </c>
      <c r="S100" s="2">
        <f t="shared" si="74"/>
        <v>5738.71</v>
      </c>
      <c r="T100" s="2">
        <f t="shared" si="74"/>
        <v>0</v>
      </c>
      <c r="U100" s="2">
        <f t="shared" si="74"/>
        <v>28</v>
      </c>
      <c r="V100" s="2">
        <f t="shared" si="74"/>
        <v>0</v>
      </c>
      <c r="W100" s="2">
        <f t="shared" si="74"/>
        <v>0</v>
      </c>
      <c r="X100" s="2">
        <f t="shared" si="74"/>
        <v>3156.29</v>
      </c>
      <c r="Y100" s="2">
        <f t="shared" si="74"/>
        <v>1836.38</v>
      </c>
      <c r="Z100" s="2"/>
      <c r="AA100" s="2"/>
      <c r="AB100" s="2">
        <f>ROUND(SUMIF(AA97:AA98,"=0",O97:O98),2)</f>
        <v>5738.71</v>
      </c>
      <c r="AC100" s="2">
        <f>ROUND(SUMIF(AA97:AA98,"=0",P97:P98),2)</f>
        <v>0</v>
      </c>
      <c r="AD100" s="2">
        <f>ROUND(SUMIF(AA97:AA98,"=0",Q97:Q98),2)</f>
        <v>0</v>
      </c>
      <c r="AE100" s="2">
        <f>ROUND(SUMIF(AA97:AA98,"=0",R97:R98),2)</f>
        <v>0</v>
      </c>
      <c r="AF100" s="2">
        <f>ROUND(SUMIF(AA97:AA98,"=0",S97:S98),2)</f>
        <v>5738.71</v>
      </c>
      <c r="AG100" s="2">
        <f>ROUND(SUMIF(AA97:AA98,"=0",T97:T98),2)</f>
        <v>0</v>
      </c>
      <c r="AH100" s="2">
        <f>ROUND(SUMIF(AA97:AA98,"=0",U97:U98),2)</f>
        <v>28</v>
      </c>
      <c r="AI100" s="2">
        <f>ROUND(SUMIF(AA97:AA98,"=0",V97:V98),2)</f>
        <v>0</v>
      </c>
      <c r="AJ100" s="2">
        <f>ROUND(SUMIF(AA97:AA98,"=0",W97:W98),2)</f>
        <v>0</v>
      </c>
      <c r="AK100" s="2">
        <f>ROUND(SUMIF(AA97:AA98,"=0",X97:X98),2)</f>
        <v>3156.29</v>
      </c>
      <c r="AL100" s="2">
        <f>ROUND(SUMIF(AA97:AA98,"=0",Y97:Y98),2)</f>
        <v>1836.38</v>
      </c>
      <c r="AM100" s="2"/>
      <c r="AN100" s="2">
        <f>ROUND(AO100,2)</f>
        <v>0</v>
      </c>
      <c r="AO100" s="2">
        <f>ROUND(SUMIF(AA97:AA98,"=0",FQ97:FQ98),2)</f>
        <v>0</v>
      </c>
      <c r="AP100" s="2">
        <f>ROUND(AQ100,2)</f>
        <v>0</v>
      </c>
      <c r="AQ100" s="2">
        <f>ROUND(SUM(FR97:FR98),2)</f>
        <v>0</v>
      </c>
    </row>
    <row r="102" spans="1:181">
      <c r="A102" s="3">
        <v>50</v>
      </c>
      <c r="B102" s="3">
        <f>IF(Source!F102&lt;&gt;0,1,0)</f>
        <v>1</v>
      </c>
      <c r="C102" s="3">
        <v>0</v>
      </c>
      <c r="D102" s="3">
        <v>1</v>
      </c>
      <c r="E102" s="3">
        <v>201</v>
      </c>
      <c r="F102" s="3">
        <f>Source!O100</f>
        <v>5738.71</v>
      </c>
      <c r="G102" s="3" t="s">
        <v>68</v>
      </c>
      <c r="H102" s="3" t="s">
        <v>69</v>
      </c>
      <c r="I102" s="3"/>
      <c r="J102" s="3"/>
      <c r="K102" s="3">
        <v>201</v>
      </c>
      <c r="L102" s="3">
        <v>1</v>
      </c>
      <c r="M102" s="3">
        <v>1</v>
      </c>
      <c r="N102" s="3" t="s">
        <v>3</v>
      </c>
    </row>
    <row r="103" spans="1:181">
      <c r="A103" s="3">
        <v>50</v>
      </c>
      <c r="B103" s="3">
        <f>IF(Source!F103&lt;&gt;0,1,0)</f>
        <v>0</v>
      </c>
      <c r="C103" s="3">
        <v>0</v>
      </c>
      <c r="D103" s="3">
        <v>1</v>
      </c>
      <c r="E103" s="3">
        <v>202</v>
      </c>
      <c r="F103" s="3">
        <f>Source!P100</f>
        <v>0</v>
      </c>
      <c r="G103" s="3" t="s">
        <v>70</v>
      </c>
      <c r="H103" s="3" t="s">
        <v>71</v>
      </c>
      <c r="I103" s="3"/>
      <c r="J103" s="3"/>
      <c r="K103" s="3">
        <v>202</v>
      </c>
      <c r="L103" s="3">
        <v>2</v>
      </c>
      <c r="M103" s="3">
        <v>1</v>
      </c>
      <c r="N103" s="3" t="s">
        <v>3</v>
      </c>
    </row>
    <row r="104" spans="1:181">
      <c r="A104" s="3">
        <v>50</v>
      </c>
      <c r="B104" s="3">
        <v>0</v>
      </c>
      <c r="C104" s="3">
        <v>0</v>
      </c>
      <c r="D104" s="3">
        <v>1</v>
      </c>
      <c r="E104" s="3">
        <v>222</v>
      </c>
      <c r="F104" s="3">
        <f>Source!AN100</f>
        <v>0</v>
      </c>
      <c r="G104" s="3" t="s">
        <v>72</v>
      </c>
      <c r="H104" s="3" t="s">
        <v>73</v>
      </c>
      <c r="I104" s="3"/>
      <c r="J104" s="3"/>
      <c r="K104" s="3">
        <v>222</v>
      </c>
      <c r="L104" s="3">
        <v>3</v>
      </c>
      <c r="M104" s="3">
        <v>3</v>
      </c>
      <c r="N104" s="3" t="s">
        <v>3</v>
      </c>
    </row>
    <row r="105" spans="1:181">
      <c r="A105" s="3">
        <v>50</v>
      </c>
      <c r="B105" s="3">
        <v>0</v>
      </c>
      <c r="C105" s="3">
        <v>0</v>
      </c>
      <c r="D105" s="3">
        <v>1</v>
      </c>
      <c r="E105" s="3">
        <v>216</v>
      </c>
      <c r="F105" s="3">
        <f>Source!AP100</f>
        <v>0</v>
      </c>
      <c r="G105" s="3" t="s">
        <v>74</v>
      </c>
      <c r="H105" s="3" t="s">
        <v>75</v>
      </c>
      <c r="I105" s="3"/>
      <c r="J105" s="3"/>
      <c r="K105" s="3">
        <v>216</v>
      </c>
      <c r="L105" s="3">
        <v>4</v>
      </c>
      <c r="M105" s="3">
        <v>3</v>
      </c>
      <c r="N105" s="3" t="s">
        <v>3</v>
      </c>
    </row>
    <row r="106" spans="1:181">
      <c r="A106" s="3">
        <v>50</v>
      </c>
      <c r="B106" s="3">
        <f>IF(Source!F106&lt;&gt;0,1,0)</f>
        <v>0</v>
      </c>
      <c r="C106" s="3">
        <v>0</v>
      </c>
      <c r="D106" s="3">
        <v>1</v>
      </c>
      <c r="E106" s="3">
        <v>203</v>
      </c>
      <c r="F106" s="3">
        <f>Source!Q100</f>
        <v>0</v>
      </c>
      <c r="G106" s="3" t="s">
        <v>76</v>
      </c>
      <c r="H106" s="3" t="s">
        <v>77</v>
      </c>
      <c r="I106" s="3"/>
      <c r="J106" s="3"/>
      <c r="K106" s="3">
        <v>203</v>
      </c>
      <c r="L106" s="3">
        <v>5</v>
      </c>
      <c r="M106" s="3">
        <v>1</v>
      </c>
      <c r="N106" s="3" t="s">
        <v>3</v>
      </c>
    </row>
    <row r="107" spans="1:181">
      <c r="A107" s="3">
        <v>50</v>
      </c>
      <c r="B107" s="3">
        <f>IF(Source!F107&lt;&gt;0,1,0)</f>
        <v>0</v>
      </c>
      <c r="C107" s="3">
        <v>0</v>
      </c>
      <c r="D107" s="3">
        <v>1</v>
      </c>
      <c r="E107" s="3">
        <v>204</v>
      </c>
      <c r="F107" s="3">
        <f>Source!R100</f>
        <v>0</v>
      </c>
      <c r="G107" s="3" t="s">
        <v>78</v>
      </c>
      <c r="H107" s="3" t="s">
        <v>79</v>
      </c>
      <c r="I107" s="3"/>
      <c r="J107" s="3"/>
      <c r="K107" s="3">
        <v>204</v>
      </c>
      <c r="L107" s="3">
        <v>6</v>
      </c>
      <c r="M107" s="3">
        <v>1</v>
      </c>
      <c r="N107" s="3" t="s">
        <v>3</v>
      </c>
    </row>
    <row r="108" spans="1:181">
      <c r="A108" s="3">
        <v>50</v>
      </c>
      <c r="B108" s="3">
        <f>IF(Source!F108&lt;&gt;0,1,0)</f>
        <v>1</v>
      </c>
      <c r="C108" s="3">
        <v>0</v>
      </c>
      <c r="D108" s="3">
        <v>1</v>
      </c>
      <c r="E108" s="3">
        <v>205</v>
      </c>
      <c r="F108" s="3">
        <f>Source!S100</f>
        <v>5738.71</v>
      </c>
      <c r="G108" s="3" t="s">
        <v>80</v>
      </c>
      <c r="H108" s="3" t="s">
        <v>81</v>
      </c>
      <c r="I108" s="3"/>
      <c r="J108" s="3"/>
      <c r="K108" s="3">
        <v>205</v>
      </c>
      <c r="L108" s="3">
        <v>7</v>
      </c>
      <c r="M108" s="3">
        <v>1</v>
      </c>
      <c r="N108" s="3" t="s">
        <v>3</v>
      </c>
    </row>
    <row r="109" spans="1:181">
      <c r="A109" s="3">
        <v>50</v>
      </c>
      <c r="B109" s="3">
        <f>IF(Source!F109&lt;&gt;0,1,0)</f>
        <v>0</v>
      </c>
      <c r="C109" s="3">
        <v>0</v>
      </c>
      <c r="D109" s="3">
        <v>1</v>
      </c>
      <c r="E109" s="3">
        <v>206</v>
      </c>
      <c r="F109" s="3">
        <f>Source!T100</f>
        <v>0</v>
      </c>
      <c r="G109" s="3" t="s">
        <v>82</v>
      </c>
      <c r="H109" s="3" t="s">
        <v>83</v>
      </c>
      <c r="I109" s="3"/>
      <c r="J109" s="3"/>
      <c r="K109" s="3">
        <v>206</v>
      </c>
      <c r="L109" s="3">
        <v>8</v>
      </c>
      <c r="M109" s="3">
        <v>1</v>
      </c>
      <c r="N109" s="3" t="s">
        <v>3</v>
      </c>
    </row>
    <row r="110" spans="1:181">
      <c r="A110" s="3">
        <v>50</v>
      </c>
      <c r="B110" s="3">
        <f>IF(Source!F110&lt;&gt;0,1,0)</f>
        <v>1</v>
      </c>
      <c r="C110" s="3">
        <v>0</v>
      </c>
      <c r="D110" s="3">
        <v>1</v>
      </c>
      <c r="E110" s="3">
        <v>207</v>
      </c>
      <c r="F110" s="3">
        <f>Source!U100</f>
        <v>28</v>
      </c>
      <c r="G110" s="3" t="s">
        <v>84</v>
      </c>
      <c r="H110" s="3" t="s">
        <v>85</v>
      </c>
      <c r="I110" s="3"/>
      <c r="J110" s="3"/>
      <c r="K110" s="3">
        <v>207</v>
      </c>
      <c r="L110" s="3">
        <v>9</v>
      </c>
      <c r="M110" s="3">
        <v>1</v>
      </c>
      <c r="N110" s="3" t="s">
        <v>3</v>
      </c>
    </row>
    <row r="111" spans="1:181">
      <c r="A111" s="3">
        <v>50</v>
      </c>
      <c r="B111" s="3">
        <f>IF(Source!F111&lt;&gt;0,1,0)</f>
        <v>0</v>
      </c>
      <c r="C111" s="3">
        <v>0</v>
      </c>
      <c r="D111" s="3">
        <v>1</v>
      </c>
      <c r="E111" s="3">
        <v>208</v>
      </c>
      <c r="F111" s="3">
        <f>Source!V100</f>
        <v>0</v>
      </c>
      <c r="G111" s="3" t="s">
        <v>86</v>
      </c>
      <c r="H111" s="3" t="s">
        <v>87</v>
      </c>
      <c r="I111" s="3"/>
      <c r="J111" s="3"/>
      <c r="K111" s="3">
        <v>208</v>
      </c>
      <c r="L111" s="3">
        <v>10</v>
      </c>
      <c r="M111" s="3">
        <v>1</v>
      </c>
      <c r="N111" s="3" t="s">
        <v>3</v>
      </c>
    </row>
    <row r="112" spans="1:181">
      <c r="A112" s="3">
        <v>50</v>
      </c>
      <c r="B112" s="3">
        <f>IF(Source!F112&lt;&gt;0,1,0)</f>
        <v>0</v>
      </c>
      <c r="C112" s="3">
        <v>0</v>
      </c>
      <c r="D112" s="3">
        <v>1</v>
      </c>
      <c r="E112" s="3">
        <v>209</v>
      </c>
      <c r="F112" s="3">
        <f>Source!W100</f>
        <v>0</v>
      </c>
      <c r="G112" s="3" t="s">
        <v>88</v>
      </c>
      <c r="H112" s="3" t="s">
        <v>89</v>
      </c>
      <c r="I112" s="3"/>
      <c r="J112" s="3"/>
      <c r="K112" s="3">
        <v>209</v>
      </c>
      <c r="L112" s="3">
        <v>11</v>
      </c>
      <c r="M112" s="3">
        <v>1</v>
      </c>
      <c r="N112" s="3" t="s">
        <v>3</v>
      </c>
    </row>
    <row r="113" spans="1:43">
      <c r="A113" s="3">
        <v>50</v>
      </c>
      <c r="B113" s="3">
        <f>IF(Source!F113&lt;&gt;0,1,0)</f>
        <v>1</v>
      </c>
      <c r="C113" s="3">
        <v>0</v>
      </c>
      <c r="D113" s="3">
        <v>1</v>
      </c>
      <c r="E113" s="3">
        <v>210</v>
      </c>
      <c r="F113" s="3">
        <f>Source!X100</f>
        <v>3156.29</v>
      </c>
      <c r="G113" s="3" t="s">
        <v>90</v>
      </c>
      <c r="H113" s="3" t="s">
        <v>91</v>
      </c>
      <c r="I113" s="3"/>
      <c r="J113" s="3"/>
      <c r="K113" s="3">
        <v>210</v>
      </c>
      <c r="L113" s="3">
        <v>12</v>
      </c>
      <c r="M113" s="3">
        <v>1</v>
      </c>
      <c r="N113" s="3" t="s">
        <v>3</v>
      </c>
    </row>
    <row r="114" spans="1:43">
      <c r="A114" s="3">
        <v>50</v>
      </c>
      <c r="B114" s="3">
        <f>IF(Source!F114&lt;&gt;0,1,0)</f>
        <v>1</v>
      </c>
      <c r="C114" s="3">
        <v>0</v>
      </c>
      <c r="D114" s="3">
        <v>1</v>
      </c>
      <c r="E114" s="3">
        <v>211</v>
      </c>
      <c r="F114" s="3">
        <f>Source!Y100</f>
        <v>1836.38</v>
      </c>
      <c r="G114" s="3" t="s">
        <v>92</v>
      </c>
      <c r="H114" s="3" t="s">
        <v>93</v>
      </c>
      <c r="I114" s="3"/>
      <c r="J114" s="3"/>
      <c r="K114" s="3">
        <v>211</v>
      </c>
      <c r="L114" s="3">
        <v>13</v>
      </c>
      <c r="M114" s="3">
        <v>1</v>
      </c>
      <c r="N114" s="3" t="s">
        <v>3</v>
      </c>
    </row>
    <row r="115" spans="1:43">
      <c r="A115" s="3">
        <v>50</v>
      </c>
      <c r="B115" s="3">
        <v>1</v>
      </c>
      <c r="C115" s="3">
        <v>0</v>
      </c>
      <c r="D115" s="3">
        <v>2</v>
      </c>
      <c r="E115" s="3">
        <v>0</v>
      </c>
      <c r="F115" s="3">
        <f>ROUND(Source!F102+Source!F113+Source!F114,2)</f>
        <v>10731.38</v>
      </c>
      <c r="G115" s="3" t="s">
        <v>94</v>
      </c>
      <c r="H115" s="3" t="s">
        <v>94</v>
      </c>
      <c r="I115" s="3"/>
      <c r="J115" s="3"/>
      <c r="K115" s="3">
        <v>212</v>
      </c>
      <c r="L115" s="3">
        <v>14</v>
      </c>
      <c r="M115" s="3">
        <v>0</v>
      </c>
      <c r="N115" s="3" t="s">
        <v>3</v>
      </c>
    </row>
    <row r="117" spans="1:43">
      <c r="A117" s="2">
        <v>51</v>
      </c>
      <c r="B117" s="2">
        <f>B20</f>
        <v>1</v>
      </c>
      <c r="C117" s="2">
        <f>A20</f>
        <v>3</v>
      </c>
      <c r="D117" s="2">
        <f>ROW(A20)</f>
        <v>20</v>
      </c>
      <c r="E117" s="2"/>
      <c r="F117" s="2" t="str">
        <f>IF(F20&lt;&gt;"",F20,"")</f>
        <v>Новая локальная смета</v>
      </c>
      <c r="G117" s="2" t="str">
        <f>IF(G20&lt;&gt;"",G20,"")</f>
        <v xml:space="preserve">Система видеонаблюдения </v>
      </c>
      <c r="H117" s="2"/>
      <c r="I117" s="2"/>
      <c r="J117" s="2"/>
      <c r="K117" s="2"/>
      <c r="L117" s="2"/>
      <c r="M117" s="2"/>
      <c r="N117" s="2"/>
      <c r="O117" s="2">
        <f t="shared" ref="O117:Y117" si="75">ROUND(O43+O76+O100+AB117,2)</f>
        <v>89148.23</v>
      </c>
      <c r="P117" s="2">
        <f t="shared" si="75"/>
        <v>55888.2</v>
      </c>
      <c r="Q117" s="2">
        <f t="shared" si="75"/>
        <v>1084.6300000000001</v>
      </c>
      <c r="R117" s="2">
        <f t="shared" si="75"/>
        <v>261.91000000000003</v>
      </c>
      <c r="S117" s="2">
        <f t="shared" si="75"/>
        <v>32175.4</v>
      </c>
      <c r="T117" s="2">
        <f t="shared" si="75"/>
        <v>0</v>
      </c>
      <c r="U117" s="2">
        <f t="shared" si="75"/>
        <v>183.16</v>
      </c>
      <c r="V117" s="2">
        <f t="shared" si="75"/>
        <v>3.06</v>
      </c>
      <c r="W117" s="2">
        <f t="shared" si="75"/>
        <v>0</v>
      </c>
      <c r="X117" s="2">
        <f t="shared" si="75"/>
        <v>22649.34</v>
      </c>
      <c r="Y117" s="2">
        <f t="shared" si="75"/>
        <v>15134.16</v>
      </c>
      <c r="Z117" s="2"/>
      <c r="AA117" s="2"/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/>
      <c r="AN117" s="2">
        <f>ROUND(AN43+AN76+AN100+AO117,2)</f>
        <v>0</v>
      </c>
      <c r="AO117" s="2">
        <v>0</v>
      </c>
      <c r="AP117" s="2">
        <f>ROUND(AP43+AP76+AP100+AQ117,2)</f>
        <v>41402.160000000003</v>
      </c>
      <c r="AQ117" s="2">
        <v>0</v>
      </c>
    </row>
    <row r="119" spans="1:43">
      <c r="A119" s="3">
        <v>50</v>
      </c>
      <c r="B119" s="3">
        <f>IF(Source!F119&lt;&gt;0,1,0)</f>
        <v>1</v>
      </c>
      <c r="C119" s="3">
        <v>0</v>
      </c>
      <c r="D119" s="3">
        <v>1</v>
      </c>
      <c r="E119" s="3">
        <v>201</v>
      </c>
      <c r="F119" s="3">
        <f>Source!O117</f>
        <v>89148.23</v>
      </c>
      <c r="G119" s="3" t="s">
        <v>68</v>
      </c>
      <c r="H119" s="3" t="s">
        <v>69</v>
      </c>
      <c r="I119" s="3"/>
      <c r="J119" s="3"/>
      <c r="K119" s="3">
        <v>201</v>
      </c>
      <c r="L119" s="3">
        <v>1</v>
      </c>
      <c r="M119" s="3">
        <v>1</v>
      </c>
      <c r="N119" s="3" t="s">
        <v>3</v>
      </c>
    </row>
    <row r="120" spans="1:43">
      <c r="A120" s="3">
        <v>50</v>
      </c>
      <c r="B120" s="3">
        <f>IF(Source!F120&lt;&gt;0,1,0)</f>
        <v>1</v>
      </c>
      <c r="C120" s="3">
        <v>0</v>
      </c>
      <c r="D120" s="3">
        <v>1</v>
      </c>
      <c r="E120" s="3">
        <v>202</v>
      </c>
      <c r="F120" s="3">
        <f>Source!P117</f>
        <v>55888.2</v>
      </c>
      <c r="G120" s="3" t="s">
        <v>70</v>
      </c>
      <c r="H120" s="3" t="s">
        <v>71</v>
      </c>
      <c r="I120" s="3"/>
      <c r="J120" s="3"/>
      <c r="K120" s="3">
        <v>202</v>
      </c>
      <c r="L120" s="3">
        <v>2</v>
      </c>
      <c r="M120" s="3">
        <v>1</v>
      </c>
      <c r="N120" s="3" t="s">
        <v>3</v>
      </c>
    </row>
    <row r="121" spans="1:43">
      <c r="A121" s="3">
        <v>50</v>
      </c>
      <c r="B121" s="3">
        <v>0</v>
      </c>
      <c r="C121" s="3">
        <v>0</v>
      </c>
      <c r="D121" s="3">
        <v>1</v>
      </c>
      <c r="E121" s="3">
        <v>222</v>
      </c>
      <c r="F121" s="3">
        <f>Source!AN117</f>
        <v>0</v>
      </c>
      <c r="G121" s="3" t="s">
        <v>72</v>
      </c>
      <c r="H121" s="3" t="s">
        <v>73</v>
      </c>
      <c r="I121" s="3"/>
      <c r="J121" s="3"/>
      <c r="K121" s="3">
        <v>222</v>
      </c>
      <c r="L121" s="3">
        <v>3</v>
      </c>
      <c r="M121" s="3">
        <v>3</v>
      </c>
      <c r="N121" s="3" t="s">
        <v>3</v>
      </c>
    </row>
    <row r="122" spans="1:43">
      <c r="A122" s="3">
        <v>50</v>
      </c>
      <c r="B122" s="3">
        <v>0</v>
      </c>
      <c r="C122" s="3">
        <v>0</v>
      </c>
      <c r="D122" s="3">
        <v>1</v>
      </c>
      <c r="E122" s="3">
        <v>216</v>
      </c>
      <c r="F122" s="3">
        <f>Source!AP117</f>
        <v>41402.160000000003</v>
      </c>
      <c r="G122" s="3" t="s">
        <v>74</v>
      </c>
      <c r="H122" s="3" t="s">
        <v>75</v>
      </c>
      <c r="I122" s="3"/>
      <c r="J122" s="3"/>
      <c r="K122" s="3">
        <v>216</v>
      </c>
      <c r="L122" s="3">
        <v>4</v>
      </c>
      <c r="M122" s="3">
        <v>3</v>
      </c>
      <c r="N122" s="3" t="s">
        <v>3</v>
      </c>
    </row>
    <row r="123" spans="1:43">
      <c r="A123" s="3">
        <v>50</v>
      </c>
      <c r="B123" s="3">
        <f>IF(Source!F123&lt;&gt;0,1,0)</f>
        <v>1</v>
      </c>
      <c r="C123" s="3">
        <v>0</v>
      </c>
      <c r="D123" s="3">
        <v>1</v>
      </c>
      <c r="E123" s="3">
        <v>203</v>
      </c>
      <c r="F123" s="3">
        <f>Source!Q117</f>
        <v>1084.6300000000001</v>
      </c>
      <c r="G123" s="3" t="s">
        <v>76</v>
      </c>
      <c r="H123" s="3" t="s">
        <v>77</v>
      </c>
      <c r="I123" s="3"/>
      <c r="J123" s="3"/>
      <c r="K123" s="3">
        <v>203</v>
      </c>
      <c r="L123" s="3">
        <v>5</v>
      </c>
      <c r="M123" s="3">
        <v>1</v>
      </c>
      <c r="N123" s="3" t="s">
        <v>3</v>
      </c>
    </row>
    <row r="124" spans="1:43">
      <c r="A124" s="3">
        <v>50</v>
      </c>
      <c r="B124" s="3">
        <f>IF(Source!F124&lt;&gt;0,1,0)</f>
        <v>1</v>
      </c>
      <c r="C124" s="3">
        <v>0</v>
      </c>
      <c r="D124" s="3">
        <v>1</v>
      </c>
      <c r="E124" s="3">
        <v>204</v>
      </c>
      <c r="F124" s="3">
        <f>Source!R117</f>
        <v>261.91000000000003</v>
      </c>
      <c r="G124" s="3" t="s">
        <v>78</v>
      </c>
      <c r="H124" s="3" t="s">
        <v>79</v>
      </c>
      <c r="I124" s="3"/>
      <c r="J124" s="3"/>
      <c r="K124" s="3">
        <v>204</v>
      </c>
      <c r="L124" s="3">
        <v>6</v>
      </c>
      <c r="M124" s="3">
        <v>1</v>
      </c>
      <c r="N124" s="3" t="s">
        <v>3</v>
      </c>
    </row>
    <row r="125" spans="1:43">
      <c r="A125" s="3">
        <v>50</v>
      </c>
      <c r="B125" s="3">
        <f>IF(Source!F125&lt;&gt;0,1,0)</f>
        <v>1</v>
      </c>
      <c r="C125" s="3">
        <v>0</v>
      </c>
      <c r="D125" s="3">
        <v>1</v>
      </c>
      <c r="E125" s="3">
        <v>205</v>
      </c>
      <c r="F125" s="3">
        <f>Source!S117</f>
        <v>32175.4</v>
      </c>
      <c r="G125" s="3" t="s">
        <v>80</v>
      </c>
      <c r="H125" s="3" t="s">
        <v>81</v>
      </c>
      <c r="I125" s="3"/>
      <c r="J125" s="3"/>
      <c r="K125" s="3">
        <v>205</v>
      </c>
      <c r="L125" s="3">
        <v>7</v>
      </c>
      <c r="M125" s="3">
        <v>1</v>
      </c>
      <c r="N125" s="3" t="s">
        <v>3</v>
      </c>
    </row>
    <row r="126" spans="1:43">
      <c r="A126" s="3">
        <v>50</v>
      </c>
      <c r="B126" s="3">
        <f>IF(Source!F126&lt;&gt;0,1,0)</f>
        <v>0</v>
      </c>
      <c r="C126" s="3">
        <v>0</v>
      </c>
      <c r="D126" s="3">
        <v>1</v>
      </c>
      <c r="E126" s="3">
        <v>206</v>
      </c>
      <c r="F126" s="3">
        <f>Source!T117</f>
        <v>0</v>
      </c>
      <c r="G126" s="3" t="s">
        <v>82</v>
      </c>
      <c r="H126" s="3" t="s">
        <v>83</v>
      </c>
      <c r="I126" s="3"/>
      <c r="J126" s="3"/>
      <c r="K126" s="3">
        <v>206</v>
      </c>
      <c r="L126" s="3">
        <v>8</v>
      </c>
      <c r="M126" s="3">
        <v>1</v>
      </c>
      <c r="N126" s="3" t="s">
        <v>3</v>
      </c>
    </row>
    <row r="127" spans="1:43">
      <c r="A127" s="3">
        <v>50</v>
      </c>
      <c r="B127" s="3">
        <f>IF(Source!F127&lt;&gt;0,1,0)</f>
        <v>1</v>
      </c>
      <c r="C127" s="3">
        <v>0</v>
      </c>
      <c r="D127" s="3">
        <v>1</v>
      </c>
      <c r="E127" s="3">
        <v>207</v>
      </c>
      <c r="F127" s="3">
        <f>Source!U117</f>
        <v>183.16</v>
      </c>
      <c r="G127" s="3" t="s">
        <v>84</v>
      </c>
      <c r="H127" s="3" t="s">
        <v>85</v>
      </c>
      <c r="I127" s="3"/>
      <c r="J127" s="3"/>
      <c r="K127" s="3">
        <v>207</v>
      </c>
      <c r="L127" s="3">
        <v>9</v>
      </c>
      <c r="M127" s="3">
        <v>1</v>
      </c>
      <c r="N127" s="3" t="s">
        <v>3</v>
      </c>
    </row>
    <row r="128" spans="1:43">
      <c r="A128" s="3">
        <v>50</v>
      </c>
      <c r="B128" s="3">
        <f>IF(Source!F128&lt;&gt;0,1,0)</f>
        <v>1</v>
      </c>
      <c r="C128" s="3">
        <v>0</v>
      </c>
      <c r="D128" s="3">
        <v>1</v>
      </c>
      <c r="E128" s="3">
        <v>208</v>
      </c>
      <c r="F128" s="3">
        <f>Source!V117</f>
        <v>3.06</v>
      </c>
      <c r="G128" s="3" t="s">
        <v>86</v>
      </c>
      <c r="H128" s="3" t="s">
        <v>87</v>
      </c>
      <c r="I128" s="3"/>
      <c r="J128" s="3"/>
      <c r="K128" s="3">
        <v>208</v>
      </c>
      <c r="L128" s="3">
        <v>10</v>
      </c>
      <c r="M128" s="3">
        <v>1</v>
      </c>
      <c r="N128" s="3" t="s">
        <v>3</v>
      </c>
    </row>
    <row r="129" spans="1:43">
      <c r="A129" s="3">
        <v>50</v>
      </c>
      <c r="B129" s="3">
        <f>IF(Source!F129&lt;&gt;0,1,0)</f>
        <v>0</v>
      </c>
      <c r="C129" s="3">
        <v>0</v>
      </c>
      <c r="D129" s="3">
        <v>1</v>
      </c>
      <c r="E129" s="3">
        <v>209</v>
      </c>
      <c r="F129" s="3">
        <f>Source!W117</f>
        <v>0</v>
      </c>
      <c r="G129" s="3" t="s">
        <v>88</v>
      </c>
      <c r="H129" s="3" t="s">
        <v>89</v>
      </c>
      <c r="I129" s="3"/>
      <c r="J129" s="3"/>
      <c r="K129" s="3">
        <v>209</v>
      </c>
      <c r="L129" s="3">
        <v>11</v>
      </c>
      <c r="M129" s="3">
        <v>1</v>
      </c>
      <c r="N129" s="3" t="s">
        <v>3</v>
      </c>
    </row>
    <row r="130" spans="1:43">
      <c r="A130" s="3">
        <v>50</v>
      </c>
      <c r="B130" s="3">
        <f>IF(Source!F130&lt;&gt;0,1,0)</f>
        <v>1</v>
      </c>
      <c r="C130" s="3">
        <v>0</v>
      </c>
      <c r="D130" s="3">
        <v>1</v>
      </c>
      <c r="E130" s="3">
        <v>210</v>
      </c>
      <c r="F130" s="3">
        <f>Source!X117</f>
        <v>22649.34</v>
      </c>
      <c r="G130" s="3" t="s">
        <v>90</v>
      </c>
      <c r="H130" s="3" t="s">
        <v>91</v>
      </c>
      <c r="I130" s="3"/>
      <c r="J130" s="3"/>
      <c r="K130" s="3">
        <v>210</v>
      </c>
      <c r="L130" s="3">
        <v>12</v>
      </c>
      <c r="M130" s="3">
        <v>1</v>
      </c>
      <c r="N130" s="3" t="s">
        <v>3</v>
      </c>
    </row>
    <row r="131" spans="1:43">
      <c r="A131" s="3">
        <v>50</v>
      </c>
      <c r="B131" s="3">
        <f>IF(Source!F131&lt;&gt;0,1,0)</f>
        <v>1</v>
      </c>
      <c r="C131" s="3">
        <v>0</v>
      </c>
      <c r="D131" s="3">
        <v>1</v>
      </c>
      <c r="E131" s="3">
        <v>211</v>
      </c>
      <c r="F131" s="3">
        <f>Source!Y117</f>
        <v>15134.16</v>
      </c>
      <c r="G131" s="3" t="s">
        <v>92</v>
      </c>
      <c r="H131" s="3" t="s">
        <v>93</v>
      </c>
      <c r="I131" s="3"/>
      <c r="J131" s="3"/>
      <c r="K131" s="3">
        <v>211</v>
      </c>
      <c r="L131" s="3">
        <v>13</v>
      </c>
      <c r="M131" s="3">
        <v>1</v>
      </c>
      <c r="N131" s="3" t="s">
        <v>3</v>
      </c>
    </row>
    <row r="132" spans="1:43">
      <c r="A132" s="3">
        <v>50</v>
      </c>
      <c r="B132" s="3">
        <v>1</v>
      </c>
      <c r="C132" s="3">
        <v>0</v>
      </c>
      <c r="D132" s="3">
        <v>2</v>
      </c>
      <c r="E132" s="3">
        <v>0</v>
      </c>
      <c r="F132" s="3">
        <f>ROUND(Source!F119+Source!F130+Source!F131,2)</f>
        <v>126931.73</v>
      </c>
      <c r="G132" s="3" t="s">
        <v>17</v>
      </c>
      <c r="H132" s="3" t="s">
        <v>94</v>
      </c>
      <c r="I132" s="3"/>
      <c r="J132" s="3"/>
      <c r="K132" s="3">
        <v>212</v>
      </c>
      <c r="L132" s="3">
        <v>14</v>
      </c>
      <c r="M132" s="3">
        <v>0</v>
      </c>
      <c r="N132" s="3" t="s">
        <v>3</v>
      </c>
    </row>
    <row r="133" spans="1:43">
      <c r="A133" s="3">
        <v>50</v>
      </c>
      <c r="B133" s="3">
        <v>1</v>
      </c>
      <c r="C133" s="3">
        <v>0</v>
      </c>
      <c r="D133" s="3">
        <v>2</v>
      </c>
      <c r="E133" s="3">
        <v>0</v>
      </c>
      <c r="F133" s="3">
        <f>ROUND(Source!F120*0.18,2)</f>
        <v>10059.879999999999</v>
      </c>
      <c r="G133" s="3" t="s">
        <v>25</v>
      </c>
      <c r="H133" s="3" t="s">
        <v>567</v>
      </c>
      <c r="I133" s="3"/>
      <c r="J133" s="3"/>
      <c r="K133" s="3">
        <v>212</v>
      </c>
      <c r="L133" s="3">
        <v>15</v>
      </c>
      <c r="M133" s="3">
        <v>0</v>
      </c>
      <c r="N133" s="3" t="s">
        <v>177</v>
      </c>
    </row>
    <row r="134" spans="1:43">
      <c r="A134" s="3">
        <v>50</v>
      </c>
      <c r="B134" s="3">
        <v>1</v>
      </c>
      <c r="C134" s="3">
        <v>0</v>
      </c>
      <c r="D134" s="3">
        <v>2</v>
      </c>
      <c r="E134" s="3">
        <v>0</v>
      </c>
      <c r="F134" s="3">
        <f>ROUND((Source!F123-Source!F124)*0.18,2)</f>
        <v>148.09</v>
      </c>
      <c r="G134" s="3" t="s">
        <v>28</v>
      </c>
      <c r="H134" s="3" t="s">
        <v>178</v>
      </c>
      <c r="I134" s="3"/>
      <c r="J134" s="3"/>
      <c r="K134" s="3">
        <v>212</v>
      </c>
      <c r="L134" s="3">
        <v>16</v>
      </c>
      <c r="M134" s="3">
        <v>0</v>
      </c>
      <c r="N134" s="3" t="s">
        <v>177</v>
      </c>
    </row>
    <row r="135" spans="1:43">
      <c r="A135" s="3">
        <v>50</v>
      </c>
      <c r="B135" s="3">
        <v>1</v>
      </c>
      <c r="C135" s="3">
        <v>0</v>
      </c>
      <c r="D135" s="3">
        <v>2</v>
      </c>
      <c r="E135" s="3">
        <v>0</v>
      </c>
      <c r="F135" s="3">
        <f>ROUND(Source!F130*0.183*0.18,2)</f>
        <v>746.07</v>
      </c>
      <c r="G135" s="3" t="s">
        <v>31</v>
      </c>
      <c r="H135" s="3" t="s">
        <v>179</v>
      </c>
      <c r="I135" s="3"/>
      <c r="J135" s="3"/>
      <c r="K135" s="3">
        <v>212</v>
      </c>
      <c r="L135" s="3">
        <v>17</v>
      </c>
      <c r="M135" s="3">
        <v>0</v>
      </c>
      <c r="N135" s="3" t="s">
        <v>177</v>
      </c>
    </row>
    <row r="136" spans="1:43">
      <c r="A136" s="3">
        <v>50</v>
      </c>
      <c r="B136" s="3">
        <v>1</v>
      </c>
      <c r="C136" s="3">
        <v>0</v>
      </c>
      <c r="D136" s="3">
        <v>2</v>
      </c>
      <c r="E136" s="3">
        <v>0</v>
      </c>
      <c r="F136" s="3">
        <f>ROUND(Source!F131*0.15*0.18,2)</f>
        <v>408.62</v>
      </c>
      <c r="G136" s="3" t="s">
        <v>33</v>
      </c>
      <c r="H136" s="3" t="s">
        <v>180</v>
      </c>
      <c r="I136" s="3"/>
      <c r="J136" s="3"/>
      <c r="K136" s="3">
        <v>212</v>
      </c>
      <c r="L136" s="3">
        <v>18</v>
      </c>
      <c r="M136" s="3">
        <v>0</v>
      </c>
      <c r="N136" s="3" t="s">
        <v>177</v>
      </c>
    </row>
    <row r="137" spans="1:43">
      <c r="A137" s="3">
        <v>50</v>
      </c>
      <c r="B137" s="3">
        <v>1</v>
      </c>
      <c r="C137" s="3">
        <v>0</v>
      </c>
      <c r="D137" s="3">
        <v>2</v>
      </c>
      <c r="E137" s="3">
        <v>0</v>
      </c>
      <c r="F137" s="3">
        <f>ROUND(Source!F133+Source!F134+Source!F135+Source!F136,2)</f>
        <v>11362.66</v>
      </c>
      <c r="G137" s="3" t="s">
        <v>36</v>
      </c>
      <c r="H137" s="3" t="s">
        <v>181</v>
      </c>
      <c r="I137" s="3"/>
      <c r="J137" s="3"/>
      <c r="K137" s="3">
        <v>212</v>
      </c>
      <c r="L137" s="3">
        <v>19</v>
      </c>
      <c r="M137" s="3">
        <v>0</v>
      </c>
      <c r="N137" s="3" t="s">
        <v>177</v>
      </c>
    </row>
    <row r="138" spans="1:43">
      <c r="A138" s="3">
        <v>50</v>
      </c>
      <c r="B138" s="3">
        <v>1</v>
      </c>
      <c r="C138" s="3">
        <v>0</v>
      </c>
      <c r="D138" s="3">
        <v>2</v>
      </c>
      <c r="E138" s="3">
        <v>0</v>
      </c>
      <c r="F138" s="3">
        <f>ROUND(Source!F132+Source!F137,2)</f>
        <v>138294.39000000001</v>
      </c>
      <c r="G138" s="3" t="s">
        <v>39</v>
      </c>
      <c r="H138" s="3" t="s">
        <v>182</v>
      </c>
      <c r="I138" s="3"/>
      <c r="J138" s="3"/>
      <c r="K138" s="3">
        <v>212</v>
      </c>
      <c r="L138" s="3">
        <v>20</v>
      </c>
      <c r="M138" s="3">
        <v>0</v>
      </c>
      <c r="N138" s="3" t="s">
        <v>177</v>
      </c>
    </row>
    <row r="140" spans="1:43">
      <c r="A140" s="2">
        <v>51</v>
      </c>
      <c r="B140" s="2">
        <f>B12</f>
        <v>1</v>
      </c>
      <c r="C140" s="2">
        <f>A12</f>
        <v>1</v>
      </c>
      <c r="D140" s="2">
        <f>ROW(A12)</f>
        <v>12</v>
      </c>
      <c r="E140" s="2"/>
      <c r="F140" s="2" t="str">
        <f>IF(F12&lt;&gt;"",F12,"")</f>
        <v>Новый объект</v>
      </c>
      <c r="G140" s="2" t="str">
        <f>IF(G12&lt;&gt;"",G12,"")</f>
        <v>монтаж системы видеонаблюдения</v>
      </c>
      <c r="H140" s="2"/>
      <c r="I140" s="2"/>
      <c r="J140" s="2"/>
      <c r="K140" s="2"/>
      <c r="L140" s="2"/>
      <c r="M140" s="2"/>
      <c r="N140" s="2"/>
      <c r="O140" s="2">
        <f t="shared" ref="O140:Y140" si="76">ROUND(O117,2)</f>
        <v>89148.23</v>
      </c>
      <c r="P140" s="2">
        <f t="shared" si="76"/>
        <v>55888.2</v>
      </c>
      <c r="Q140" s="2">
        <f t="shared" si="76"/>
        <v>1084.6300000000001</v>
      </c>
      <c r="R140" s="2">
        <f t="shared" si="76"/>
        <v>261.91000000000003</v>
      </c>
      <c r="S140" s="2">
        <f t="shared" si="76"/>
        <v>32175.4</v>
      </c>
      <c r="T140" s="2">
        <f t="shared" si="76"/>
        <v>0</v>
      </c>
      <c r="U140" s="2">
        <f t="shared" si="76"/>
        <v>183.16</v>
      </c>
      <c r="V140" s="2">
        <f t="shared" si="76"/>
        <v>3.06</v>
      </c>
      <c r="W140" s="2">
        <f t="shared" si="76"/>
        <v>0</v>
      </c>
      <c r="X140" s="2">
        <f t="shared" si="76"/>
        <v>22649.34</v>
      </c>
      <c r="Y140" s="2">
        <f t="shared" si="76"/>
        <v>15134.16</v>
      </c>
      <c r="Z140" s="2"/>
      <c r="AA140" s="2"/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/>
      <c r="AN140" s="2">
        <f>ROUND(AN117,2)</f>
        <v>0</v>
      </c>
      <c r="AO140" s="2">
        <v>0</v>
      </c>
      <c r="AP140" s="2">
        <f>ROUND(AP117,2)</f>
        <v>41402.160000000003</v>
      </c>
      <c r="AQ140" s="2">
        <v>0</v>
      </c>
    </row>
    <row r="142" spans="1:43">
      <c r="A142" s="3">
        <v>50</v>
      </c>
      <c r="B142" s="3">
        <f>IF(Source!F142&lt;&gt;0,1,0)</f>
        <v>1</v>
      </c>
      <c r="C142" s="3">
        <v>0</v>
      </c>
      <c r="D142" s="3">
        <v>1</v>
      </c>
      <c r="E142" s="3">
        <v>201</v>
      </c>
      <c r="F142" s="3">
        <f>Source!O140</f>
        <v>89148.23</v>
      </c>
      <c r="G142" s="3" t="s">
        <v>68</v>
      </c>
      <c r="H142" s="3" t="s">
        <v>69</v>
      </c>
      <c r="I142" s="3"/>
      <c r="J142" s="3"/>
      <c r="K142" s="3">
        <v>201</v>
      </c>
      <c r="L142" s="3">
        <v>1</v>
      </c>
      <c r="M142" s="3">
        <v>1</v>
      </c>
      <c r="N142" s="3" t="s">
        <v>3</v>
      </c>
    </row>
    <row r="143" spans="1:43">
      <c r="A143" s="3">
        <v>50</v>
      </c>
      <c r="B143" s="3">
        <f>IF(Source!F143&lt;&gt;0,1,0)</f>
        <v>1</v>
      </c>
      <c r="C143" s="3">
        <v>0</v>
      </c>
      <c r="D143" s="3">
        <v>1</v>
      </c>
      <c r="E143" s="3">
        <v>202</v>
      </c>
      <c r="F143" s="3">
        <f>Source!P140</f>
        <v>55888.2</v>
      </c>
      <c r="G143" s="3" t="s">
        <v>70</v>
      </c>
      <c r="H143" s="3" t="s">
        <v>71</v>
      </c>
      <c r="I143" s="3"/>
      <c r="J143" s="3"/>
      <c r="K143" s="3">
        <v>202</v>
      </c>
      <c r="L143" s="3">
        <v>2</v>
      </c>
      <c r="M143" s="3">
        <v>1</v>
      </c>
      <c r="N143" s="3" t="s">
        <v>3</v>
      </c>
    </row>
    <row r="144" spans="1:43">
      <c r="A144" s="3">
        <v>50</v>
      </c>
      <c r="B144" s="3">
        <v>0</v>
      </c>
      <c r="C144" s="3">
        <v>0</v>
      </c>
      <c r="D144" s="3">
        <v>1</v>
      </c>
      <c r="E144" s="3">
        <v>222</v>
      </c>
      <c r="F144" s="3">
        <f>Source!AN140</f>
        <v>0</v>
      </c>
      <c r="G144" s="3" t="s">
        <v>72</v>
      </c>
      <c r="H144" s="3" t="s">
        <v>73</v>
      </c>
      <c r="I144" s="3"/>
      <c r="J144" s="3"/>
      <c r="K144" s="3">
        <v>222</v>
      </c>
      <c r="L144" s="3">
        <v>3</v>
      </c>
      <c r="M144" s="3">
        <v>3</v>
      </c>
      <c r="N144" s="3" t="s">
        <v>3</v>
      </c>
    </row>
    <row r="145" spans="1:14">
      <c r="A145" s="3">
        <v>50</v>
      </c>
      <c r="B145" s="3">
        <v>0</v>
      </c>
      <c r="C145" s="3">
        <v>0</v>
      </c>
      <c r="D145" s="3">
        <v>1</v>
      </c>
      <c r="E145" s="3">
        <v>216</v>
      </c>
      <c r="F145" s="3">
        <f>Source!AP140</f>
        <v>41402.160000000003</v>
      </c>
      <c r="G145" s="3" t="s">
        <v>74</v>
      </c>
      <c r="H145" s="3" t="s">
        <v>75</v>
      </c>
      <c r="I145" s="3"/>
      <c r="J145" s="3"/>
      <c r="K145" s="3">
        <v>216</v>
      </c>
      <c r="L145" s="3">
        <v>4</v>
      </c>
      <c r="M145" s="3">
        <v>3</v>
      </c>
      <c r="N145" s="3" t="s">
        <v>3</v>
      </c>
    </row>
    <row r="146" spans="1:14">
      <c r="A146" s="3">
        <v>50</v>
      </c>
      <c r="B146" s="3">
        <f>IF(Source!F146&lt;&gt;0,1,0)</f>
        <v>1</v>
      </c>
      <c r="C146" s="3">
        <v>0</v>
      </c>
      <c r="D146" s="3">
        <v>1</v>
      </c>
      <c r="E146" s="3">
        <v>203</v>
      </c>
      <c r="F146" s="3">
        <f>Source!Q140</f>
        <v>1084.6300000000001</v>
      </c>
      <c r="G146" s="3" t="s">
        <v>76</v>
      </c>
      <c r="H146" s="3" t="s">
        <v>77</v>
      </c>
      <c r="I146" s="3"/>
      <c r="J146" s="3"/>
      <c r="K146" s="3">
        <v>203</v>
      </c>
      <c r="L146" s="3">
        <v>5</v>
      </c>
      <c r="M146" s="3">
        <v>1</v>
      </c>
      <c r="N146" s="3" t="s">
        <v>3</v>
      </c>
    </row>
    <row r="147" spans="1:14">
      <c r="A147" s="3">
        <v>50</v>
      </c>
      <c r="B147" s="3">
        <f>IF(Source!F147&lt;&gt;0,1,0)</f>
        <v>1</v>
      </c>
      <c r="C147" s="3">
        <v>0</v>
      </c>
      <c r="D147" s="3">
        <v>1</v>
      </c>
      <c r="E147" s="3">
        <v>204</v>
      </c>
      <c r="F147" s="3">
        <f>Source!R140</f>
        <v>261.91000000000003</v>
      </c>
      <c r="G147" s="3" t="s">
        <v>78</v>
      </c>
      <c r="H147" s="3" t="s">
        <v>79</v>
      </c>
      <c r="I147" s="3"/>
      <c r="J147" s="3"/>
      <c r="K147" s="3">
        <v>204</v>
      </c>
      <c r="L147" s="3">
        <v>6</v>
      </c>
      <c r="M147" s="3">
        <v>1</v>
      </c>
      <c r="N147" s="3" t="s">
        <v>3</v>
      </c>
    </row>
    <row r="148" spans="1:14">
      <c r="A148" s="3">
        <v>50</v>
      </c>
      <c r="B148" s="3">
        <f>IF(Source!F148&lt;&gt;0,1,0)</f>
        <v>1</v>
      </c>
      <c r="C148" s="3">
        <v>0</v>
      </c>
      <c r="D148" s="3">
        <v>1</v>
      </c>
      <c r="E148" s="3">
        <v>205</v>
      </c>
      <c r="F148" s="3">
        <f>Source!S140</f>
        <v>32175.4</v>
      </c>
      <c r="G148" s="3" t="s">
        <v>80</v>
      </c>
      <c r="H148" s="3" t="s">
        <v>81</v>
      </c>
      <c r="I148" s="3"/>
      <c r="J148" s="3"/>
      <c r="K148" s="3">
        <v>205</v>
      </c>
      <c r="L148" s="3">
        <v>7</v>
      </c>
      <c r="M148" s="3">
        <v>1</v>
      </c>
      <c r="N148" s="3" t="s">
        <v>3</v>
      </c>
    </row>
    <row r="149" spans="1:14">
      <c r="A149" s="3">
        <v>50</v>
      </c>
      <c r="B149" s="3">
        <f>IF(Source!F149&lt;&gt;0,1,0)</f>
        <v>0</v>
      </c>
      <c r="C149" s="3">
        <v>0</v>
      </c>
      <c r="D149" s="3">
        <v>1</v>
      </c>
      <c r="E149" s="3">
        <v>206</v>
      </c>
      <c r="F149" s="3">
        <f>Source!T140</f>
        <v>0</v>
      </c>
      <c r="G149" s="3" t="s">
        <v>82</v>
      </c>
      <c r="H149" s="3" t="s">
        <v>83</v>
      </c>
      <c r="I149" s="3"/>
      <c r="J149" s="3"/>
      <c r="K149" s="3">
        <v>206</v>
      </c>
      <c r="L149" s="3">
        <v>8</v>
      </c>
      <c r="M149" s="3">
        <v>1</v>
      </c>
      <c r="N149" s="3" t="s">
        <v>3</v>
      </c>
    </row>
    <row r="150" spans="1:14">
      <c r="A150" s="3">
        <v>50</v>
      </c>
      <c r="B150" s="3">
        <f>IF(Source!F150&lt;&gt;0,1,0)</f>
        <v>1</v>
      </c>
      <c r="C150" s="3">
        <v>0</v>
      </c>
      <c r="D150" s="3">
        <v>1</v>
      </c>
      <c r="E150" s="3">
        <v>207</v>
      </c>
      <c r="F150" s="3">
        <f>Source!U140</f>
        <v>183.16</v>
      </c>
      <c r="G150" s="3" t="s">
        <v>84</v>
      </c>
      <c r="H150" s="3" t="s">
        <v>85</v>
      </c>
      <c r="I150" s="3"/>
      <c r="J150" s="3"/>
      <c r="K150" s="3">
        <v>207</v>
      </c>
      <c r="L150" s="3">
        <v>9</v>
      </c>
      <c r="M150" s="3">
        <v>1</v>
      </c>
      <c r="N150" s="3" t="s">
        <v>3</v>
      </c>
    </row>
    <row r="151" spans="1:14">
      <c r="A151" s="3">
        <v>50</v>
      </c>
      <c r="B151" s="3">
        <f>IF(Source!F151&lt;&gt;0,1,0)</f>
        <v>1</v>
      </c>
      <c r="C151" s="3">
        <v>0</v>
      </c>
      <c r="D151" s="3">
        <v>1</v>
      </c>
      <c r="E151" s="3">
        <v>208</v>
      </c>
      <c r="F151" s="3">
        <f>Source!V140</f>
        <v>3.06</v>
      </c>
      <c r="G151" s="3" t="s">
        <v>86</v>
      </c>
      <c r="H151" s="3" t="s">
        <v>87</v>
      </c>
      <c r="I151" s="3"/>
      <c r="J151" s="3"/>
      <c r="K151" s="3">
        <v>208</v>
      </c>
      <c r="L151" s="3">
        <v>10</v>
      </c>
      <c r="M151" s="3">
        <v>1</v>
      </c>
      <c r="N151" s="3" t="s">
        <v>3</v>
      </c>
    </row>
    <row r="152" spans="1:14">
      <c r="A152" s="3">
        <v>50</v>
      </c>
      <c r="B152" s="3">
        <f>IF(Source!F152&lt;&gt;0,1,0)</f>
        <v>0</v>
      </c>
      <c r="C152" s="3">
        <v>0</v>
      </c>
      <c r="D152" s="3">
        <v>1</v>
      </c>
      <c r="E152" s="3">
        <v>209</v>
      </c>
      <c r="F152" s="3">
        <f>Source!W140</f>
        <v>0</v>
      </c>
      <c r="G152" s="3" t="s">
        <v>88</v>
      </c>
      <c r="H152" s="3" t="s">
        <v>89</v>
      </c>
      <c r="I152" s="3"/>
      <c r="J152" s="3"/>
      <c r="K152" s="3">
        <v>209</v>
      </c>
      <c r="L152" s="3">
        <v>11</v>
      </c>
      <c r="M152" s="3">
        <v>1</v>
      </c>
      <c r="N152" s="3" t="s">
        <v>3</v>
      </c>
    </row>
    <row r="153" spans="1:14">
      <c r="A153" s="3">
        <v>50</v>
      </c>
      <c r="B153" s="3">
        <f>IF(Source!F153&lt;&gt;0,1,0)</f>
        <v>1</v>
      </c>
      <c r="C153" s="3">
        <v>0</v>
      </c>
      <c r="D153" s="3">
        <v>1</v>
      </c>
      <c r="E153" s="3">
        <v>210</v>
      </c>
      <c r="F153" s="3">
        <f>Source!X140</f>
        <v>22649.34</v>
      </c>
      <c r="G153" s="3" t="s">
        <v>90</v>
      </c>
      <c r="H153" s="3" t="s">
        <v>91</v>
      </c>
      <c r="I153" s="3"/>
      <c r="J153" s="3"/>
      <c r="K153" s="3">
        <v>210</v>
      </c>
      <c r="L153" s="3">
        <v>12</v>
      </c>
      <c r="M153" s="3">
        <v>1</v>
      </c>
      <c r="N153" s="3" t="s">
        <v>3</v>
      </c>
    </row>
    <row r="154" spans="1:14">
      <c r="A154" s="3">
        <v>50</v>
      </c>
      <c r="B154" s="3">
        <f>IF(Source!F154&lt;&gt;0,1,0)</f>
        <v>1</v>
      </c>
      <c r="C154" s="3">
        <v>0</v>
      </c>
      <c r="D154" s="3">
        <v>1</v>
      </c>
      <c r="E154" s="3">
        <v>211</v>
      </c>
      <c r="F154" s="3">
        <f>Source!Y140</f>
        <v>15134.16</v>
      </c>
      <c r="G154" s="3" t="s">
        <v>92</v>
      </c>
      <c r="H154" s="3" t="s">
        <v>93</v>
      </c>
      <c r="I154" s="3"/>
      <c r="J154" s="3"/>
      <c r="K154" s="3">
        <v>211</v>
      </c>
      <c r="L154" s="3">
        <v>13</v>
      </c>
      <c r="M154" s="3">
        <v>1</v>
      </c>
      <c r="N154" s="3" t="s">
        <v>3</v>
      </c>
    </row>
    <row r="155" spans="1:14">
      <c r="A155" s="3">
        <v>50</v>
      </c>
      <c r="B155" s="3">
        <v>1</v>
      </c>
      <c r="C155" s="3">
        <v>0</v>
      </c>
      <c r="D155" s="3">
        <v>2</v>
      </c>
      <c r="E155" s="3">
        <v>0</v>
      </c>
      <c r="F155" s="3">
        <f>ROUND(Source!F142+Source!F153+Source!F154,2)</f>
        <v>126931.73</v>
      </c>
      <c r="G155" s="3" t="s">
        <v>17</v>
      </c>
      <c r="H155" s="3" t="s">
        <v>94</v>
      </c>
      <c r="I155" s="3"/>
      <c r="J155" s="3"/>
      <c r="K155" s="3">
        <v>212</v>
      </c>
      <c r="L155" s="3">
        <v>14</v>
      </c>
      <c r="M155" s="3">
        <v>0</v>
      </c>
      <c r="N155" s="3" t="s">
        <v>3</v>
      </c>
    </row>
    <row r="156" spans="1:14">
      <c r="A156" s="3">
        <v>50</v>
      </c>
      <c r="B156" s="3">
        <v>1</v>
      </c>
      <c r="C156" s="3">
        <v>0</v>
      </c>
      <c r="D156" s="3">
        <v>2</v>
      </c>
      <c r="E156" s="3">
        <v>0</v>
      </c>
      <c r="F156" s="3">
        <f>ROUND(Source!F155*0.695,2)</f>
        <v>88217.55</v>
      </c>
      <c r="G156" s="3" t="s">
        <v>97</v>
      </c>
      <c r="H156" s="3" t="s">
        <v>183</v>
      </c>
      <c r="I156" s="3"/>
      <c r="J156" s="3"/>
      <c r="K156" s="3">
        <v>212</v>
      </c>
      <c r="L156" s="3">
        <v>15</v>
      </c>
      <c r="M156" s="3">
        <v>0</v>
      </c>
      <c r="N156" s="3" t="s">
        <v>3</v>
      </c>
    </row>
    <row r="157" spans="1:14">
      <c r="A157" s="3">
        <v>50</v>
      </c>
      <c r="B157" s="3">
        <v>1</v>
      </c>
      <c r="C157" s="3">
        <v>0</v>
      </c>
      <c r="D157" s="3">
        <v>2</v>
      </c>
      <c r="E157" s="3">
        <v>0</v>
      </c>
      <c r="F157" s="3">
        <f>ROUND(Source!F143*0.18,2)</f>
        <v>10059.879999999999</v>
      </c>
      <c r="G157" s="3" t="s">
        <v>25</v>
      </c>
      <c r="H157" s="3" t="s">
        <v>574</v>
      </c>
      <c r="I157" s="3"/>
      <c r="J157" s="3"/>
      <c r="K157" s="3">
        <v>212</v>
      </c>
      <c r="L157" s="3">
        <v>16</v>
      </c>
      <c r="M157" s="3">
        <v>0</v>
      </c>
      <c r="N157" s="3" t="s">
        <v>177</v>
      </c>
    </row>
    <row r="158" spans="1:14">
      <c r="A158" s="3">
        <v>50</v>
      </c>
      <c r="B158" s="3">
        <v>1</v>
      </c>
      <c r="C158" s="3">
        <v>0</v>
      </c>
      <c r="D158" s="3">
        <v>2</v>
      </c>
      <c r="E158" s="3">
        <v>0</v>
      </c>
      <c r="F158" s="3">
        <f>ROUND((Source!F146-Source!F147)*0.18,2)</f>
        <v>148.09</v>
      </c>
      <c r="G158" s="3" t="s">
        <v>28</v>
      </c>
      <c r="H158" s="3" t="s">
        <v>575</v>
      </c>
      <c r="I158" s="3"/>
      <c r="J158" s="3"/>
      <c r="K158" s="3">
        <v>212</v>
      </c>
      <c r="L158" s="3">
        <v>17</v>
      </c>
      <c r="M158" s="3">
        <v>0</v>
      </c>
      <c r="N158" s="3" t="s">
        <v>177</v>
      </c>
    </row>
    <row r="159" spans="1:14">
      <c r="A159" s="3">
        <v>50</v>
      </c>
      <c r="B159" s="3">
        <v>1</v>
      </c>
      <c r="C159" s="3">
        <v>0</v>
      </c>
      <c r="D159" s="3">
        <v>2</v>
      </c>
      <c r="E159" s="3">
        <v>0</v>
      </c>
      <c r="F159" s="3">
        <f>ROUND(Source!F153*0.183*0.18,2)</f>
        <v>746.07</v>
      </c>
      <c r="G159" s="3" t="s">
        <v>31</v>
      </c>
      <c r="H159" s="3" t="s">
        <v>576</v>
      </c>
      <c r="I159" s="3"/>
      <c r="J159" s="3"/>
      <c r="K159" s="3">
        <v>212</v>
      </c>
      <c r="L159" s="3">
        <v>18</v>
      </c>
      <c r="M159" s="3">
        <v>0</v>
      </c>
      <c r="N159" s="3" t="s">
        <v>177</v>
      </c>
    </row>
    <row r="160" spans="1:14">
      <c r="A160" s="3">
        <v>50</v>
      </c>
      <c r="B160" s="3">
        <v>1</v>
      </c>
      <c r="C160" s="3">
        <v>0</v>
      </c>
      <c r="D160" s="3">
        <v>2</v>
      </c>
      <c r="E160" s="3">
        <v>0</v>
      </c>
      <c r="F160" s="3">
        <f>ROUND(Source!F154*0.15*0.18,2)</f>
        <v>408.62</v>
      </c>
      <c r="G160" s="3" t="s">
        <v>33</v>
      </c>
      <c r="H160" s="3" t="s">
        <v>579</v>
      </c>
      <c r="I160" s="3"/>
      <c r="J160" s="3"/>
      <c r="K160" s="3">
        <v>212</v>
      </c>
      <c r="L160" s="3">
        <v>19</v>
      </c>
      <c r="M160" s="3">
        <v>0</v>
      </c>
      <c r="N160" s="3" t="s">
        <v>177</v>
      </c>
    </row>
    <row r="161" spans="1:15">
      <c r="A161" s="3">
        <v>50</v>
      </c>
      <c r="B161" s="3">
        <v>1</v>
      </c>
      <c r="C161" s="3">
        <v>0</v>
      </c>
      <c r="D161" s="3">
        <v>2</v>
      </c>
      <c r="E161" s="3">
        <v>0</v>
      </c>
      <c r="F161" s="3">
        <f>ROUND(Source!F157+Source!F158+Source!F159+Source!F160,2)</f>
        <v>11362.66</v>
      </c>
      <c r="G161" s="3" t="s">
        <v>36</v>
      </c>
      <c r="H161" s="3" t="s">
        <v>577</v>
      </c>
      <c r="I161" s="3"/>
      <c r="J161" s="3"/>
      <c r="K161" s="3">
        <v>212</v>
      </c>
      <c r="L161" s="3">
        <v>20</v>
      </c>
      <c r="M161" s="3">
        <v>0</v>
      </c>
      <c r="N161" s="3" t="s">
        <v>177</v>
      </c>
    </row>
    <row r="162" spans="1:15">
      <c r="A162" s="3">
        <v>50</v>
      </c>
      <c r="B162" s="3">
        <v>1</v>
      </c>
      <c r="C162" s="3">
        <v>0</v>
      </c>
      <c r="D162" s="3">
        <v>2</v>
      </c>
      <c r="E162" s="3">
        <v>0</v>
      </c>
      <c r="F162" s="3">
        <f>ROUND(Source!F156+Source!F161,2)</f>
        <v>99580.21</v>
      </c>
      <c r="G162" s="3" t="s">
        <v>39</v>
      </c>
      <c r="H162" s="3" t="s">
        <v>578</v>
      </c>
      <c r="I162" s="3"/>
      <c r="J162" s="3"/>
      <c r="K162" s="3">
        <v>212</v>
      </c>
      <c r="L162" s="3">
        <v>21</v>
      </c>
      <c r="M162" s="3">
        <v>0</v>
      </c>
      <c r="N162" s="3" t="s">
        <v>177</v>
      </c>
    </row>
    <row r="165" spans="1:15">
      <c r="A165">
        <v>70</v>
      </c>
      <c r="B165">
        <v>1</v>
      </c>
      <c r="D165">
        <v>0</v>
      </c>
      <c r="E165" t="s">
        <v>184</v>
      </c>
      <c r="F165" t="s">
        <v>185</v>
      </c>
      <c r="G165">
        <v>1</v>
      </c>
      <c r="H165">
        <v>1</v>
      </c>
      <c r="I165" t="s">
        <v>186</v>
      </c>
      <c r="J165">
        <v>0</v>
      </c>
      <c r="K165">
        <v>0</v>
      </c>
      <c r="L165" t="s">
        <v>3</v>
      </c>
      <c r="M165" t="s">
        <v>3</v>
      </c>
      <c r="N165">
        <v>0</v>
      </c>
      <c r="O165" t="s">
        <v>442</v>
      </c>
    </row>
    <row r="166" spans="1:15">
      <c r="A166">
        <v>70</v>
      </c>
      <c r="B166">
        <v>1</v>
      </c>
      <c r="D166">
        <v>0</v>
      </c>
      <c r="E166" t="s">
        <v>187</v>
      </c>
      <c r="F166" t="s">
        <v>188</v>
      </c>
      <c r="G166">
        <v>1</v>
      </c>
      <c r="H166">
        <v>1</v>
      </c>
      <c r="I166" t="s">
        <v>189</v>
      </c>
      <c r="J166">
        <v>0</v>
      </c>
      <c r="K166">
        <v>0</v>
      </c>
      <c r="L166" t="s">
        <v>3</v>
      </c>
      <c r="M166" t="s">
        <v>3</v>
      </c>
      <c r="N166">
        <v>0</v>
      </c>
      <c r="O166" t="s">
        <v>443</v>
      </c>
    </row>
    <row r="167" spans="1:15">
      <c r="A167">
        <v>70</v>
      </c>
      <c r="B167">
        <v>1</v>
      </c>
      <c r="D167">
        <v>0</v>
      </c>
      <c r="E167" t="s">
        <v>190</v>
      </c>
      <c r="F167" t="s">
        <v>191</v>
      </c>
      <c r="G167">
        <v>1</v>
      </c>
      <c r="H167">
        <v>0</v>
      </c>
      <c r="I167" t="s">
        <v>192</v>
      </c>
      <c r="J167">
        <v>0</v>
      </c>
      <c r="K167">
        <v>0</v>
      </c>
      <c r="L167" t="s">
        <v>3</v>
      </c>
      <c r="M167" t="s">
        <v>3</v>
      </c>
      <c r="N167">
        <v>0</v>
      </c>
      <c r="O167" t="s">
        <v>444</v>
      </c>
    </row>
    <row r="168" spans="1:15">
      <c r="A168">
        <v>70</v>
      </c>
      <c r="B168">
        <v>1</v>
      </c>
      <c r="D168">
        <v>0</v>
      </c>
      <c r="E168" t="s">
        <v>193</v>
      </c>
      <c r="F168" t="s">
        <v>194</v>
      </c>
      <c r="G168">
        <v>0.85</v>
      </c>
      <c r="H168">
        <v>0.85</v>
      </c>
      <c r="I168" t="s">
        <v>195</v>
      </c>
      <c r="J168">
        <v>0</v>
      </c>
      <c r="K168">
        <v>0</v>
      </c>
      <c r="L168" t="s">
        <v>3</v>
      </c>
      <c r="M168" t="s">
        <v>3</v>
      </c>
      <c r="N168">
        <v>0</v>
      </c>
      <c r="O168" t="s">
        <v>445</v>
      </c>
    </row>
    <row r="169" spans="1:15">
      <c r="A169">
        <v>70</v>
      </c>
      <c r="B169">
        <v>1</v>
      </c>
      <c r="D169">
        <v>0</v>
      </c>
      <c r="E169" t="s">
        <v>196</v>
      </c>
      <c r="F169" t="s">
        <v>197</v>
      </c>
      <c r="G169">
        <v>0.8</v>
      </c>
      <c r="H169">
        <v>0.8</v>
      </c>
      <c r="I169" t="s">
        <v>198</v>
      </c>
      <c r="J169">
        <v>0</v>
      </c>
      <c r="K169">
        <v>0</v>
      </c>
      <c r="L169" t="s">
        <v>3</v>
      </c>
      <c r="M169" t="s">
        <v>3</v>
      </c>
      <c r="N169">
        <v>0</v>
      </c>
      <c r="O169" t="s">
        <v>446</v>
      </c>
    </row>
    <row r="170" spans="1:15">
      <c r="A170">
        <v>70</v>
      </c>
      <c r="B170">
        <v>1</v>
      </c>
      <c r="D170">
        <v>0</v>
      </c>
      <c r="E170" t="s">
        <v>199</v>
      </c>
      <c r="F170" t="s">
        <v>200</v>
      </c>
      <c r="G170">
        <v>1</v>
      </c>
      <c r="H170">
        <v>1</v>
      </c>
      <c r="I170" t="s">
        <v>201</v>
      </c>
      <c r="J170">
        <v>0</v>
      </c>
      <c r="K170">
        <v>0</v>
      </c>
      <c r="L170" t="s">
        <v>3</v>
      </c>
      <c r="M170" t="s">
        <v>3</v>
      </c>
      <c r="N170">
        <v>0</v>
      </c>
      <c r="O170" t="s">
        <v>447</v>
      </c>
    </row>
    <row r="171" spans="1:15">
      <c r="A171">
        <v>70</v>
      </c>
      <c r="B171">
        <v>1</v>
      </c>
      <c r="D171">
        <v>0</v>
      </c>
      <c r="E171" t="s">
        <v>202</v>
      </c>
      <c r="F171" t="s">
        <v>203</v>
      </c>
      <c r="G171">
        <v>0</v>
      </c>
      <c r="H171">
        <v>0</v>
      </c>
      <c r="I171" t="s">
        <v>204</v>
      </c>
      <c r="J171">
        <v>0</v>
      </c>
      <c r="K171">
        <v>0</v>
      </c>
      <c r="L171" t="s">
        <v>3</v>
      </c>
      <c r="M171" t="s">
        <v>3</v>
      </c>
      <c r="N171">
        <v>0</v>
      </c>
      <c r="O171" t="s">
        <v>448</v>
      </c>
    </row>
    <row r="172" spans="1:15">
      <c r="A172">
        <v>70</v>
      </c>
      <c r="B172">
        <v>1</v>
      </c>
      <c r="D172">
        <v>0</v>
      </c>
      <c r="E172" t="s">
        <v>205</v>
      </c>
      <c r="F172" t="s">
        <v>206</v>
      </c>
      <c r="G172">
        <v>0</v>
      </c>
      <c r="H172">
        <v>0</v>
      </c>
      <c r="I172" t="s">
        <v>207</v>
      </c>
      <c r="J172">
        <v>0</v>
      </c>
      <c r="K172">
        <v>0</v>
      </c>
      <c r="L172" t="s">
        <v>3</v>
      </c>
      <c r="M172" t="s">
        <v>3</v>
      </c>
      <c r="N172">
        <v>0</v>
      </c>
      <c r="O172" t="s">
        <v>449</v>
      </c>
    </row>
    <row r="173" spans="1:15">
      <c r="A173">
        <v>70</v>
      </c>
      <c r="B173">
        <v>1</v>
      </c>
      <c r="D173">
        <v>0</v>
      </c>
      <c r="E173" t="s">
        <v>208</v>
      </c>
      <c r="F173" t="s">
        <v>209</v>
      </c>
      <c r="G173">
        <v>0.94</v>
      </c>
      <c r="H173">
        <v>0.94</v>
      </c>
      <c r="I173" t="s">
        <v>210</v>
      </c>
      <c r="J173">
        <v>0</v>
      </c>
      <c r="K173">
        <v>0</v>
      </c>
      <c r="L173" t="s">
        <v>3</v>
      </c>
      <c r="M173" t="s">
        <v>3</v>
      </c>
      <c r="N173">
        <v>0</v>
      </c>
      <c r="O173" t="s">
        <v>450</v>
      </c>
    </row>
    <row r="174" spans="1:15">
      <c r="A174">
        <v>70</v>
      </c>
      <c r="B174">
        <v>1</v>
      </c>
      <c r="D174">
        <v>0</v>
      </c>
      <c r="E174" t="s">
        <v>211</v>
      </c>
      <c r="F174" t="s">
        <v>212</v>
      </c>
      <c r="G174">
        <v>0</v>
      </c>
      <c r="H174">
        <v>0</v>
      </c>
      <c r="I174" t="s">
        <v>213</v>
      </c>
      <c r="J174">
        <v>0</v>
      </c>
      <c r="K174">
        <v>0</v>
      </c>
      <c r="L174" t="s">
        <v>3</v>
      </c>
      <c r="M174" t="s">
        <v>3</v>
      </c>
      <c r="N174">
        <v>0</v>
      </c>
      <c r="O174" t="s">
        <v>451</v>
      </c>
    </row>
    <row r="175" spans="1:15">
      <c r="A175">
        <v>70</v>
      </c>
      <c r="B175">
        <v>1</v>
      </c>
      <c r="D175">
        <v>0</v>
      </c>
      <c r="E175" t="s">
        <v>214</v>
      </c>
      <c r="F175" t="s">
        <v>215</v>
      </c>
      <c r="G175">
        <v>0</v>
      </c>
      <c r="H175">
        <v>0</v>
      </c>
      <c r="I175" t="s">
        <v>216</v>
      </c>
      <c r="J175">
        <v>0</v>
      </c>
      <c r="K175">
        <v>0</v>
      </c>
      <c r="L175" t="s">
        <v>3</v>
      </c>
      <c r="M175" t="s">
        <v>3</v>
      </c>
      <c r="N175">
        <v>0</v>
      </c>
      <c r="O175" t="s">
        <v>452</v>
      </c>
    </row>
    <row r="176" spans="1:15">
      <c r="A176">
        <v>70</v>
      </c>
      <c r="B176">
        <v>1</v>
      </c>
      <c r="D176">
        <v>0</v>
      </c>
      <c r="E176" t="s">
        <v>217</v>
      </c>
      <c r="F176" t="s">
        <v>218</v>
      </c>
      <c r="G176">
        <v>0</v>
      </c>
      <c r="H176">
        <v>0</v>
      </c>
      <c r="I176" t="s">
        <v>219</v>
      </c>
      <c r="J176">
        <v>0</v>
      </c>
      <c r="K176">
        <v>0</v>
      </c>
      <c r="L176" t="s">
        <v>3</v>
      </c>
      <c r="M176" t="s">
        <v>3</v>
      </c>
      <c r="N176">
        <v>0</v>
      </c>
      <c r="O176" t="s">
        <v>453</v>
      </c>
    </row>
    <row r="179" spans="1:5">
      <c r="A179">
        <v>65</v>
      </c>
      <c r="C179">
        <v>1</v>
      </c>
      <c r="D179">
        <v>0</v>
      </c>
      <c r="E179">
        <v>200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B94"/>
  <sheetViews>
    <sheetView workbookViewId="0"/>
  </sheetViews>
  <sheetFormatPr defaultRowHeight="12.75"/>
  <sheetData>
    <row r="1" spans="1:80">
      <c r="A1">
        <f>ROW(Source!A64)</f>
        <v>64</v>
      </c>
      <c r="B1">
        <v>22714291</v>
      </c>
      <c r="C1">
        <v>22714290</v>
      </c>
      <c r="D1">
        <v>121675</v>
      </c>
      <c r="E1">
        <v>1</v>
      </c>
      <c r="F1">
        <v>1</v>
      </c>
      <c r="G1">
        <v>1</v>
      </c>
      <c r="H1">
        <v>1</v>
      </c>
      <c r="I1" t="s">
        <v>220</v>
      </c>
      <c r="J1" t="s">
        <v>3</v>
      </c>
      <c r="K1" t="s">
        <v>221</v>
      </c>
      <c r="L1">
        <v>1369</v>
      </c>
      <c r="N1">
        <v>1013</v>
      </c>
      <c r="O1" t="s">
        <v>222</v>
      </c>
      <c r="P1" t="s">
        <v>222</v>
      </c>
      <c r="Q1">
        <v>1</v>
      </c>
      <c r="Y1">
        <v>21.8</v>
      </c>
      <c r="AA1">
        <v>0</v>
      </c>
      <c r="AB1">
        <v>0</v>
      </c>
      <c r="AC1">
        <v>0</v>
      </c>
      <c r="AD1">
        <v>11.08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21.8</v>
      </c>
      <c r="AU1" t="s">
        <v>3</v>
      </c>
      <c r="AV1">
        <v>1</v>
      </c>
      <c r="AW1">
        <v>2</v>
      </c>
      <c r="AX1">
        <v>22714304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B1">
        <v>0</v>
      </c>
    </row>
    <row r="2" spans="1:80">
      <c r="A2">
        <f>ROW(Source!A64)</f>
        <v>64</v>
      </c>
      <c r="B2">
        <v>22714292</v>
      </c>
      <c r="C2">
        <v>22714290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25</v>
      </c>
      <c r="J2" t="s">
        <v>3</v>
      </c>
      <c r="K2" t="s">
        <v>223</v>
      </c>
      <c r="L2">
        <v>608254</v>
      </c>
      <c r="N2">
        <v>1013</v>
      </c>
      <c r="O2" t="s">
        <v>224</v>
      </c>
      <c r="P2" t="s">
        <v>224</v>
      </c>
      <c r="Q2">
        <v>1</v>
      </c>
      <c r="Y2">
        <v>0.03</v>
      </c>
      <c r="AA2">
        <v>0</v>
      </c>
      <c r="AB2">
        <v>0</v>
      </c>
      <c r="AC2">
        <v>0</v>
      </c>
      <c r="AD2">
        <v>0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0.03</v>
      </c>
      <c r="AU2" t="s">
        <v>3</v>
      </c>
      <c r="AV2">
        <v>2</v>
      </c>
      <c r="AW2">
        <v>2</v>
      </c>
      <c r="AX2">
        <v>22714305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B2">
        <v>0</v>
      </c>
    </row>
    <row r="3" spans="1:80">
      <c r="A3">
        <f>ROW(Source!A64)</f>
        <v>64</v>
      </c>
      <c r="B3">
        <v>22714293</v>
      </c>
      <c r="C3">
        <v>22714290</v>
      </c>
      <c r="D3">
        <v>1467010</v>
      </c>
      <c r="E3">
        <v>1</v>
      </c>
      <c r="F3">
        <v>1</v>
      </c>
      <c r="G3">
        <v>1</v>
      </c>
      <c r="H3">
        <v>2</v>
      </c>
      <c r="I3" t="s">
        <v>225</v>
      </c>
      <c r="J3" t="s">
        <v>226</v>
      </c>
      <c r="K3" t="s">
        <v>227</v>
      </c>
      <c r="L3">
        <v>1480</v>
      </c>
      <c r="N3">
        <v>1013</v>
      </c>
      <c r="O3" t="s">
        <v>228</v>
      </c>
      <c r="P3" t="s">
        <v>229</v>
      </c>
      <c r="Q3">
        <v>1</v>
      </c>
      <c r="Y3">
        <v>0.03</v>
      </c>
      <c r="AA3">
        <v>0</v>
      </c>
      <c r="AB3">
        <v>89.99</v>
      </c>
      <c r="AC3">
        <v>10.06</v>
      </c>
      <c r="AD3">
        <v>0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0.03</v>
      </c>
      <c r="AU3" t="s">
        <v>3</v>
      </c>
      <c r="AV3">
        <v>0</v>
      </c>
      <c r="AW3">
        <v>2</v>
      </c>
      <c r="AX3">
        <v>22714306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B3">
        <v>0</v>
      </c>
    </row>
    <row r="4" spans="1:80">
      <c r="A4">
        <f>ROW(Source!A64)</f>
        <v>64</v>
      </c>
      <c r="B4">
        <v>22714294</v>
      </c>
      <c r="C4">
        <v>22714290</v>
      </c>
      <c r="D4">
        <v>1400996</v>
      </c>
      <c r="E4">
        <v>1</v>
      </c>
      <c r="F4">
        <v>1</v>
      </c>
      <c r="G4">
        <v>1</v>
      </c>
      <c r="H4">
        <v>3</v>
      </c>
      <c r="I4" t="s">
        <v>230</v>
      </c>
      <c r="J4" t="s">
        <v>231</v>
      </c>
      <c r="K4" t="s">
        <v>232</v>
      </c>
      <c r="L4">
        <v>1348</v>
      </c>
      <c r="N4">
        <v>1009</v>
      </c>
      <c r="O4" t="s">
        <v>233</v>
      </c>
      <c r="P4" t="s">
        <v>233</v>
      </c>
      <c r="Q4">
        <v>1000</v>
      </c>
      <c r="Y4">
        <v>1.0000000000000001E-5</v>
      </c>
      <c r="AA4">
        <v>42700</v>
      </c>
      <c r="AB4">
        <v>0</v>
      </c>
      <c r="AC4">
        <v>0</v>
      </c>
      <c r="AD4">
        <v>0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1.0000000000000001E-5</v>
      </c>
      <c r="AU4" t="s">
        <v>3</v>
      </c>
      <c r="AV4">
        <v>0</v>
      </c>
      <c r="AW4">
        <v>2</v>
      </c>
      <c r="AX4">
        <v>22714307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B4">
        <v>0</v>
      </c>
    </row>
    <row r="5" spans="1:80">
      <c r="A5">
        <f>ROW(Source!A64)</f>
        <v>64</v>
      </c>
      <c r="B5">
        <v>22714295</v>
      </c>
      <c r="C5">
        <v>22714290</v>
      </c>
      <c r="D5">
        <v>1401815</v>
      </c>
      <c r="E5">
        <v>1</v>
      </c>
      <c r="F5">
        <v>1</v>
      </c>
      <c r="G5">
        <v>1</v>
      </c>
      <c r="H5">
        <v>3</v>
      </c>
      <c r="I5" t="s">
        <v>234</v>
      </c>
      <c r="J5" t="s">
        <v>235</v>
      </c>
      <c r="K5" t="s">
        <v>236</v>
      </c>
      <c r="L5">
        <v>1348</v>
      </c>
      <c r="N5">
        <v>1009</v>
      </c>
      <c r="O5" t="s">
        <v>233</v>
      </c>
      <c r="P5" t="s">
        <v>233</v>
      </c>
      <c r="Q5">
        <v>1000</v>
      </c>
      <c r="Y5">
        <v>3.0000000000000001E-5</v>
      </c>
      <c r="AA5">
        <v>37517</v>
      </c>
      <c r="AB5">
        <v>0</v>
      </c>
      <c r="AC5">
        <v>0</v>
      </c>
      <c r="AD5">
        <v>0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3.0000000000000001E-5</v>
      </c>
      <c r="AU5" t="s">
        <v>3</v>
      </c>
      <c r="AV5">
        <v>0</v>
      </c>
      <c r="AW5">
        <v>2</v>
      </c>
      <c r="AX5">
        <v>22714308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B5">
        <v>0</v>
      </c>
    </row>
    <row r="6" spans="1:80">
      <c r="A6">
        <f>ROW(Source!A64)</f>
        <v>64</v>
      </c>
      <c r="B6">
        <v>22714296</v>
      </c>
      <c r="C6">
        <v>22714290</v>
      </c>
      <c r="D6">
        <v>1404444</v>
      </c>
      <c r="E6">
        <v>1</v>
      </c>
      <c r="F6">
        <v>1</v>
      </c>
      <c r="G6">
        <v>1</v>
      </c>
      <c r="H6">
        <v>3</v>
      </c>
      <c r="I6" t="s">
        <v>237</v>
      </c>
      <c r="J6" t="s">
        <v>238</v>
      </c>
      <c r="K6" t="s">
        <v>239</v>
      </c>
      <c r="L6">
        <v>1348</v>
      </c>
      <c r="N6">
        <v>1009</v>
      </c>
      <c r="O6" t="s">
        <v>233</v>
      </c>
      <c r="P6" t="s">
        <v>233</v>
      </c>
      <c r="Q6">
        <v>1000</v>
      </c>
      <c r="Y6">
        <v>1.0000000000000001E-5</v>
      </c>
      <c r="AA6">
        <v>15481</v>
      </c>
      <c r="AB6">
        <v>0</v>
      </c>
      <c r="AC6">
        <v>0</v>
      </c>
      <c r="AD6">
        <v>0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1.0000000000000001E-5</v>
      </c>
      <c r="AU6" t="s">
        <v>3</v>
      </c>
      <c r="AV6">
        <v>0</v>
      </c>
      <c r="AW6">
        <v>2</v>
      </c>
      <c r="AX6">
        <v>22714309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B6">
        <v>0</v>
      </c>
    </row>
    <row r="7" spans="1:80">
      <c r="A7">
        <f>ROW(Source!A64)</f>
        <v>64</v>
      </c>
      <c r="B7">
        <v>22714297</v>
      </c>
      <c r="C7">
        <v>22714290</v>
      </c>
      <c r="D7">
        <v>1404654</v>
      </c>
      <c r="E7">
        <v>1</v>
      </c>
      <c r="F7">
        <v>1</v>
      </c>
      <c r="G7">
        <v>1</v>
      </c>
      <c r="H7">
        <v>3</v>
      </c>
      <c r="I7" t="s">
        <v>240</v>
      </c>
      <c r="J7" t="s">
        <v>241</v>
      </c>
      <c r="K7" t="s">
        <v>242</v>
      </c>
      <c r="L7">
        <v>1346</v>
      </c>
      <c r="N7">
        <v>1009</v>
      </c>
      <c r="O7" t="s">
        <v>243</v>
      </c>
      <c r="P7" t="s">
        <v>243</v>
      </c>
      <c r="Q7">
        <v>1</v>
      </c>
      <c r="Y7">
        <v>1E-3</v>
      </c>
      <c r="AA7">
        <v>155</v>
      </c>
      <c r="AB7">
        <v>0</v>
      </c>
      <c r="AC7">
        <v>0</v>
      </c>
      <c r="AD7">
        <v>0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1E-3</v>
      </c>
      <c r="AU7" t="s">
        <v>3</v>
      </c>
      <c r="AV7">
        <v>0</v>
      </c>
      <c r="AW7">
        <v>2</v>
      </c>
      <c r="AX7">
        <v>22714310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B7">
        <v>0</v>
      </c>
    </row>
    <row r="8" spans="1:80">
      <c r="A8">
        <f>ROW(Source!A64)</f>
        <v>64</v>
      </c>
      <c r="B8">
        <v>22714298</v>
      </c>
      <c r="C8">
        <v>22714290</v>
      </c>
      <c r="D8">
        <v>1413803</v>
      </c>
      <c r="E8">
        <v>1</v>
      </c>
      <c r="F8">
        <v>1</v>
      </c>
      <c r="G8">
        <v>1</v>
      </c>
      <c r="H8">
        <v>3</v>
      </c>
      <c r="I8" t="s">
        <v>244</v>
      </c>
      <c r="J8" t="s">
        <v>245</v>
      </c>
      <c r="K8" t="s">
        <v>246</v>
      </c>
      <c r="L8">
        <v>1346</v>
      </c>
      <c r="N8">
        <v>1009</v>
      </c>
      <c r="O8" t="s">
        <v>243</v>
      </c>
      <c r="P8" t="s">
        <v>243</v>
      </c>
      <c r="Q8">
        <v>1</v>
      </c>
      <c r="Y8">
        <v>6.0000000000000001E-3</v>
      </c>
      <c r="AA8">
        <v>23</v>
      </c>
      <c r="AB8">
        <v>0</v>
      </c>
      <c r="AC8">
        <v>0</v>
      </c>
      <c r="AD8">
        <v>0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6.0000000000000001E-3</v>
      </c>
      <c r="AU8" t="s">
        <v>3</v>
      </c>
      <c r="AV8">
        <v>0</v>
      </c>
      <c r="AW8">
        <v>2</v>
      </c>
      <c r="AX8">
        <v>22714311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B8">
        <v>0</v>
      </c>
    </row>
    <row r="9" spans="1:80">
      <c r="A9">
        <f>ROW(Source!A64)</f>
        <v>64</v>
      </c>
      <c r="B9">
        <v>22714299</v>
      </c>
      <c r="C9">
        <v>22714290</v>
      </c>
      <c r="D9">
        <v>1444122</v>
      </c>
      <c r="E9">
        <v>1</v>
      </c>
      <c r="F9">
        <v>1</v>
      </c>
      <c r="G9">
        <v>1</v>
      </c>
      <c r="H9">
        <v>3</v>
      </c>
      <c r="I9" t="s">
        <v>247</v>
      </c>
      <c r="J9" t="s">
        <v>248</v>
      </c>
      <c r="K9" t="s">
        <v>249</v>
      </c>
      <c r="L9">
        <v>1354</v>
      </c>
      <c r="N9">
        <v>1010</v>
      </c>
      <c r="O9" t="s">
        <v>20</v>
      </c>
      <c r="P9" t="s">
        <v>20</v>
      </c>
      <c r="Q9">
        <v>1</v>
      </c>
      <c r="Y9">
        <v>4</v>
      </c>
      <c r="AA9">
        <v>2.0299999999999998</v>
      </c>
      <c r="AB9">
        <v>0</v>
      </c>
      <c r="AC9">
        <v>0</v>
      </c>
      <c r="AD9">
        <v>0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4</v>
      </c>
      <c r="AU9" t="s">
        <v>3</v>
      </c>
      <c r="AV9">
        <v>0</v>
      </c>
      <c r="AW9">
        <v>2</v>
      </c>
      <c r="AX9">
        <v>22714312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B9">
        <v>0</v>
      </c>
    </row>
    <row r="10" spans="1:80">
      <c r="A10">
        <f>ROW(Source!A64)</f>
        <v>64</v>
      </c>
      <c r="B10">
        <v>22714300</v>
      </c>
      <c r="C10">
        <v>22714290</v>
      </c>
      <c r="D10">
        <v>1444286</v>
      </c>
      <c r="E10">
        <v>1</v>
      </c>
      <c r="F10">
        <v>1</v>
      </c>
      <c r="G10">
        <v>1</v>
      </c>
      <c r="H10">
        <v>3</v>
      </c>
      <c r="I10" t="s">
        <v>250</v>
      </c>
      <c r="J10" t="s">
        <v>251</v>
      </c>
      <c r="K10" t="s">
        <v>252</v>
      </c>
      <c r="L10">
        <v>1346</v>
      </c>
      <c r="N10">
        <v>1009</v>
      </c>
      <c r="O10" t="s">
        <v>243</v>
      </c>
      <c r="P10" t="s">
        <v>243</v>
      </c>
      <c r="Q10">
        <v>1</v>
      </c>
      <c r="Y10">
        <v>0.11799999999999999</v>
      </c>
      <c r="AA10">
        <v>38.340000000000003</v>
      </c>
      <c r="AB10">
        <v>0</v>
      </c>
      <c r="AC10">
        <v>0</v>
      </c>
      <c r="AD10">
        <v>0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0.11799999999999999</v>
      </c>
      <c r="AU10" t="s">
        <v>3</v>
      </c>
      <c r="AV10">
        <v>0</v>
      </c>
      <c r="AW10">
        <v>2</v>
      </c>
      <c r="AX10">
        <v>22714313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B10">
        <v>0</v>
      </c>
    </row>
    <row r="11" spans="1:80">
      <c r="A11">
        <f>ROW(Source!A64)</f>
        <v>64</v>
      </c>
      <c r="B11">
        <v>22714301</v>
      </c>
      <c r="C11">
        <v>22714290</v>
      </c>
      <c r="D11">
        <v>1448345</v>
      </c>
      <c r="E11">
        <v>1</v>
      </c>
      <c r="F11">
        <v>1</v>
      </c>
      <c r="G11">
        <v>1</v>
      </c>
      <c r="H11">
        <v>3</v>
      </c>
      <c r="I11" t="s">
        <v>253</v>
      </c>
      <c r="J11" t="s">
        <v>254</v>
      </c>
      <c r="K11" t="s">
        <v>255</v>
      </c>
      <c r="L11">
        <v>1348</v>
      </c>
      <c r="N11">
        <v>1009</v>
      </c>
      <c r="O11" t="s">
        <v>233</v>
      </c>
      <c r="P11" t="s">
        <v>233</v>
      </c>
      <c r="Q11">
        <v>1000</v>
      </c>
      <c r="Y11">
        <v>4.4000000000000002E-4</v>
      </c>
      <c r="AA11">
        <v>75162.289999999994</v>
      </c>
      <c r="AB11">
        <v>0</v>
      </c>
      <c r="AC11">
        <v>0</v>
      </c>
      <c r="AD11">
        <v>0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4.4000000000000002E-4</v>
      </c>
      <c r="AU11" t="s">
        <v>3</v>
      </c>
      <c r="AV11">
        <v>0</v>
      </c>
      <c r="AW11">
        <v>2</v>
      </c>
      <c r="AX11">
        <v>22714314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B11">
        <v>0</v>
      </c>
    </row>
    <row r="12" spans="1:80">
      <c r="A12">
        <f>ROW(Source!A64)</f>
        <v>64</v>
      </c>
      <c r="B12">
        <v>22714302</v>
      </c>
      <c r="C12">
        <v>22714290</v>
      </c>
      <c r="D12">
        <v>1452250</v>
      </c>
      <c r="E12">
        <v>1</v>
      </c>
      <c r="F12">
        <v>1</v>
      </c>
      <c r="G12">
        <v>1</v>
      </c>
      <c r="H12">
        <v>3</v>
      </c>
      <c r="I12" t="s">
        <v>256</v>
      </c>
      <c r="J12" t="s">
        <v>257</v>
      </c>
      <c r="K12" t="s">
        <v>258</v>
      </c>
      <c r="L12">
        <v>1346</v>
      </c>
      <c r="N12">
        <v>1009</v>
      </c>
      <c r="O12" t="s">
        <v>243</v>
      </c>
      <c r="P12" t="s">
        <v>243</v>
      </c>
      <c r="Q12">
        <v>1</v>
      </c>
      <c r="Y12">
        <v>1.7000000000000001E-2</v>
      </c>
      <c r="AA12">
        <v>114.22</v>
      </c>
      <c r="AB12">
        <v>0</v>
      </c>
      <c r="AC12">
        <v>0</v>
      </c>
      <c r="AD12">
        <v>0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1.7000000000000001E-2</v>
      </c>
      <c r="AU12" t="s">
        <v>3</v>
      </c>
      <c r="AV12">
        <v>0</v>
      </c>
      <c r="AW12">
        <v>2</v>
      </c>
      <c r="AX12">
        <v>22714315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B12">
        <v>0</v>
      </c>
    </row>
    <row r="13" spans="1:80">
      <c r="A13">
        <f>ROW(Source!A64)</f>
        <v>64</v>
      </c>
      <c r="B13">
        <v>22714303</v>
      </c>
      <c r="C13">
        <v>22714290</v>
      </c>
      <c r="D13">
        <v>1465746</v>
      </c>
      <c r="E13">
        <v>1</v>
      </c>
      <c r="F13">
        <v>1</v>
      </c>
      <c r="G13">
        <v>1</v>
      </c>
      <c r="H13">
        <v>3</v>
      </c>
      <c r="I13" t="s">
        <v>259</v>
      </c>
      <c r="J13" t="s">
        <v>260</v>
      </c>
      <c r="K13" t="s">
        <v>261</v>
      </c>
      <c r="L13">
        <v>1346</v>
      </c>
      <c r="N13">
        <v>1009</v>
      </c>
      <c r="O13" t="s">
        <v>243</v>
      </c>
      <c r="P13" t="s">
        <v>243</v>
      </c>
      <c r="Q13">
        <v>1</v>
      </c>
      <c r="Y13">
        <v>0.01</v>
      </c>
      <c r="AA13">
        <v>138.76</v>
      </c>
      <c r="AB13">
        <v>0</v>
      </c>
      <c r="AC13">
        <v>0</v>
      </c>
      <c r="AD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0.01</v>
      </c>
      <c r="AU13" t="s">
        <v>3</v>
      </c>
      <c r="AV13">
        <v>0</v>
      </c>
      <c r="AW13">
        <v>2</v>
      </c>
      <c r="AX13">
        <v>22714316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B13">
        <v>0</v>
      </c>
    </row>
    <row r="14" spans="1:80">
      <c r="A14">
        <f>ROW(Source!A65)</f>
        <v>65</v>
      </c>
      <c r="B14">
        <v>22714319</v>
      </c>
      <c r="C14">
        <v>22714318</v>
      </c>
      <c r="D14">
        <v>121660</v>
      </c>
      <c r="E14">
        <v>1</v>
      </c>
      <c r="F14">
        <v>1</v>
      </c>
      <c r="G14">
        <v>1</v>
      </c>
      <c r="H14">
        <v>1</v>
      </c>
      <c r="I14" t="s">
        <v>262</v>
      </c>
      <c r="J14" t="s">
        <v>3</v>
      </c>
      <c r="K14" t="s">
        <v>263</v>
      </c>
      <c r="L14">
        <v>1369</v>
      </c>
      <c r="N14">
        <v>1013</v>
      </c>
      <c r="O14" t="s">
        <v>222</v>
      </c>
      <c r="P14" t="s">
        <v>222</v>
      </c>
      <c r="Q14">
        <v>1</v>
      </c>
      <c r="Y14">
        <v>15</v>
      </c>
      <c r="AA14">
        <v>0</v>
      </c>
      <c r="AB14">
        <v>0</v>
      </c>
      <c r="AC14">
        <v>0</v>
      </c>
      <c r="AD14">
        <v>10.35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15</v>
      </c>
      <c r="AU14" t="s">
        <v>3</v>
      </c>
      <c r="AV14">
        <v>1</v>
      </c>
      <c r="AW14">
        <v>2</v>
      </c>
      <c r="AX14">
        <v>22714327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B14">
        <v>0</v>
      </c>
    </row>
    <row r="15" spans="1:80">
      <c r="A15">
        <f>ROW(Source!A65)</f>
        <v>65</v>
      </c>
      <c r="B15">
        <v>22714320</v>
      </c>
      <c r="C15">
        <v>22714318</v>
      </c>
      <c r="D15">
        <v>1404454</v>
      </c>
      <c r="E15">
        <v>1</v>
      </c>
      <c r="F15">
        <v>1</v>
      </c>
      <c r="G15">
        <v>1</v>
      </c>
      <c r="H15">
        <v>3</v>
      </c>
      <c r="I15" t="s">
        <v>264</v>
      </c>
      <c r="J15" t="s">
        <v>265</v>
      </c>
      <c r="K15" t="s">
        <v>266</v>
      </c>
      <c r="L15">
        <v>1346</v>
      </c>
      <c r="N15">
        <v>1009</v>
      </c>
      <c r="O15" t="s">
        <v>243</v>
      </c>
      <c r="P15" t="s">
        <v>243</v>
      </c>
      <c r="Q15">
        <v>1</v>
      </c>
      <c r="Y15">
        <v>8.8999999999999996E-2</v>
      </c>
      <c r="AA15">
        <v>27.74</v>
      </c>
      <c r="AB15">
        <v>0</v>
      </c>
      <c r="AC15">
        <v>0</v>
      </c>
      <c r="AD15">
        <v>0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8.8999999999999996E-2</v>
      </c>
      <c r="AU15" t="s">
        <v>3</v>
      </c>
      <c r="AV15">
        <v>0</v>
      </c>
      <c r="AW15">
        <v>2</v>
      </c>
      <c r="AX15">
        <v>22714328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B15">
        <v>0</v>
      </c>
    </row>
    <row r="16" spans="1:80">
      <c r="A16">
        <f>ROW(Source!A65)</f>
        <v>65</v>
      </c>
      <c r="B16">
        <v>22714321</v>
      </c>
      <c r="C16">
        <v>22714318</v>
      </c>
      <c r="D16">
        <v>1404654</v>
      </c>
      <c r="E16">
        <v>1</v>
      </c>
      <c r="F16">
        <v>1</v>
      </c>
      <c r="G16">
        <v>1</v>
      </c>
      <c r="H16">
        <v>3</v>
      </c>
      <c r="I16" t="s">
        <v>240</v>
      </c>
      <c r="J16" t="s">
        <v>241</v>
      </c>
      <c r="K16" t="s">
        <v>242</v>
      </c>
      <c r="L16">
        <v>1346</v>
      </c>
      <c r="N16">
        <v>1009</v>
      </c>
      <c r="O16" t="s">
        <v>243</v>
      </c>
      <c r="P16" t="s">
        <v>243</v>
      </c>
      <c r="Q16">
        <v>1</v>
      </c>
      <c r="Y16">
        <v>0.12</v>
      </c>
      <c r="AA16">
        <v>155</v>
      </c>
      <c r="AB16">
        <v>0</v>
      </c>
      <c r="AC16">
        <v>0</v>
      </c>
      <c r="AD16">
        <v>0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0.12</v>
      </c>
      <c r="AU16" t="s">
        <v>3</v>
      </c>
      <c r="AV16">
        <v>0</v>
      </c>
      <c r="AW16">
        <v>2</v>
      </c>
      <c r="AX16">
        <v>22714329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B16">
        <v>0</v>
      </c>
    </row>
    <row r="17" spans="1:80">
      <c r="A17">
        <f>ROW(Source!A65)</f>
        <v>65</v>
      </c>
      <c r="B17">
        <v>22714322</v>
      </c>
      <c r="C17">
        <v>22714318</v>
      </c>
      <c r="D17">
        <v>1413803</v>
      </c>
      <c r="E17">
        <v>1</v>
      </c>
      <c r="F17">
        <v>1</v>
      </c>
      <c r="G17">
        <v>1</v>
      </c>
      <c r="H17">
        <v>3</v>
      </c>
      <c r="I17" t="s">
        <v>244</v>
      </c>
      <c r="J17" t="s">
        <v>245</v>
      </c>
      <c r="K17" t="s">
        <v>246</v>
      </c>
      <c r="L17">
        <v>1346</v>
      </c>
      <c r="N17">
        <v>1009</v>
      </c>
      <c r="O17" t="s">
        <v>243</v>
      </c>
      <c r="P17" t="s">
        <v>243</v>
      </c>
      <c r="Q17">
        <v>1</v>
      </c>
      <c r="Y17">
        <v>0.17799999999999999</v>
      </c>
      <c r="AA17">
        <v>23</v>
      </c>
      <c r="AB17">
        <v>0</v>
      </c>
      <c r="AC17">
        <v>0</v>
      </c>
      <c r="AD17">
        <v>0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0.17799999999999999</v>
      </c>
      <c r="AU17" t="s">
        <v>3</v>
      </c>
      <c r="AV17">
        <v>0</v>
      </c>
      <c r="AW17">
        <v>2</v>
      </c>
      <c r="AX17">
        <v>22714330</v>
      </c>
      <c r="AY17">
        <v>1</v>
      </c>
      <c r="AZ17">
        <v>0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B17">
        <v>0</v>
      </c>
    </row>
    <row r="18" spans="1:80">
      <c r="A18">
        <f>ROW(Source!A65)</f>
        <v>65</v>
      </c>
      <c r="B18">
        <v>22714323</v>
      </c>
      <c r="C18">
        <v>22714318</v>
      </c>
      <c r="D18">
        <v>1413830</v>
      </c>
      <c r="E18">
        <v>1</v>
      </c>
      <c r="F18">
        <v>1</v>
      </c>
      <c r="G18">
        <v>1</v>
      </c>
      <c r="H18">
        <v>3</v>
      </c>
      <c r="I18" t="s">
        <v>267</v>
      </c>
      <c r="J18" t="s">
        <v>268</v>
      </c>
      <c r="K18" t="s">
        <v>269</v>
      </c>
      <c r="L18">
        <v>1346</v>
      </c>
      <c r="N18">
        <v>1009</v>
      </c>
      <c r="O18" t="s">
        <v>243</v>
      </c>
      <c r="P18" t="s">
        <v>243</v>
      </c>
      <c r="Q18">
        <v>1</v>
      </c>
      <c r="Y18">
        <v>0.31</v>
      </c>
      <c r="AA18">
        <v>38.89</v>
      </c>
      <c r="AB18">
        <v>0</v>
      </c>
      <c r="AC18">
        <v>0</v>
      </c>
      <c r="AD18">
        <v>0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0.31</v>
      </c>
      <c r="AU18" t="s">
        <v>3</v>
      </c>
      <c r="AV18">
        <v>0</v>
      </c>
      <c r="AW18">
        <v>2</v>
      </c>
      <c r="AX18">
        <v>22714331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B18">
        <v>0</v>
      </c>
    </row>
    <row r="19" spans="1:80">
      <c r="A19">
        <f>ROW(Source!A65)</f>
        <v>65</v>
      </c>
      <c r="B19">
        <v>22714324</v>
      </c>
      <c r="C19">
        <v>22714318</v>
      </c>
      <c r="D19">
        <v>1438842</v>
      </c>
      <c r="E19">
        <v>1</v>
      </c>
      <c r="F19">
        <v>1</v>
      </c>
      <c r="G19">
        <v>1</v>
      </c>
      <c r="H19">
        <v>3</v>
      </c>
      <c r="I19" t="s">
        <v>270</v>
      </c>
      <c r="J19" t="s">
        <v>271</v>
      </c>
      <c r="K19" t="s">
        <v>272</v>
      </c>
      <c r="L19">
        <v>1383</v>
      </c>
      <c r="N19">
        <v>1013</v>
      </c>
      <c r="O19" t="s">
        <v>273</v>
      </c>
      <c r="P19" t="s">
        <v>273</v>
      </c>
      <c r="Q19">
        <v>1</v>
      </c>
      <c r="Y19">
        <v>10</v>
      </c>
      <c r="AA19">
        <v>0.43</v>
      </c>
      <c r="AB19">
        <v>0</v>
      </c>
      <c r="AC19">
        <v>0</v>
      </c>
      <c r="AD19">
        <v>0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10</v>
      </c>
      <c r="AU19" t="s">
        <v>3</v>
      </c>
      <c r="AV19">
        <v>0</v>
      </c>
      <c r="AW19">
        <v>2</v>
      </c>
      <c r="AX19">
        <v>22714332</v>
      </c>
      <c r="AY19">
        <v>1</v>
      </c>
      <c r="AZ19">
        <v>0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B19">
        <v>0</v>
      </c>
    </row>
    <row r="20" spans="1:80">
      <c r="A20">
        <f>ROW(Source!A65)</f>
        <v>65</v>
      </c>
      <c r="B20">
        <v>22714325</v>
      </c>
      <c r="C20">
        <v>22714318</v>
      </c>
      <c r="D20">
        <v>1444286</v>
      </c>
      <c r="E20">
        <v>1</v>
      </c>
      <c r="F20">
        <v>1</v>
      </c>
      <c r="G20">
        <v>1</v>
      </c>
      <c r="H20">
        <v>3</v>
      </c>
      <c r="I20" t="s">
        <v>250</v>
      </c>
      <c r="J20" t="s">
        <v>251</v>
      </c>
      <c r="K20" t="s">
        <v>252</v>
      </c>
      <c r="L20">
        <v>1346</v>
      </c>
      <c r="N20">
        <v>1009</v>
      </c>
      <c r="O20" t="s">
        <v>243</v>
      </c>
      <c r="P20" t="s">
        <v>243</v>
      </c>
      <c r="Q20">
        <v>1</v>
      </c>
      <c r="Y20">
        <v>0.06</v>
      </c>
      <c r="AA20">
        <v>38.340000000000003</v>
      </c>
      <c r="AB20">
        <v>0</v>
      </c>
      <c r="AC20">
        <v>0</v>
      </c>
      <c r="AD20">
        <v>0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0.06</v>
      </c>
      <c r="AU20" t="s">
        <v>3</v>
      </c>
      <c r="AV20">
        <v>0</v>
      </c>
      <c r="AW20">
        <v>2</v>
      </c>
      <c r="AX20">
        <v>22714333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B20">
        <v>0</v>
      </c>
    </row>
    <row r="21" spans="1:80">
      <c r="A21">
        <f>ROW(Source!A65)</f>
        <v>65</v>
      </c>
      <c r="B21">
        <v>22714326</v>
      </c>
      <c r="C21">
        <v>22714318</v>
      </c>
      <c r="D21">
        <v>1452252</v>
      </c>
      <c r="E21">
        <v>1</v>
      </c>
      <c r="F21">
        <v>1</v>
      </c>
      <c r="G21">
        <v>1</v>
      </c>
      <c r="H21">
        <v>3</v>
      </c>
      <c r="I21" t="s">
        <v>274</v>
      </c>
      <c r="J21" t="s">
        <v>275</v>
      </c>
      <c r="K21" t="s">
        <v>276</v>
      </c>
      <c r="L21">
        <v>1346</v>
      </c>
      <c r="N21">
        <v>1009</v>
      </c>
      <c r="O21" t="s">
        <v>243</v>
      </c>
      <c r="P21" t="s">
        <v>243</v>
      </c>
      <c r="Q21">
        <v>1</v>
      </c>
      <c r="Y21">
        <v>8.8999999999999996E-2</v>
      </c>
      <c r="AA21">
        <v>65.75</v>
      </c>
      <c r="AB21">
        <v>0</v>
      </c>
      <c r="AC21">
        <v>0</v>
      </c>
      <c r="AD21">
        <v>0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8.8999999999999996E-2</v>
      </c>
      <c r="AU21" t="s">
        <v>3</v>
      </c>
      <c r="AV21">
        <v>0</v>
      </c>
      <c r="AW21">
        <v>2</v>
      </c>
      <c r="AX21">
        <v>22714334</v>
      </c>
      <c r="AY21">
        <v>1</v>
      </c>
      <c r="AZ21">
        <v>0</v>
      </c>
      <c r="BA21">
        <v>22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B21">
        <v>0</v>
      </c>
    </row>
    <row r="22" spans="1:80">
      <c r="A22">
        <f>ROW(Source!A66)</f>
        <v>66</v>
      </c>
      <c r="B22">
        <v>22714337</v>
      </c>
      <c r="C22">
        <v>22714336</v>
      </c>
      <c r="D22">
        <v>11610940</v>
      </c>
      <c r="E22">
        <v>1</v>
      </c>
      <c r="F22">
        <v>1</v>
      </c>
      <c r="G22">
        <v>1</v>
      </c>
      <c r="H22">
        <v>1</v>
      </c>
      <c r="I22" t="s">
        <v>277</v>
      </c>
      <c r="J22" t="s">
        <v>3</v>
      </c>
      <c r="K22" t="s">
        <v>278</v>
      </c>
      <c r="L22">
        <v>1369</v>
      </c>
      <c r="N22">
        <v>1013</v>
      </c>
      <c r="O22" t="s">
        <v>222</v>
      </c>
      <c r="P22" t="s">
        <v>222</v>
      </c>
      <c r="Q22">
        <v>1</v>
      </c>
      <c r="Y22">
        <v>8</v>
      </c>
      <c r="AA22">
        <v>0</v>
      </c>
      <c r="AB22">
        <v>0</v>
      </c>
      <c r="AC22">
        <v>0</v>
      </c>
      <c r="AD22">
        <v>9.07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8</v>
      </c>
      <c r="AU22" t="s">
        <v>3</v>
      </c>
      <c r="AV22">
        <v>1</v>
      </c>
      <c r="AW22">
        <v>2</v>
      </c>
      <c r="AX22">
        <v>22714342</v>
      </c>
      <c r="AY22">
        <v>1</v>
      </c>
      <c r="AZ22">
        <v>0</v>
      </c>
      <c r="BA22">
        <v>24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B22">
        <v>0</v>
      </c>
    </row>
    <row r="23" spans="1:80">
      <c r="A23">
        <f>ROW(Source!A66)</f>
        <v>66</v>
      </c>
      <c r="B23">
        <v>22714338</v>
      </c>
      <c r="C23">
        <v>22714336</v>
      </c>
      <c r="D23">
        <v>16708612</v>
      </c>
      <c r="E23">
        <v>1</v>
      </c>
      <c r="F23">
        <v>1</v>
      </c>
      <c r="G23">
        <v>1</v>
      </c>
      <c r="H23">
        <v>3</v>
      </c>
      <c r="I23" t="s">
        <v>240</v>
      </c>
      <c r="J23" t="s">
        <v>279</v>
      </c>
      <c r="K23" t="s">
        <v>280</v>
      </c>
      <c r="L23">
        <v>1346</v>
      </c>
      <c r="N23">
        <v>1009</v>
      </c>
      <c r="O23" t="s">
        <v>243</v>
      </c>
      <c r="P23" t="s">
        <v>243</v>
      </c>
      <c r="Q23">
        <v>1</v>
      </c>
      <c r="Y23">
        <v>5.0000000000000001E-4</v>
      </c>
      <c r="AA23">
        <v>155</v>
      </c>
      <c r="AB23">
        <v>0</v>
      </c>
      <c r="AC23">
        <v>0</v>
      </c>
      <c r="AD23">
        <v>0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5.0000000000000001E-4</v>
      </c>
      <c r="AU23" t="s">
        <v>3</v>
      </c>
      <c r="AV23">
        <v>0</v>
      </c>
      <c r="AW23">
        <v>2</v>
      </c>
      <c r="AX23">
        <v>22714343</v>
      </c>
      <c r="AY23">
        <v>1</v>
      </c>
      <c r="AZ23">
        <v>0</v>
      </c>
      <c r="BA23">
        <v>25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B23">
        <v>0</v>
      </c>
    </row>
    <row r="24" spans="1:80">
      <c r="A24">
        <f>ROW(Source!A66)</f>
        <v>66</v>
      </c>
      <c r="B24">
        <v>22714339</v>
      </c>
      <c r="C24">
        <v>22714336</v>
      </c>
      <c r="D24">
        <v>16758143</v>
      </c>
      <c r="E24">
        <v>1</v>
      </c>
      <c r="F24">
        <v>1</v>
      </c>
      <c r="G24">
        <v>1</v>
      </c>
      <c r="H24">
        <v>3</v>
      </c>
      <c r="I24" t="s">
        <v>281</v>
      </c>
      <c r="J24" t="s">
        <v>282</v>
      </c>
      <c r="K24" t="s">
        <v>283</v>
      </c>
      <c r="L24">
        <v>1355</v>
      </c>
      <c r="N24">
        <v>1010</v>
      </c>
      <c r="O24" t="s">
        <v>284</v>
      </c>
      <c r="P24" t="s">
        <v>284</v>
      </c>
      <c r="Q24">
        <v>100</v>
      </c>
      <c r="Y24">
        <v>0.02</v>
      </c>
      <c r="AA24">
        <v>30.74</v>
      </c>
      <c r="AB24">
        <v>0</v>
      </c>
      <c r="AC24">
        <v>0</v>
      </c>
      <c r="AD24">
        <v>0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0.02</v>
      </c>
      <c r="AU24" t="s">
        <v>3</v>
      </c>
      <c r="AV24">
        <v>0</v>
      </c>
      <c r="AW24">
        <v>2</v>
      </c>
      <c r="AX24">
        <v>22714344</v>
      </c>
      <c r="AY24">
        <v>1</v>
      </c>
      <c r="AZ24">
        <v>0</v>
      </c>
      <c r="BA24">
        <v>26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B24">
        <v>0</v>
      </c>
    </row>
    <row r="25" spans="1:80">
      <c r="A25">
        <f>ROW(Source!A66)</f>
        <v>66</v>
      </c>
      <c r="B25">
        <v>22714340</v>
      </c>
      <c r="C25">
        <v>22714336</v>
      </c>
      <c r="D25">
        <v>16745393</v>
      </c>
      <c r="E25">
        <v>1</v>
      </c>
      <c r="F25">
        <v>1</v>
      </c>
      <c r="G25">
        <v>1</v>
      </c>
      <c r="H25">
        <v>3</v>
      </c>
      <c r="I25" t="s">
        <v>285</v>
      </c>
      <c r="J25" t="s">
        <v>286</v>
      </c>
      <c r="K25" t="s">
        <v>287</v>
      </c>
      <c r="L25">
        <v>1346</v>
      </c>
      <c r="N25">
        <v>1009</v>
      </c>
      <c r="O25" t="s">
        <v>243</v>
      </c>
      <c r="P25" t="s">
        <v>243</v>
      </c>
      <c r="Q25">
        <v>1</v>
      </c>
      <c r="Y25">
        <v>6.0000000000000001E-3</v>
      </c>
      <c r="AA25">
        <v>68.05</v>
      </c>
      <c r="AB25">
        <v>0</v>
      </c>
      <c r="AC25">
        <v>0</v>
      </c>
      <c r="AD25">
        <v>0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6.0000000000000001E-3</v>
      </c>
      <c r="AU25" t="s">
        <v>3</v>
      </c>
      <c r="AV25">
        <v>0</v>
      </c>
      <c r="AW25">
        <v>2</v>
      </c>
      <c r="AX25">
        <v>22714345</v>
      </c>
      <c r="AY25">
        <v>1</v>
      </c>
      <c r="AZ25">
        <v>0</v>
      </c>
      <c r="BA25">
        <v>27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B25">
        <v>0</v>
      </c>
    </row>
    <row r="26" spans="1:80">
      <c r="A26">
        <f>ROW(Source!A66)</f>
        <v>66</v>
      </c>
      <c r="B26">
        <v>22714341</v>
      </c>
      <c r="C26">
        <v>22714336</v>
      </c>
      <c r="D26">
        <v>16767417</v>
      </c>
      <c r="E26">
        <v>1</v>
      </c>
      <c r="F26">
        <v>1</v>
      </c>
      <c r="G26">
        <v>1</v>
      </c>
      <c r="H26">
        <v>3</v>
      </c>
      <c r="I26" t="s">
        <v>288</v>
      </c>
      <c r="J26" t="s">
        <v>289</v>
      </c>
      <c r="K26" t="s">
        <v>290</v>
      </c>
      <c r="L26">
        <v>1354</v>
      </c>
      <c r="N26">
        <v>1010</v>
      </c>
      <c r="O26" t="s">
        <v>20</v>
      </c>
      <c r="P26" t="s">
        <v>20</v>
      </c>
      <c r="Q26">
        <v>1</v>
      </c>
      <c r="Y26">
        <v>2</v>
      </c>
      <c r="AA26">
        <v>5.8</v>
      </c>
      <c r="AB26">
        <v>0</v>
      </c>
      <c r="AC26">
        <v>0</v>
      </c>
      <c r="AD26">
        <v>0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</v>
      </c>
      <c r="AU26" t="s">
        <v>3</v>
      </c>
      <c r="AV26">
        <v>0</v>
      </c>
      <c r="AW26">
        <v>2</v>
      </c>
      <c r="AX26">
        <v>22714346</v>
      </c>
      <c r="AY26">
        <v>1</v>
      </c>
      <c r="AZ26">
        <v>0</v>
      </c>
      <c r="BA26">
        <v>28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B26">
        <v>0</v>
      </c>
    </row>
    <row r="27" spans="1:80">
      <c r="A27">
        <f>ROW(Source!A67)</f>
        <v>67</v>
      </c>
      <c r="B27">
        <v>22714349</v>
      </c>
      <c r="C27">
        <v>22714348</v>
      </c>
      <c r="D27">
        <v>11610934</v>
      </c>
      <c r="E27">
        <v>1</v>
      </c>
      <c r="F27">
        <v>1</v>
      </c>
      <c r="G27">
        <v>1</v>
      </c>
      <c r="H27">
        <v>1</v>
      </c>
      <c r="I27" t="s">
        <v>291</v>
      </c>
      <c r="J27" t="s">
        <v>3</v>
      </c>
      <c r="K27" t="s">
        <v>292</v>
      </c>
      <c r="L27">
        <v>1369</v>
      </c>
      <c r="N27">
        <v>1013</v>
      </c>
      <c r="O27" t="s">
        <v>222</v>
      </c>
      <c r="P27" t="s">
        <v>222</v>
      </c>
      <c r="Q27">
        <v>1</v>
      </c>
      <c r="Y27">
        <v>2.1800000000000002</v>
      </c>
      <c r="AA27">
        <v>0</v>
      </c>
      <c r="AB27">
        <v>0</v>
      </c>
      <c r="AC27">
        <v>0</v>
      </c>
      <c r="AD27">
        <v>11.09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2.1800000000000002</v>
      </c>
      <c r="AU27" t="s">
        <v>3</v>
      </c>
      <c r="AV27">
        <v>1</v>
      </c>
      <c r="AW27">
        <v>2</v>
      </c>
      <c r="AX27">
        <v>22714352</v>
      </c>
      <c r="AY27">
        <v>1</v>
      </c>
      <c r="AZ27">
        <v>0</v>
      </c>
      <c r="BA27">
        <v>30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B27">
        <v>0</v>
      </c>
    </row>
    <row r="28" spans="1:80">
      <c r="A28">
        <f>ROW(Source!A67)</f>
        <v>67</v>
      </c>
      <c r="B28">
        <v>22714350</v>
      </c>
      <c r="C28">
        <v>22714348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25</v>
      </c>
      <c r="J28" t="s">
        <v>3</v>
      </c>
      <c r="K28" t="s">
        <v>223</v>
      </c>
      <c r="L28">
        <v>608254</v>
      </c>
      <c r="N28">
        <v>1013</v>
      </c>
      <c r="O28" t="s">
        <v>224</v>
      </c>
      <c r="P28" t="s">
        <v>224</v>
      </c>
      <c r="Q28">
        <v>1</v>
      </c>
      <c r="Y28">
        <v>0.01</v>
      </c>
      <c r="AA28">
        <v>0</v>
      </c>
      <c r="AB28">
        <v>0</v>
      </c>
      <c r="AC28">
        <v>0</v>
      </c>
      <c r="AD28">
        <v>0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0.01</v>
      </c>
      <c r="AU28" t="s">
        <v>3</v>
      </c>
      <c r="AV28">
        <v>2</v>
      </c>
      <c r="AW28">
        <v>2</v>
      </c>
      <c r="AX28">
        <v>22714353</v>
      </c>
      <c r="AY28">
        <v>1</v>
      </c>
      <c r="AZ28">
        <v>0</v>
      </c>
      <c r="BA28">
        <v>31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B28">
        <v>0</v>
      </c>
    </row>
    <row r="29" spans="1:80">
      <c r="A29">
        <f>ROW(Source!A67)</f>
        <v>67</v>
      </c>
      <c r="B29">
        <v>22714351</v>
      </c>
      <c r="C29">
        <v>22714348</v>
      </c>
      <c r="D29">
        <v>16745744</v>
      </c>
      <c r="E29">
        <v>1</v>
      </c>
      <c r="F29">
        <v>1</v>
      </c>
      <c r="G29">
        <v>1</v>
      </c>
      <c r="H29">
        <v>2</v>
      </c>
      <c r="I29" t="s">
        <v>225</v>
      </c>
      <c r="J29" t="s">
        <v>293</v>
      </c>
      <c r="K29" t="s">
        <v>227</v>
      </c>
      <c r="L29">
        <v>1368</v>
      </c>
      <c r="N29">
        <v>1011</v>
      </c>
      <c r="O29" t="s">
        <v>294</v>
      </c>
      <c r="P29" t="s">
        <v>294</v>
      </c>
      <c r="Q29">
        <v>1</v>
      </c>
      <c r="Y29">
        <v>0.01</v>
      </c>
      <c r="AA29">
        <v>0</v>
      </c>
      <c r="AB29">
        <v>89.99</v>
      </c>
      <c r="AC29">
        <v>10.06</v>
      </c>
      <c r="AD29">
        <v>0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0.01</v>
      </c>
      <c r="AU29" t="s">
        <v>3</v>
      </c>
      <c r="AV29">
        <v>0</v>
      </c>
      <c r="AW29">
        <v>2</v>
      </c>
      <c r="AX29">
        <v>22714354</v>
      </c>
      <c r="AY29">
        <v>1</v>
      </c>
      <c r="AZ29">
        <v>0</v>
      </c>
      <c r="BA29">
        <v>32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B29">
        <v>0</v>
      </c>
    </row>
    <row r="30" spans="1:80">
      <c r="A30">
        <f>ROW(Source!A68)</f>
        <v>68</v>
      </c>
      <c r="B30">
        <v>22714357</v>
      </c>
      <c r="C30">
        <v>22714356</v>
      </c>
      <c r="D30">
        <v>11610937</v>
      </c>
      <c r="E30">
        <v>1</v>
      </c>
      <c r="F30">
        <v>1</v>
      </c>
      <c r="G30">
        <v>1</v>
      </c>
      <c r="H30">
        <v>1</v>
      </c>
      <c r="I30" t="s">
        <v>295</v>
      </c>
      <c r="J30" t="s">
        <v>3</v>
      </c>
      <c r="K30" t="s">
        <v>296</v>
      </c>
      <c r="L30">
        <v>1369</v>
      </c>
      <c r="N30">
        <v>1013</v>
      </c>
      <c r="O30" t="s">
        <v>222</v>
      </c>
      <c r="P30" t="s">
        <v>222</v>
      </c>
      <c r="Q30">
        <v>1</v>
      </c>
      <c r="Y30">
        <v>1.03</v>
      </c>
      <c r="AA30">
        <v>0</v>
      </c>
      <c r="AB30">
        <v>0</v>
      </c>
      <c r="AC30">
        <v>0</v>
      </c>
      <c r="AD30">
        <v>9.6199999999999992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1.03</v>
      </c>
      <c r="AU30" t="s">
        <v>3</v>
      </c>
      <c r="AV30">
        <v>1</v>
      </c>
      <c r="AW30">
        <v>2</v>
      </c>
      <c r="AX30">
        <v>22714369</v>
      </c>
      <c r="AY30">
        <v>1</v>
      </c>
      <c r="AZ30">
        <v>0</v>
      </c>
      <c r="BA30">
        <v>34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B30">
        <v>0</v>
      </c>
    </row>
    <row r="31" spans="1:80">
      <c r="A31">
        <f>ROW(Source!A68)</f>
        <v>68</v>
      </c>
      <c r="B31">
        <v>22714358</v>
      </c>
      <c r="C31">
        <v>22714356</v>
      </c>
      <c r="D31">
        <v>16707527</v>
      </c>
      <c r="E31">
        <v>1</v>
      </c>
      <c r="F31">
        <v>1</v>
      </c>
      <c r="G31">
        <v>1</v>
      </c>
      <c r="H31">
        <v>3</v>
      </c>
      <c r="I31" t="s">
        <v>297</v>
      </c>
      <c r="J31" t="s">
        <v>298</v>
      </c>
      <c r="K31" t="s">
        <v>299</v>
      </c>
      <c r="L31">
        <v>1346</v>
      </c>
      <c r="N31">
        <v>1009</v>
      </c>
      <c r="O31" t="s">
        <v>243</v>
      </c>
      <c r="P31" t="s">
        <v>243</v>
      </c>
      <c r="Q31">
        <v>1</v>
      </c>
      <c r="Y31">
        <v>3.3000000000000002E-2</v>
      </c>
      <c r="AA31">
        <v>13.56</v>
      </c>
      <c r="AB31">
        <v>0</v>
      </c>
      <c r="AC31">
        <v>0</v>
      </c>
      <c r="AD31">
        <v>0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3.3000000000000002E-2</v>
      </c>
      <c r="AU31" t="s">
        <v>3</v>
      </c>
      <c r="AV31">
        <v>0</v>
      </c>
      <c r="AW31">
        <v>2</v>
      </c>
      <c r="AX31">
        <v>22714370</v>
      </c>
      <c r="AY31">
        <v>1</v>
      </c>
      <c r="AZ31">
        <v>0</v>
      </c>
      <c r="BA31">
        <v>35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B31">
        <v>0</v>
      </c>
    </row>
    <row r="32" spans="1:80">
      <c r="A32">
        <f>ROW(Source!A68)</f>
        <v>68</v>
      </c>
      <c r="B32">
        <v>22714359</v>
      </c>
      <c r="C32">
        <v>22714356</v>
      </c>
      <c r="D32">
        <v>16708254</v>
      </c>
      <c r="E32">
        <v>1</v>
      </c>
      <c r="F32">
        <v>1</v>
      </c>
      <c r="G32">
        <v>1</v>
      </c>
      <c r="H32">
        <v>3</v>
      </c>
      <c r="I32" t="s">
        <v>300</v>
      </c>
      <c r="J32" t="s">
        <v>301</v>
      </c>
      <c r="K32" t="s">
        <v>302</v>
      </c>
      <c r="L32">
        <v>1348</v>
      </c>
      <c r="N32">
        <v>1009</v>
      </c>
      <c r="O32" t="s">
        <v>233</v>
      </c>
      <c r="P32" t="s">
        <v>233</v>
      </c>
      <c r="Q32">
        <v>1000</v>
      </c>
      <c r="Y32">
        <v>1.0000000000000001E-5</v>
      </c>
      <c r="AA32">
        <v>27921.97</v>
      </c>
      <c r="AB32">
        <v>0</v>
      </c>
      <c r="AC32">
        <v>0</v>
      </c>
      <c r="AD32">
        <v>0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1.0000000000000001E-5</v>
      </c>
      <c r="AU32" t="s">
        <v>3</v>
      </c>
      <c r="AV32">
        <v>0</v>
      </c>
      <c r="AW32">
        <v>2</v>
      </c>
      <c r="AX32">
        <v>22714371</v>
      </c>
      <c r="AY32">
        <v>1</v>
      </c>
      <c r="AZ32">
        <v>0</v>
      </c>
      <c r="BA32">
        <v>36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B32">
        <v>0</v>
      </c>
    </row>
    <row r="33" spans="1:80">
      <c r="A33">
        <f>ROW(Source!A68)</f>
        <v>68</v>
      </c>
      <c r="B33">
        <v>22714360</v>
      </c>
      <c r="C33">
        <v>22714356</v>
      </c>
      <c r="D33">
        <v>16708540</v>
      </c>
      <c r="E33">
        <v>1</v>
      </c>
      <c r="F33">
        <v>1</v>
      </c>
      <c r="G33">
        <v>1</v>
      </c>
      <c r="H33">
        <v>3</v>
      </c>
      <c r="I33" t="s">
        <v>303</v>
      </c>
      <c r="J33" t="s">
        <v>304</v>
      </c>
      <c r="K33" t="s">
        <v>305</v>
      </c>
      <c r="L33">
        <v>1346</v>
      </c>
      <c r="N33">
        <v>1009</v>
      </c>
      <c r="O33" t="s">
        <v>243</v>
      </c>
      <c r="P33" t="s">
        <v>243</v>
      </c>
      <c r="Q33">
        <v>1</v>
      </c>
      <c r="Y33">
        <v>1E-3</v>
      </c>
      <c r="AA33">
        <v>68.87</v>
      </c>
      <c r="AB33">
        <v>0</v>
      </c>
      <c r="AC33">
        <v>0</v>
      </c>
      <c r="AD33">
        <v>0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1E-3</v>
      </c>
      <c r="AU33" t="s">
        <v>3</v>
      </c>
      <c r="AV33">
        <v>0</v>
      </c>
      <c r="AW33">
        <v>2</v>
      </c>
      <c r="AX33">
        <v>22714372</v>
      </c>
      <c r="AY33">
        <v>1</v>
      </c>
      <c r="AZ33">
        <v>0</v>
      </c>
      <c r="BA33">
        <v>37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B33">
        <v>0</v>
      </c>
    </row>
    <row r="34" spans="1:80">
      <c r="A34">
        <f>ROW(Source!A68)</f>
        <v>68</v>
      </c>
      <c r="B34">
        <v>22714361</v>
      </c>
      <c r="C34">
        <v>22714356</v>
      </c>
      <c r="D34">
        <v>16708611</v>
      </c>
      <c r="E34">
        <v>1</v>
      </c>
      <c r="F34">
        <v>1</v>
      </c>
      <c r="G34">
        <v>1</v>
      </c>
      <c r="H34">
        <v>3</v>
      </c>
      <c r="I34" t="s">
        <v>306</v>
      </c>
      <c r="J34" t="s">
        <v>307</v>
      </c>
      <c r="K34" t="s">
        <v>308</v>
      </c>
      <c r="L34">
        <v>1346</v>
      </c>
      <c r="N34">
        <v>1009</v>
      </c>
      <c r="O34" t="s">
        <v>243</v>
      </c>
      <c r="P34" t="s">
        <v>243</v>
      </c>
      <c r="Q34">
        <v>1</v>
      </c>
      <c r="Y34">
        <v>1E-4</v>
      </c>
      <c r="AA34">
        <v>100.12</v>
      </c>
      <c r="AB34">
        <v>0</v>
      </c>
      <c r="AC34">
        <v>0</v>
      </c>
      <c r="AD34">
        <v>0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1E-4</v>
      </c>
      <c r="AU34" t="s">
        <v>3</v>
      </c>
      <c r="AV34">
        <v>0</v>
      </c>
      <c r="AW34">
        <v>2</v>
      </c>
      <c r="AX34">
        <v>22714373</v>
      </c>
      <c r="AY34">
        <v>1</v>
      </c>
      <c r="AZ34">
        <v>0</v>
      </c>
      <c r="BA34">
        <v>38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B34">
        <v>0</v>
      </c>
    </row>
    <row r="35" spans="1:80">
      <c r="A35">
        <f>ROW(Source!A68)</f>
        <v>68</v>
      </c>
      <c r="B35">
        <v>22714362</v>
      </c>
      <c r="C35">
        <v>22714356</v>
      </c>
      <c r="D35">
        <v>16709079</v>
      </c>
      <c r="E35">
        <v>1</v>
      </c>
      <c r="F35">
        <v>1</v>
      </c>
      <c r="G35">
        <v>1</v>
      </c>
      <c r="H35">
        <v>3</v>
      </c>
      <c r="I35" t="s">
        <v>309</v>
      </c>
      <c r="J35" t="s">
        <v>310</v>
      </c>
      <c r="K35" t="s">
        <v>261</v>
      </c>
      <c r="L35">
        <v>1346</v>
      </c>
      <c r="N35">
        <v>1009</v>
      </c>
      <c r="O35" t="s">
        <v>243</v>
      </c>
      <c r="P35" t="s">
        <v>243</v>
      </c>
      <c r="Q35">
        <v>1</v>
      </c>
      <c r="Y35">
        <v>2.0000000000000001E-4</v>
      </c>
      <c r="AA35">
        <v>138.76</v>
      </c>
      <c r="AB35">
        <v>0</v>
      </c>
      <c r="AC35">
        <v>0</v>
      </c>
      <c r="AD35">
        <v>0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2.0000000000000001E-4</v>
      </c>
      <c r="AU35" t="s">
        <v>3</v>
      </c>
      <c r="AV35">
        <v>0</v>
      </c>
      <c r="AW35">
        <v>2</v>
      </c>
      <c r="AX35">
        <v>22714374</v>
      </c>
      <c r="AY35">
        <v>1</v>
      </c>
      <c r="AZ35">
        <v>0</v>
      </c>
      <c r="BA35">
        <v>39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B35">
        <v>0</v>
      </c>
    </row>
    <row r="36" spans="1:80">
      <c r="A36">
        <f>ROW(Source!A68)</f>
        <v>68</v>
      </c>
      <c r="B36">
        <v>22714363</v>
      </c>
      <c r="C36">
        <v>22714356</v>
      </c>
      <c r="D36">
        <v>16709080</v>
      </c>
      <c r="E36">
        <v>1</v>
      </c>
      <c r="F36">
        <v>1</v>
      </c>
      <c r="G36">
        <v>1</v>
      </c>
      <c r="H36">
        <v>3</v>
      </c>
      <c r="I36" t="s">
        <v>311</v>
      </c>
      <c r="J36" t="s">
        <v>312</v>
      </c>
      <c r="K36" t="s">
        <v>313</v>
      </c>
      <c r="L36">
        <v>1346</v>
      </c>
      <c r="N36">
        <v>1009</v>
      </c>
      <c r="O36" t="s">
        <v>243</v>
      </c>
      <c r="P36" t="s">
        <v>243</v>
      </c>
      <c r="Q36">
        <v>1</v>
      </c>
      <c r="Y36">
        <v>2.9999999999999997E-4</v>
      </c>
      <c r="AA36">
        <v>135.6</v>
      </c>
      <c r="AB36">
        <v>0</v>
      </c>
      <c r="AC36">
        <v>0</v>
      </c>
      <c r="AD36">
        <v>0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2.9999999999999997E-4</v>
      </c>
      <c r="AU36" t="s">
        <v>3</v>
      </c>
      <c r="AV36">
        <v>0</v>
      </c>
      <c r="AW36">
        <v>2</v>
      </c>
      <c r="AX36">
        <v>22714375</v>
      </c>
      <c r="AY36">
        <v>1</v>
      </c>
      <c r="AZ36">
        <v>0</v>
      </c>
      <c r="BA36">
        <v>40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B36">
        <v>0</v>
      </c>
    </row>
    <row r="37" spans="1:80">
      <c r="A37">
        <f>ROW(Source!A68)</f>
        <v>68</v>
      </c>
      <c r="B37">
        <v>22714364</v>
      </c>
      <c r="C37">
        <v>22714356</v>
      </c>
      <c r="D37">
        <v>16758143</v>
      </c>
      <c r="E37">
        <v>1</v>
      </c>
      <c r="F37">
        <v>1</v>
      </c>
      <c r="G37">
        <v>1</v>
      </c>
      <c r="H37">
        <v>3</v>
      </c>
      <c r="I37" t="s">
        <v>281</v>
      </c>
      <c r="J37" t="s">
        <v>282</v>
      </c>
      <c r="K37" t="s">
        <v>283</v>
      </c>
      <c r="L37">
        <v>1355</v>
      </c>
      <c r="N37">
        <v>1010</v>
      </c>
      <c r="O37" t="s">
        <v>284</v>
      </c>
      <c r="P37" t="s">
        <v>284</v>
      </c>
      <c r="Q37">
        <v>100</v>
      </c>
      <c r="Y37">
        <v>0.01</v>
      </c>
      <c r="AA37">
        <v>30.74</v>
      </c>
      <c r="AB37">
        <v>0</v>
      </c>
      <c r="AC37">
        <v>0</v>
      </c>
      <c r="AD37">
        <v>0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0.01</v>
      </c>
      <c r="AU37" t="s">
        <v>3</v>
      </c>
      <c r="AV37">
        <v>0</v>
      </c>
      <c r="AW37">
        <v>2</v>
      </c>
      <c r="AX37">
        <v>22714376</v>
      </c>
      <c r="AY37">
        <v>1</v>
      </c>
      <c r="AZ37">
        <v>0</v>
      </c>
      <c r="BA37">
        <v>41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B37">
        <v>0</v>
      </c>
    </row>
    <row r="38" spans="1:80">
      <c r="A38">
        <f>ROW(Source!A68)</f>
        <v>68</v>
      </c>
      <c r="B38">
        <v>22714365</v>
      </c>
      <c r="C38">
        <v>22714356</v>
      </c>
      <c r="D38">
        <v>16744885</v>
      </c>
      <c r="E38">
        <v>1</v>
      </c>
      <c r="F38">
        <v>1</v>
      </c>
      <c r="G38">
        <v>1</v>
      </c>
      <c r="H38">
        <v>3</v>
      </c>
      <c r="I38" t="s">
        <v>314</v>
      </c>
      <c r="J38" t="s">
        <v>315</v>
      </c>
      <c r="K38" t="s">
        <v>316</v>
      </c>
      <c r="L38">
        <v>1348</v>
      </c>
      <c r="N38">
        <v>1009</v>
      </c>
      <c r="O38" t="s">
        <v>233</v>
      </c>
      <c r="P38" t="s">
        <v>233</v>
      </c>
      <c r="Q38">
        <v>1000</v>
      </c>
      <c r="Y38">
        <v>1.0000000000000001E-5</v>
      </c>
      <c r="AA38">
        <v>37517</v>
      </c>
      <c r="AB38">
        <v>0</v>
      </c>
      <c r="AC38">
        <v>0</v>
      </c>
      <c r="AD38">
        <v>0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1.0000000000000001E-5</v>
      </c>
      <c r="AU38" t="s">
        <v>3</v>
      </c>
      <c r="AV38">
        <v>0</v>
      </c>
      <c r="AW38">
        <v>2</v>
      </c>
      <c r="AX38">
        <v>22714377</v>
      </c>
      <c r="AY38">
        <v>1</v>
      </c>
      <c r="AZ38">
        <v>0</v>
      </c>
      <c r="BA38">
        <v>42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B38">
        <v>0</v>
      </c>
    </row>
    <row r="39" spans="1:80">
      <c r="A39">
        <f>ROW(Source!A68)</f>
        <v>68</v>
      </c>
      <c r="B39">
        <v>22714366</v>
      </c>
      <c r="C39">
        <v>22714356</v>
      </c>
      <c r="D39">
        <v>16745396</v>
      </c>
      <c r="E39">
        <v>1</v>
      </c>
      <c r="F39">
        <v>1</v>
      </c>
      <c r="G39">
        <v>1</v>
      </c>
      <c r="H39">
        <v>3</v>
      </c>
      <c r="I39" t="s">
        <v>317</v>
      </c>
      <c r="J39" t="s">
        <v>318</v>
      </c>
      <c r="K39" t="s">
        <v>319</v>
      </c>
      <c r="L39">
        <v>1346</v>
      </c>
      <c r="N39">
        <v>1009</v>
      </c>
      <c r="O39" t="s">
        <v>243</v>
      </c>
      <c r="P39" t="s">
        <v>243</v>
      </c>
      <c r="Q39">
        <v>1</v>
      </c>
      <c r="Y39">
        <v>1.6000000000000001E-3</v>
      </c>
      <c r="AA39">
        <v>125.46</v>
      </c>
      <c r="AB39">
        <v>0</v>
      </c>
      <c r="AC39">
        <v>0</v>
      </c>
      <c r="AD39">
        <v>0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1.6000000000000001E-3</v>
      </c>
      <c r="AU39" t="s">
        <v>3</v>
      </c>
      <c r="AV39">
        <v>0</v>
      </c>
      <c r="AW39">
        <v>2</v>
      </c>
      <c r="AX39">
        <v>22714378</v>
      </c>
      <c r="AY39">
        <v>1</v>
      </c>
      <c r="AZ39">
        <v>0</v>
      </c>
      <c r="BA39">
        <v>43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B39">
        <v>0</v>
      </c>
    </row>
    <row r="40" spans="1:80">
      <c r="A40">
        <f>ROW(Source!A68)</f>
        <v>68</v>
      </c>
      <c r="B40">
        <v>22714367</v>
      </c>
      <c r="C40">
        <v>22714356</v>
      </c>
      <c r="D40">
        <v>16762669</v>
      </c>
      <c r="E40">
        <v>1</v>
      </c>
      <c r="F40">
        <v>1</v>
      </c>
      <c r="G40">
        <v>1</v>
      </c>
      <c r="H40">
        <v>3</v>
      </c>
      <c r="I40" t="s">
        <v>320</v>
      </c>
      <c r="J40" t="s">
        <v>321</v>
      </c>
      <c r="K40" t="s">
        <v>322</v>
      </c>
      <c r="L40">
        <v>1346</v>
      </c>
      <c r="N40">
        <v>1009</v>
      </c>
      <c r="O40" t="s">
        <v>243</v>
      </c>
      <c r="P40" t="s">
        <v>243</v>
      </c>
      <c r="Q40">
        <v>1</v>
      </c>
      <c r="Y40">
        <v>4.4999999999999997E-3</v>
      </c>
      <c r="AA40">
        <v>35.700000000000003</v>
      </c>
      <c r="AB40">
        <v>0</v>
      </c>
      <c r="AC40">
        <v>0</v>
      </c>
      <c r="AD40">
        <v>0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4.4999999999999997E-3</v>
      </c>
      <c r="AU40" t="s">
        <v>3</v>
      </c>
      <c r="AV40">
        <v>0</v>
      </c>
      <c r="AW40">
        <v>2</v>
      </c>
      <c r="AX40">
        <v>22714379</v>
      </c>
      <c r="AY40">
        <v>1</v>
      </c>
      <c r="AZ40">
        <v>0</v>
      </c>
      <c r="BA40">
        <v>44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B40">
        <v>0</v>
      </c>
    </row>
    <row r="41" spans="1:80">
      <c r="A41">
        <f>ROW(Source!A68)</f>
        <v>68</v>
      </c>
      <c r="B41">
        <v>22714368</v>
      </c>
      <c r="C41">
        <v>22714356</v>
      </c>
      <c r="D41">
        <v>16767402</v>
      </c>
      <c r="E41">
        <v>1</v>
      </c>
      <c r="F41">
        <v>1</v>
      </c>
      <c r="G41">
        <v>1</v>
      </c>
      <c r="H41">
        <v>3</v>
      </c>
      <c r="I41" t="s">
        <v>323</v>
      </c>
      <c r="J41" t="s">
        <v>324</v>
      </c>
      <c r="K41" t="s">
        <v>325</v>
      </c>
      <c r="L41">
        <v>1354</v>
      </c>
      <c r="N41">
        <v>1010</v>
      </c>
      <c r="O41" t="s">
        <v>20</v>
      </c>
      <c r="P41" t="s">
        <v>20</v>
      </c>
      <c r="Q41">
        <v>1</v>
      </c>
      <c r="Y41">
        <v>1</v>
      </c>
      <c r="AA41">
        <v>3.65</v>
      </c>
      <c r="AB41">
        <v>0</v>
      </c>
      <c r="AC41">
        <v>0</v>
      </c>
      <c r="AD41">
        <v>0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1</v>
      </c>
      <c r="AU41" t="s">
        <v>3</v>
      </c>
      <c r="AV41">
        <v>0</v>
      </c>
      <c r="AW41">
        <v>2</v>
      </c>
      <c r="AX41">
        <v>22714380</v>
      </c>
      <c r="AY41">
        <v>1</v>
      </c>
      <c r="AZ41">
        <v>0</v>
      </c>
      <c r="BA41">
        <v>45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B41">
        <v>0</v>
      </c>
    </row>
    <row r="42" spans="1:80">
      <c r="A42">
        <f>ROW(Source!A69)</f>
        <v>69</v>
      </c>
      <c r="B42">
        <v>22714383</v>
      </c>
      <c r="C42">
        <v>22714382</v>
      </c>
      <c r="D42">
        <v>11610982</v>
      </c>
      <c r="E42">
        <v>1</v>
      </c>
      <c r="F42">
        <v>1</v>
      </c>
      <c r="G42">
        <v>1</v>
      </c>
      <c r="H42">
        <v>1</v>
      </c>
      <c r="I42" t="s">
        <v>326</v>
      </c>
      <c r="J42" t="s">
        <v>3</v>
      </c>
      <c r="K42" t="s">
        <v>327</v>
      </c>
      <c r="L42">
        <v>1369</v>
      </c>
      <c r="N42">
        <v>1013</v>
      </c>
      <c r="O42" t="s">
        <v>222</v>
      </c>
      <c r="P42" t="s">
        <v>222</v>
      </c>
      <c r="Q42">
        <v>1</v>
      </c>
      <c r="Y42">
        <v>3.6</v>
      </c>
      <c r="AA42">
        <v>0</v>
      </c>
      <c r="AB42">
        <v>0</v>
      </c>
      <c r="AC42">
        <v>0</v>
      </c>
      <c r="AD42">
        <v>10.210000000000001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3.6</v>
      </c>
      <c r="AU42" t="s">
        <v>3</v>
      </c>
      <c r="AV42">
        <v>1</v>
      </c>
      <c r="AW42">
        <v>2</v>
      </c>
      <c r="AX42">
        <v>22714389</v>
      </c>
      <c r="AY42">
        <v>1</v>
      </c>
      <c r="AZ42">
        <v>0</v>
      </c>
      <c r="BA42">
        <v>47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B42">
        <v>0</v>
      </c>
    </row>
    <row r="43" spans="1:80">
      <c r="A43">
        <f>ROW(Source!A69)</f>
        <v>69</v>
      </c>
      <c r="B43">
        <v>22714384</v>
      </c>
      <c r="C43">
        <v>22714382</v>
      </c>
      <c r="D43">
        <v>16747752</v>
      </c>
      <c r="E43">
        <v>1</v>
      </c>
      <c r="F43">
        <v>1</v>
      </c>
      <c r="G43">
        <v>1</v>
      </c>
      <c r="H43">
        <v>2</v>
      </c>
      <c r="I43" t="s">
        <v>328</v>
      </c>
      <c r="J43" t="s">
        <v>329</v>
      </c>
      <c r="K43" t="s">
        <v>330</v>
      </c>
      <c r="L43">
        <v>1368</v>
      </c>
      <c r="N43">
        <v>1011</v>
      </c>
      <c r="O43" t="s">
        <v>294</v>
      </c>
      <c r="P43" t="s">
        <v>294</v>
      </c>
      <c r="Q43">
        <v>1</v>
      </c>
      <c r="Y43">
        <v>0.13</v>
      </c>
      <c r="AA43">
        <v>0</v>
      </c>
      <c r="AB43">
        <v>1.95</v>
      </c>
      <c r="AC43">
        <v>0</v>
      </c>
      <c r="AD43">
        <v>0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0.13</v>
      </c>
      <c r="AU43" t="s">
        <v>3</v>
      </c>
      <c r="AV43">
        <v>0</v>
      </c>
      <c r="AW43">
        <v>2</v>
      </c>
      <c r="AX43">
        <v>22714390</v>
      </c>
      <c r="AY43">
        <v>1</v>
      </c>
      <c r="AZ43">
        <v>0</v>
      </c>
      <c r="BA43">
        <v>48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B43">
        <v>0</v>
      </c>
    </row>
    <row r="44" spans="1:80">
      <c r="A44">
        <f>ROW(Source!A69)</f>
        <v>69</v>
      </c>
      <c r="B44">
        <v>22714385</v>
      </c>
      <c r="C44">
        <v>22714382</v>
      </c>
      <c r="D44">
        <v>16708512</v>
      </c>
      <c r="E44">
        <v>1</v>
      </c>
      <c r="F44">
        <v>1</v>
      </c>
      <c r="G44">
        <v>1</v>
      </c>
      <c r="H44">
        <v>3</v>
      </c>
      <c r="I44" t="s">
        <v>264</v>
      </c>
      <c r="J44" t="s">
        <v>331</v>
      </c>
      <c r="K44" t="s">
        <v>266</v>
      </c>
      <c r="L44">
        <v>1346</v>
      </c>
      <c r="N44">
        <v>1009</v>
      </c>
      <c r="O44" t="s">
        <v>243</v>
      </c>
      <c r="P44" t="s">
        <v>243</v>
      </c>
      <c r="Q44">
        <v>1</v>
      </c>
      <c r="Y44">
        <v>1.6000000000000001E-3</v>
      </c>
      <c r="AA44">
        <v>27.74</v>
      </c>
      <c r="AB44">
        <v>0</v>
      </c>
      <c r="AC44">
        <v>0</v>
      </c>
      <c r="AD44">
        <v>0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1.6000000000000001E-3</v>
      </c>
      <c r="AU44" t="s">
        <v>3</v>
      </c>
      <c r="AV44">
        <v>0</v>
      </c>
      <c r="AW44">
        <v>2</v>
      </c>
      <c r="AX44">
        <v>22714391</v>
      </c>
      <c r="AY44">
        <v>1</v>
      </c>
      <c r="AZ44">
        <v>0</v>
      </c>
      <c r="BA44">
        <v>49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B44">
        <v>0</v>
      </c>
    </row>
    <row r="45" spans="1:80">
      <c r="A45">
        <f>ROW(Source!A69)</f>
        <v>69</v>
      </c>
      <c r="B45">
        <v>22714386</v>
      </c>
      <c r="C45">
        <v>22714382</v>
      </c>
      <c r="D45">
        <v>16708721</v>
      </c>
      <c r="E45">
        <v>1</v>
      </c>
      <c r="F45">
        <v>1</v>
      </c>
      <c r="G45">
        <v>1</v>
      </c>
      <c r="H45">
        <v>3</v>
      </c>
      <c r="I45" t="s">
        <v>332</v>
      </c>
      <c r="J45" t="s">
        <v>333</v>
      </c>
      <c r="K45" t="s">
        <v>334</v>
      </c>
      <c r="L45">
        <v>1358</v>
      </c>
      <c r="N45">
        <v>1010</v>
      </c>
      <c r="O45" t="s">
        <v>335</v>
      </c>
      <c r="P45" t="s">
        <v>335</v>
      </c>
      <c r="Q45">
        <v>10</v>
      </c>
      <c r="Y45">
        <v>0.3</v>
      </c>
      <c r="AA45">
        <v>8.3000000000000007</v>
      </c>
      <c r="AB45">
        <v>0</v>
      </c>
      <c r="AC45">
        <v>0</v>
      </c>
      <c r="AD45">
        <v>0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0.3</v>
      </c>
      <c r="AU45" t="s">
        <v>3</v>
      </c>
      <c r="AV45">
        <v>0</v>
      </c>
      <c r="AW45">
        <v>2</v>
      </c>
      <c r="AX45">
        <v>22714392</v>
      </c>
      <c r="AY45">
        <v>1</v>
      </c>
      <c r="AZ45">
        <v>0</v>
      </c>
      <c r="BA45">
        <v>50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B45">
        <v>0</v>
      </c>
    </row>
    <row r="46" spans="1:80">
      <c r="A46">
        <f>ROW(Source!A69)</f>
        <v>69</v>
      </c>
      <c r="B46">
        <v>22714387</v>
      </c>
      <c r="C46">
        <v>22714382</v>
      </c>
      <c r="D46">
        <v>16738389</v>
      </c>
      <c r="E46">
        <v>1</v>
      </c>
      <c r="F46">
        <v>1</v>
      </c>
      <c r="G46">
        <v>1</v>
      </c>
      <c r="H46">
        <v>3</v>
      </c>
      <c r="I46" t="s">
        <v>336</v>
      </c>
      <c r="J46" t="s">
        <v>337</v>
      </c>
      <c r="K46" t="s">
        <v>338</v>
      </c>
      <c r="L46">
        <v>1348</v>
      </c>
      <c r="N46">
        <v>1009</v>
      </c>
      <c r="O46" t="s">
        <v>233</v>
      </c>
      <c r="P46" t="s">
        <v>233</v>
      </c>
      <c r="Q46">
        <v>1000</v>
      </c>
      <c r="Y46">
        <v>2.0000000000000002E-5</v>
      </c>
      <c r="AA46">
        <v>729.98</v>
      </c>
      <c r="AB46">
        <v>0</v>
      </c>
      <c r="AC46">
        <v>0</v>
      </c>
      <c r="AD46">
        <v>0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2.0000000000000002E-5</v>
      </c>
      <c r="AU46" t="s">
        <v>3</v>
      </c>
      <c r="AV46">
        <v>0</v>
      </c>
      <c r="AW46">
        <v>2</v>
      </c>
      <c r="AX46">
        <v>22714393</v>
      </c>
      <c r="AY46">
        <v>1</v>
      </c>
      <c r="AZ46">
        <v>0</v>
      </c>
      <c r="BA46">
        <v>51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B46">
        <v>0</v>
      </c>
    </row>
    <row r="47" spans="1:80">
      <c r="A47">
        <f>ROW(Source!A69)</f>
        <v>69</v>
      </c>
      <c r="B47">
        <v>22714388</v>
      </c>
      <c r="C47">
        <v>22714382</v>
      </c>
      <c r="D47">
        <v>16745392</v>
      </c>
      <c r="E47">
        <v>1</v>
      </c>
      <c r="F47">
        <v>1</v>
      </c>
      <c r="G47">
        <v>1</v>
      </c>
      <c r="H47">
        <v>3</v>
      </c>
      <c r="I47" t="s">
        <v>339</v>
      </c>
      <c r="J47" t="s">
        <v>340</v>
      </c>
      <c r="K47" t="s">
        <v>276</v>
      </c>
      <c r="L47">
        <v>1346</v>
      </c>
      <c r="N47">
        <v>1009</v>
      </c>
      <c r="O47" t="s">
        <v>243</v>
      </c>
      <c r="P47" t="s">
        <v>243</v>
      </c>
      <c r="Q47">
        <v>1</v>
      </c>
      <c r="Y47">
        <v>1.6E-2</v>
      </c>
      <c r="AA47">
        <v>65.75</v>
      </c>
      <c r="AB47">
        <v>0</v>
      </c>
      <c r="AC47">
        <v>0</v>
      </c>
      <c r="AD47">
        <v>0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1.6E-2</v>
      </c>
      <c r="AU47" t="s">
        <v>3</v>
      </c>
      <c r="AV47">
        <v>0</v>
      </c>
      <c r="AW47">
        <v>2</v>
      </c>
      <c r="AX47">
        <v>22714394</v>
      </c>
      <c r="AY47">
        <v>1</v>
      </c>
      <c r="AZ47">
        <v>0</v>
      </c>
      <c r="BA47">
        <v>52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B47">
        <v>0</v>
      </c>
    </row>
    <row r="48" spans="1:80">
      <c r="A48">
        <f>ROW(Source!A70)</f>
        <v>70</v>
      </c>
      <c r="B48">
        <v>22714397</v>
      </c>
      <c r="C48">
        <v>22714396</v>
      </c>
      <c r="D48">
        <v>11610807</v>
      </c>
      <c r="E48">
        <v>1</v>
      </c>
      <c r="F48">
        <v>1</v>
      </c>
      <c r="G48">
        <v>1</v>
      </c>
      <c r="H48">
        <v>1</v>
      </c>
      <c r="I48" t="s">
        <v>341</v>
      </c>
      <c r="J48" t="s">
        <v>3</v>
      </c>
      <c r="K48" t="s">
        <v>342</v>
      </c>
      <c r="L48">
        <v>1369</v>
      </c>
      <c r="N48">
        <v>1013</v>
      </c>
      <c r="O48" t="s">
        <v>222</v>
      </c>
      <c r="P48" t="s">
        <v>222</v>
      </c>
      <c r="Q48">
        <v>1</v>
      </c>
      <c r="Y48">
        <v>16.29</v>
      </c>
      <c r="AA48">
        <v>0</v>
      </c>
      <c r="AB48">
        <v>0</v>
      </c>
      <c r="AC48">
        <v>0</v>
      </c>
      <c r="AD48">
        <v>9.51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16.29</v>
      </c>
      <c r="AU48" t="s">
        <v>3</v>
      </c>
      <c r="AV48">
        <v>1</v>
      </c>
      <c r="AW48">
        <v>2</v>
      </c>
      <c r="AX48">
        <v>22714404</v>
      </c>
      <c r="AY48">
        <v>1</v>
      </c>
      <c r="AZ48">
        <v>0</v>
      </c>
      <c r="BA48">
        <v>54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B48">
        <v>0</v>
      </c>
    </row>
    <row r="49" spans="1:80">
      <c r="A49">
        <f>ROW(Source!A70)</f>
        <v>70</v>
      </c>
      <c r="B49">
        <v>22714398</v>
      </c>
      <c r="C49">
        <v>22714396</v>
      </c>
      <c r="D49">
        <v>121548</v>
      </c>
      <c r="E49">
        <v>1</v>
      </c>
      <c r="F49">
        <v>1</v>
      </c>
      <c r="G49">
        <v>1</v>
      </c>
      <c r="H49">
        <v>1</v>
      </c>
      <c r="I49" t="s">
        <v>25</v>
      </c>
      <c r="J49" t="s">
        <v>3</v>
      </c>
      <c r="K49" t="s">
        <v>223</v>
      </c>
      <c r="L49">
        <v>608254</v>
      </c>
      <c r="N49">
        <v>1013</v>
      </c>
      <c r="O49" t="s">
        <v>224</v>
      </c>
      <c r="P49" t="s">
        <v>224</v>
      </c>
      <c r="Q49">
        <v>1</v>
      </c>
      <c r="Y49">
        <v>0.01</v>
      </c>
      <c r="AA49">
        <v>0</v>
      </c>
      <c r="AB49">
        <v>0</v>
      </c>
      <c r="AC49">
        <v>0</v>
      </c>
      <c r="AD49">
        <v>0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2</v>
      </c>
      <c r="AW49">
        <v>2</v>
      </c>
      <c r="AX49">
        <v>22714405</v>
      </c>
      <c r="AY49">
        <v>1</v>
      </c>
      <c r="AZ49">
        <v>0</v>
      </c>
      <c r="BA49">
        <v>55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B49">
        <v>0</v>
      </c>
    </row>
    <row r="50" spans="1:80">
      <c r="A50">
        <f>ROW(Source!A70)</f>
        <v>70</v>
      </c>
      <c r="B50">
        <v>22714399</v>
      </c>
      <c r="C50">
        <v>22714396</v>
      </c>
      <c r="D50">
        <v>16745830</v>
      </c>
      <c r="E50">
        <v>1</v>
      </c>
      <c r="F50">
        <v>1</v>
      </c>
      <c r="G50">
        <v>1</v>
      </c>
      <c r="H50">
        <v>2</v>
      </c>
      <c r="I50" t="s">
        <v>343</v>
      </c>
      <c r="J50" t="s">
        <v>344</v>
      </c>
      <c r="K50" t="s">
        <v>345</v>
      </c>
      <c r="L50">
        <v>1368</v>
      </c>
      <c r="N50">
        <v>1011</v>
      </c>
      <c r="O50" t="s">
        <v>294</v>
      </c>
      <c r="P50" t="s">
        <v>294</v>
      </c>
      <c r="Q50">
        <v>1</v>
      </c>
      <c r="Y50">
        <v>0.01</v>
      </c>
      <c r="AA50">
        <v>0</v>
      </c>
      <c r="AB50">
        <v>31.26</v>
      </c>
      <c r="AC50">
        <v>11.6</v>
      </c>
      <c r="AD50">
        <v>0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0.01</v>
      </c>
      <c r="AU50" t="s">
        <v>3</v>
      </c>
      <c r="AV50">
        <v>0</v>
      </c>
      <c r="AW50">
        <v>2</v>
      </c>
      <c r="AX50">
        <v>22714406</v>
      </c>
      <c r="AY50">
        <v>1</v>
      </c>
      <c r="AZ50">
        <v>0</v>
      </c>
      <c r="BA50">
        <v>56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B50">
        <v>0</v>
      </c>
    </row>
    <row r="51" spans="1:80">
      <c r="A51">
        <f>ROW(Source!A70)</f>
        <v>70</v>
      </c>
      <c r="B51">
        <v>22714400</v>
      </c>
      <c r="C51">
        <v>22714396</v>
      </c>
      <c r="D51">
        <v>16746735</v>
      </c>
      <c r="E51">
        <v>1</v>
      </c>
      <c r="F51">
        <v>1</v>
      </c>
      <c r="G51">
        <v>1</v>
      </c>
      <c r="H51">
        <v>2</v>
      </c>
      <c r="I51" t="s">
        <v>346</v>
      </c>
      <c r="J51" t="s">
        <v>347</v>
      </c>
      <c r="K51" t="s">
        <v>348</v>
      </c>
      <c r="L51">
        <v>1368</v>
      </c>
      <c r="N51">
        <v>1011</v>
      </c>
      <c r="O51" t="s">
        <v>294</v>
      </c>
      <c r="P51" t="s">
        <v>294</v>
      </c>
      <c r="Q51">
        <v>1</v>
      </c>
      <c r="Y51">
        <v>6.08</v>
      </c>
      <c r="AA51">
        <v>0</v>
      </c>
      <c r="AB51">
        <v>3</v>
      </c>
      <c r="AC51">
        <v>0</v>
      </c>
      <c r="AD51">
        <v>0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6.08</v>
      </c>
      <c r="AU51" t="s">
        <v>3</v>
      </c>
      <c r="AV51">
        <v>0</v>
      </c>
      <c r="AW51">
        <v>2</v>
      </c>
      <c r="AX51">
        <v>22714407</v>
      </c>
      <c r="AY51">
        <v>1</v>
      </c>
      <c r="AZ51">
        <v>0</v>
      </c>
      <c r="BA51">
        <v>57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B51">
        <v>0</v>
      </c>
    </row>
    <row r="52" spans="1:80">
      <c r="A52">
        <f>ROW(Source!A70)</f>
        <v>70</v>
      </c>
      <c r="B52">
        <v>22714401</v>
      </c>
      <c r="C52">
        <v>22714396</v>
      </c>
      <c r="D52">
        <v>16747822</v>
      </c>
      <c r="E52">
        <v>1</v>
      </c>
      <c r="F52">
        <v>1</v>
      </c>
      <c r="G52">
        <v>1</v>
      </c>
      <c r="H52">
        <v>2</v>
      </c>
      <c r="I52" t="s">
        <v>349</v>
      </c>
      <c r="J52" t="s">
        <v>350</v>
      </c>
      <c r="K52" t="s">
        <v>351</v>
      </c>
      <c r="L52">
        <v>1368</v>
      </c>
      <c r="N52">
        <v>1011</v>
      </c>
      <c r="O52" t="s">
        <v>294</v>
      </c>
      <c r="P52" t="s">
        <v>294</v>
      </c>
      <c r="Q52">
        <v>1</v>
      </c>
      <c r="Y52">
        <v>6.08</v>
      </c>
      <c r="AA52">
        <v>0</v>
      </c>
      <c r="AB52">
        <v>2.08</v>
      </c>
      <c r="AC52">
        <v>0</v>
      </c>
      <c r="AD52">
        <v>0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6.08</v>
      </c>
      <c r="AU52" t="s">
        <v>3</v>
      </c>
      <c r="AV52">
        <v>0</v>
      </c>
      <c r="AW52">
        <v>2</v>
      </c>
      <c r="AX52">
        <v>22714408</v>
      </c>
      <c r="AY52">
        <v>1</v>
      </c>
      <c r="AZ52">
        <v>0</v>
      </c>
      <c r="BA52">
        <v>58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B52">
        <v>0</v>
      </c>
    </row>
    <row r="53" spans="1:80">
      <c r="A53">
        <f>ROW(Source!A70)</f>
        <v>70</v>
      </c>
      <c r="B53">
        <v>22714402</v>
      </c>
      <c r="C53">
        <v>22714396</v>
      </c>
      <c r="D53">
        <v>16708075</v>
      </c>
      <c r="E53">
        <v>1</v>
      </c>
      <c r="F53">
        <v>1</v>
      </c>
      <c r="G53">
        <v>1</v>
      </c>
      <c r="H53">
        <v>3</v>
      </c>
      <c r="I53" t="s">
        <v>352</v>
      </c>
      <c r="J53" t="s">
        <v>353</v>
      </c>
      <c r="K53" t="s">
        <v>354</v>
      </c>
      <c r="L53">
        <v>1348</v>
      </c>
      <c r="N53">
        <v>1009</v>
      </c>
      <c r="O53" t="s">
        <v>233</v>
      </c>
      <c r="P53" t="s">
        <v>233</v>
      </c>
      <c r="Q53">
        <v>1000</v>
      </c>
      <c r="Y53">
        <v>1E-3</v>
      </c>
      <c r="AA53">
        <v>12430</v>
      </c>
      <c r="AB53">
        <v>0</v>
      </c>
      <c r="AC53">
        <v>0</v>
      </c>
      <c r="AD53">
        <v>0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1E-3</v>
      </c>
      <c r="AU53" t="s">
        <v>3</v>
      </c>
      <c r="AV53">
        <v>0</v>
      </c>
      <c r="AW53">
        <v>2</v>
      </c>
      <c r="AX53">
        <v>22714409</v>
      </c>
      <c r="AY53">
        <v>1</v>
      </c>
      <c r="AZ53">
        <v>0</v>
      </c>
      <c r="BA53">
        <v>59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B53">
        <v>0</v>
      </c>
    </row>
    <row r="54" spans="1:80">
      <c r="A54">
        <f>ROW(Source!A70)</f>
        <v>70</v>
      </c>
      <c r="B54">
        <v>22714403</v>
      </c>
      <c r="C54">
        <v>22714396</v>
      </c>
      <c r="D54">
        <v>16708717</v>
      </c>
      <c r="E54">
        <v>1</v>
      </c>
      <c r="F54">
        <v>1</v>
      </c>
      <c r="G54">
        <v>1</v>
      </c>
      <c r="H54">
        <v>3</v>
      </c>
      <c r="I54" t="s">
        <v>355</v>
      </c>
      <c r="J54" t="s">
        <v>356</v>
      </c>
      <c r="K54" t="s">
        <v>357</v>
      </c>
      <c r="L54">
        <v>1358</v>
      </c>
      <c r="N54">
        <v>1010</v>
      </c>
      <c r="O54" t="s">
        <v>335</v>
      </c>
      <c r="P54" t="s">
        <v>335</v>
      </c>
      <c r="Q54">
        <v>10</v>
      </c>
      <c r="Y54">
        <v>20</v>
      </c>
      <c r="AA54">
        <v>1.8</v>
      </c>
      <c r="AB54">
        <v>0</v>
      </c>
      <c r="AC54">
        <v>0</v>
      </c>
      <c r="AD54">
        <v>0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20</v>
      </c>
      <c r="AU54" t="s">
        <v>3</v>
      </c>
      <c r="AV54">
        <v>0</v>
      </c>
      <c r="AW54">
        <v>2</v>
      </c>
      <c r="AX54">
        <v>22714410</v>
      </c>
      <c r="AY54">
        <v>1</v>
      </c>
      <c r="AZ54">
        <v>0</v>
      </c>
      <c r="BA54">
        <v>60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B54">
        <v>0</v>
      </c>
    </row>
    <row r="55" spans="1:80">
      <c r="A55">
        <f>ROW(Source!A71)</f>
        <v>71</v>
      </c>
      <c r="B55">
        <v>22714413</v>
      </c>
      <c r="C55">
        <v>22714412</v>
      </c>
      <c r="D55">
        <v>11610970</v>
      </c>
      <c r="E55">
        <v>1</v>
      </c>
      <c r="F55">
        <v>1</v>
      </c>
      <c r="G55">
        <v>1</v>
      </c>
      <c r="H55">
        <v>1</v>
      </c>
      <c r="I55" t="s">
        <v>358</v>
      </c>
      <c r="J55" t="s">
        <v>3</v>
      </c>
      <c r="K55" t="s">
        <v>359</v>
      </c>
      <c r="L55">
        <v>1369</v>
      </c>
      <c r="N55">
        <v>1013</v>
      </c>
      <c r="O55" t="s">
        <v>222</v>
      </c>
      <c r="P55" t="s">
        <v>222</v>
      </c>
      <c r="Q55">
        <v>1</v>
      </c>
      <c r="Y55">
        <v>23.8</v>
      </c>
      <c r="AA55">
        <v>0</v>
      </c>
      <c r="AB55">
        <v>0</v>
      </c>
      <c r="AC55">
        <v>0</v>
      </c>
      <c r="AD55">
        <v>9.4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23.8</v>
      </c>
      <c r="AU55" t="s">
        <v>3</v>
      </c>
      <c r="AV55">
        <v>1</v>
      </c>
      <c r="AW55">
        <v>2</v>
      </c>
      <c r="AX55">
        <v>22714428</v>
      </c>
      <c r="AY55">
        <v>1</v>
      </c>
      <c r="AZ55">
        <v>0</v>
      </c>
      <c r="BA55">
        <v>62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B55">
        <v>0</v>
      </c>
    </row>
    <row r="56" spans="1:80">
      <c r="A56">
        <f>ROW(Source!A71)</f>
        <v>71</v>
      </c>
      <c r="B56">
        <v>22714414</v>
      </c>
      <c r="C56">
        <v>22714412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25</v>
      </c>
      <c r="J56" t="s">
        <v>3</v>
      </c>
      <c r="K56" t="s">
        <v>223</v>
      </c>
      <c r="L56">
        <v>608254</v>
      </c>
      <c r="N56">
        <v>1013</v>
      </c>
      <c r="O56" t="s">
        <v>224</v>
      </c>
      <c r="P56" t="s">
        <v>224</v>
      </c>
      <c r="Q56">
        <v>1</v>
      </c>
      <c r="Y56">
        <v>0.11</v>
      </c>
      <c r="AA56">
        <v>0</v>
      </c>
      <c r="AB56">
        <v>0</v>
      </c>
      <c r="AC56">
        <v>0</v>
      </c>
      <c r="AD56">
        <v>0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0.11</v>
      </c>
      <c r="AU56" t="s">
        <v>3</v>
      </c>
      <c r="AV56">
        <v>2</v>
      </c>
      <c r="AW56">
        <v>2</v>
      </c>
      <c r="AX56">
        <v>22714429</v>
      </c>
      <c r="AY56">
        <v>1</v>
      </c>
      <c r="AZ56">
        <v>0</v>
      </c>
      <c r="BA56">
        <v>63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B56">
        <v>0</v>
      </c>
    </row>
    <row r="57" spans="1:80">
      <c r="A57">
        <f>ROW(Source!A71)</f>
        <v>71</v>
      </c>
      <c r="B57">
        <v>22714415</v>
      </c>
      <c r="C57">
        <v>22714412</v>
      </c>
      <c r="D57">
        <v>16745629</v>
      </c>
      <c r="E57">
        <v>1</v>
      </c>
      <c r="F57">
        <v>1</v>
      </c>
      <c r="G57">
        <v>1</v>
      </c>
      <c r="H57">
        <v>2</v>
      </c>
      <c r="I57" t="s">
        <v>360</v>
      </c>
      <c r="J57" t="s">
        <v>361</v>
      </c>
      <c r="K57" t="s">
        <v>362</v>
      </c>
      <c r="L57">
        <v>1368</v>
      </c>
      <c r="N57">
        <v>1011</v>
      </c>
      <c r="O57" t="s">
        <v>294</v>
      </c>
      <c r="P57" t="s">
        <v>294</v>
      </c>
      <c r="Q57">
        <v>1</v>
      </c>
      <c r="Y57">
        <v>0.11</v>
      </c>
      <c r="AA57">
        <v>0</v>
      </c>
      <c r="AB57">
        <v>134.65</v>
      </c>
      <c r="AC57">
        <v>13.5</v>
      </c>
      <c r="AD57">
        <v>0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0.11</v>
      </c>
      <c r="AU57" t="s">
        <v>3</v>
      </c>
      <c r="AV57">
        <v>0</v>
      </c>
      <c r="AW57">
        <v>2</v>
      </c>
      <c r="AX57">
        <v>22714430</v>
      </c>
      <c r="AY57">
        <v>1</v>
      </c>
      <c r="AZ57">
        <v>0</v>
      </c>
      <c r="BA57">
        <v>64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B57">
        <v>0</v>
      </c>
    </row>
    <row r="58" spans="1:80">
      <c r="A58">
        <f>ROW(Source!A71)</f>
        <v>71</v>
      </c>
      <c r="B58">
        <v>22714416</v>
      </c>
      <c r="C58">
        <v>22714412</v>
      </c>
      <c r="D58">
        <v>16745915</v>
      </c>
      <c r="E58">
        <v>1</v>
      </c>
      <c r="F58">
        <v>1</v>
      </c>
      <c r="G58">
        <v>1</v>
      </c>
      <c r="H58">
        <v>2</v>
      </c>
      <c r="I58" t="s">
        <v>363</v>
      </c>
      <c r="J58" t="s">
        <v>364</v>
      </c>
      <c r="K58" t="s">
        <v>365</v>
      </c>
      <c r="L58">
        <v>1368</v>
      </c>
      <c r="N58">
        <v>1011</v>
      </c>
      <c r="O58" t="s">
        <v>294</v>
      </c>
      <c r="P58" t="s">
        <v>294</v>
      </c>
      <c r="Q58">
        <v>1</v>
      </c>
      <c r="Y58">
        <v>2.7</v>
      </c>
      <c r="AA58">
        <v>0</v>
      </c>
      <c r="AB58">
        <v>8.1</v>
      </c>
      <c r="AC58">
        <v>0</v>
      </c>
      <c r="AD58">
        <v>0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2.7</v>
      </c>
      <c r="AU58" t="s">
        <v>3</v>
      </c>
      <c r="AV58">
        <v>0</v>
      </c>
      <c r="AW58">
        <v>2</v>
      </c>
      <c r="AX58">
        <v>22714431</v>
      </c>
      <c r="AY58">
        <v>1</v>
      </c>
      <c r="AZ58">
        <v>0</v>
      </c>
      <c r="BA58">
        <v>65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B58">
        <v>0</v>
      </c>
    </row>
    <row r="59" spans="1:80">
      <c r="A59">
        <f>ROW(Source!A71)</f>
        <v>71</v>
      </c>
      <c r="B59">
        <v>22714417</v>
      </c>
      <c r="C59">
        <v>22714412</v>
      </c>
      <c r="D59">
        <v>16747822</v>
      </c>
      <c r="E59">
        <v>1</v>
      </c>
      <c r="F59">
        <v>1</v>
      </c>
      <c r="G59">
        <v>1</v>
      </c>
      <c r="H59">
        <v>2</v>
      </c>
      <c r="I59" t="s">
        <v>349</v>
      </c>
      <c r="J59" t="s">
        <v>350</v>
      </c>
      <c r="K59" t="s">
        <v>351</v>
      </c>
      <c r="L59">
        <v>1368</v>
      </c>
      <c r="N59">
        <v>1011</v>
      </c>
      <c r="O59" t="s">
        <v>294</v>
      </c>
      <c r="P59" t="s">
        <v>294</v>
      </c>
      <c r="Q59">
        <v>1</v>
      </c>
      <c r="Y59">
        <v>4.84</v>
      </c>
      <c r="AA59">
        <v>0</v>
      </c>
      <c r="AB59">
        <v>2.08</v>
      </c>
      <c r="AC59">
        <v>0</v>
      </c>
      <c r="AD59">
        <v>0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4.84</v>
      </c>
      <c r="AU59" t="s">
        <v>3</v>
      </c>
      <c r="AV59">
        <v>0</v>
      </c>
      <c r="AW59">
        <v>2</v>
      </c>
      <c r="AX59">
        <v>22714432</v>
      </c>
      <c r="AY59">
        <v>1</v>
      </c>
      <c r="AZ59">
        <v>0</v>
      </c>
      <c r="BA59">
        <v>66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B59">
        <v>0</v>
      </c>
    </row>
    <row r="60" spans="1:80">
      <c r="A60">
        <f>ROW(Source!A71)</f>
        <v>71</v>
      </c>
      <c r="B60">
        <v>22714418</v>
      </c>
      <c r="C60">
        <v>22714412</v>
      </c>
      <c r="D60">
        <v>16748153</v>
      </c>
      <c r="E60">
        <v>1</v>
      </c>
      <c r="F60">
        <v>1</v>
      </c>
      <c r="G60">
        <v>1</v>
      </c>
      <c r="H60">
        <v>2</v>
      </c>
      <c r="I60" t="s">
        <v>366</v>
      </c>
      <c r="J60" t="s">
        <v>367</v>
      </c>
      <c r="K60" t="s">
        <v>368</v>
      </c>
      <c r="L60">
        <v>1368</v>
      </c>
      <c r="N60">
        <v>1011</v>
      </c>
      <c r="O60" t="s">
        <v>294</v>
      </c>
      <c r="P60" t="s">
        <v>294</v>
      </c>
      <c r="Q60">
        <v>1</v>
      </c>
      <c r="Y60">
        <v>0.11</v>
      </c>
      <c r="AA60">
        <v>0</v>
      </c>
      <c r="AB60">
        <v>107.3</v>
      </c>
      <c r="AC60">
        <v>11.6</v>
      </c>
      <c r="AD60">
        <v>0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0.11</v>
      </c>
      <c r="AU60" t="s">
        <v>3</v>
      </c>
      <c r="AV60">
        <v>0</v>
      </c>
      <c r="AW60">
        <v>2</v>
      </c>
      <c r="AX60">
        <v>22714433</v>
      </c>
      <c r="AY60">
        <v>1</v>
      </c>
      <c r="AZ60">
        <v>0</v>
      </c>
      <c r="BA60">
        <v>67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B60">
        <v>0</v>
      </c>
    </row>
    <row r="61" spans="1:80">
      <c r="A61">
        <f>ROW(Source!A71)</f>
        <v>71</v>
      </c>
      <c r="B61">
        <v>22714419</v>
      </c>
      <c r="C61">
        <v>22714412</v>
      </c>
      <c r="D61">
        <v>16707495</v>
      </c>
      <c r="E61">
        <v>1</v>
      </c>
      <c r="F61">
        <v>1</v>
      </c>
      <c r="G61">
        <v>1</v>
      </c>
      <c r="H61">
        <v>3</v>
      </c>
      <c r="I61" t="s">
        <v>369</v>
      </c>
      <c r="J61" t="s">
        <v>370</v>
      </c>
      <c r="K61" t="s">
        <v>371</v>
      </c>
      <c r="L61">
        <v>1348</v>
      </c>
      <c r="N61">
        <v>1009</v>
      </c>
      <c r="O61" t="s">
        <v>233</v>
      </c>
      <c r="P61" t="s">
        <v>233</v>
      </c>
      <c r="Q61">
        <v>1000</v>
      </c>
      <c r="Y61">
        <v>2.0999999999999999E-3</v>
      </c>
      <c r="AA61">
        <v>12242</v>
      </c>
      <c r="AB61">
        <v>0</v>
      </c>
      <c r="AC61">
        <v>0</v>
      </c>
      <c r="AD61">
        <v>0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2.0999999999999999E-3</v>
      </c>
      <c r="AU61" t="s">
        <v>3</v>
      </c>
      <c r="AV61">
        <v>0</v>
      </c>
      <c r="AW61">
        <v>2</v>
      </c>
      <c r="AX61">
        <v>22714434</v>
      </c>
      <c r="AY61">
        <v>1</v>
      </c>
      <c r="AZ61">
        <v>0</v>
      </c>
      <c r="BA61">
        <v>68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B61">
        <v>0</v>
      </c>
    </row>
    <row r="62" spans="1:80">
      <c r="A62">
        <f>ROW(Source!A71)</f>
        <v>71</v>
      </c>
      <c r="B62">
        <v>22714420</v>
      </c>
      <c r="C62">
        <v>22714412</v>
      </c>
      <c r="D62">
        <v>16708286</v>
      </c>
      <c r="E62">
        <v>1</v>
      </c>
      <c r="F62">
        <v>1</v>
      </c>
      <c r="G62">
        <v>1</v>
      </c>
      <c r="H62">
        <v>3</v>
      </c>
      <c r="I62" t="s">
        <v>372</v>
      </c>
      <c r="J62" t="s">
        <v>373</v>
      </c>
      <c r="K62" t="s">
        <v>374</v>
      </c>
      <c r="L62">
        <v>1358</v>
      </c>
      <c r="N62">
        <v>1010</v>
      </c>
      <c r="O62" t="s">
        <v>335</v>
      </c>
      <c r="P62" t="s">
        <v>335</v>
      </c>
      <c r="Q62">
        <v>10</v>
      </c>
      <c r="Y62">
        <v>13.4</v>
      </c>
      <c r="AA62">
        <v>23.4</v>
      </c>
      <c r="AB62">
        <v>0</v>
      </c>
      <c r="AC62">
        <v>0</v>
      </c>
      <c r="AD62">
        <v>0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13.4</v>
      </c>
      <c r="AU62" t="s">
        <v>3</v>
      </c>
      <c r="AV62">
        <v>0</v>
      </c>
      <c r="AW62">
        <v>2</v>
      </c>
      <c r="AX62">
        <v>22714435</v>
      </c>
      <c r="AY62">
        <v>1</v>
      </c>
      <c r="AZ62">
        <v>0</v>
      </c>
      <c r="BA62">
        <v>69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B62">
        <v>0</v>
      </c>
    </row>
    <row r="63" spans="1:80">
      <c r="A63">
        <f>ROW(Source!A71)</f>
        <v>71</v>
      </c>
      <c r="B63">
        <v>22714421</v>
      </c>
      <c r="C63">
        <v>22714412</v>
      </c>
      <c r="D63">
        <v>16708484</v>
      </c>
      <c r="E63">
        <v>1</v>
      </c>
      <c r="F63">
        <v>1</v>
      </c>
      <c r="G63">
        <v>1</v>
      </c>
      <c r="H63">
        <v>3</v>
      </c>
      <c r="I63" t="s">
        <v>375</v>
      </c>
      <c r="J63" t="s">
        <v>376</v>
      </c>
      <c r="K63" t="s">
        <v>377</v>
      </c>
      <c r="L63">
        <v>1346</v>
      </c>
      <c r="N63">
        <v>1009</v>
      </c>
      <c r="O63" t="s">
        <v>243</v>
      </c>
      <c r="P63" t="s">
        <v>243</v>
      </c>
      <c r="Q63">
        <v>1</v>
      </c>
      <c r="Y63">
        <v>0.96</v>
      </c>
      <c r="AA63">
        <v>10.57</v>
      </c>
      <c r="AB63">
        <v>0</v>
      </c>
      <c r="AC63">
        <v>0</v>
      </c>
      <c r="AD63">
        <v>0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0.96</v>
      </c>
      <c r="AU63" t="s">
        <v>3</v>
      </c>
      <c r="AV63">
        <v>0</v>
      </c>
      <c r="AW63">
        <v>2</v>
      </c>
      <c r="AX63">
        <v>22714436</v>
      </c>
      <c r="AY63">
        <v>1</v>
      </c>
      <c r="AZ63">
        <v>0</v>
      </c>
      <c r="BA63">
        <v>70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B63">
        <v>0</v>
      </c>
    </row>
    <row r="64" spans="1:80">
      <c r="A64">
        <f>ROW(Source!A71)</f>
        <v>71</v>
      </c>
      <c r="B64">
        <v>22714422</v>
      </c>
      <c r="C64">
        <v>22714412</v>
      </c>
      <c r="D64">
        <v>16710407</v>
      </c>
      <c r="E64">
        <v>1</v>
      </c>
      <c r="F64">
        <v>1</v>
      </c>
      <c r="G64">
        <v>1</v>
      </c>
      <c r="H64">
        <v>3</v>
      </c>
      <c r="I64" t="s">
        <v>378</v>
      </c>
      <c r="J64" t="s">
        <v>379</v>
      </c>
      <c r="K64" t="s">
        <v>380</v>
      </c>
      <c r="L64">
        <v>1358</v>
      </c>
      <c r="N64">
        <v>1010</v>
      </c>
      <c r="O64" t="s">
        <v>335</v>
      </c>
      <c r="P64" t="s">
        <v>335</v>
      </c>
      <c r="Q64">
        <v>10</v>
      </c>
      <c r="Y64">
        <v>13.4</v>
      </c>
      <c r="AA64">
        <v>26.4</v>
      </c>
      <c r="AB64">
        <v>0</v>
      </c>
      <c r="AC64">
        <v>0</v>
      </c>
      <c r="AD64">
        <v>0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13.4</v>
      </c>
      <c r="AU64" t="s">
        <v>3</v>
      </c>
      <c r="AV64">
        <v>0</v>
      </c>
      <c r="AW64">
        <v>2</v>
      </c>
      <c r="AX64">
        <v>22714437</v>
      </c>
      <c r="AY64">
        <v>1</v>
      </c>
      <c r="AZ64">
        <v>0</v>
      </c>
      <c r="BA64">
        <v>71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B64">
        <v>0</v>
      </c>
    </row>
    <row r="65" spans="1:80">
      <c r="A65">
        <f>ROW(Source!A71)</f>
        <v>71</v>
      </c>
      <c r="B65">
        <v>22714423</v>
      </c>
      <c r="C65">
        <v>22714412</v>
      </c>
      <c r="D65">
        <v>16758909</v>
      </c>
      <c r="E65">
        <v>1</v>
      </c>
      <c r="F65">
        <v>1</v>
      </c>
      <c r="G65">
        <v>1</v>
      </c>
      <c r="H65">
        <v>3</v>
      </c>
      <c r="I65" t="s">
        <v>381</v>
      </c>
      <c r="J65" t="s">
        <v>382</v>
      </c>
      <c r="K65" t="s">
        <v>383</v>
      </c>
      <c r="L65">
        <v>1346</v>
      </c>
      <c r="N65">
        <v>1009</v>
      </c>
      <c r="O65" t="s">
        <v>243</v>
      </c>
      <c r="P65" t="s">
        <v>243</v>
      </c>
      <c r="Q65">
        <v>1</v>
      </c>
      <c r="Y65">
        <v>0.2</v>
      </c>
      <c r="AA65">
        <v>25.8</v>
      </c>
      <c r="AB65">
        <v>0</v>
      </c>
      <c r="AC65">
        <v>0</v>
      </c>
      <c r="AD65">
        <v>0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0.2</v>
      </c>
      <c r="AU65" t="s">
        <v>3</v>
      </c>
      <c r="AV65">
        <v>0</v>
      </c>
      <c r="AW65">
        <v>2</v>
      </c>
      <c r="AX65">
        <v>22714438</v>
      </c>
      <c r="AY65">
        <v>1</v>
      </c>
      <c r="AZ65">
        <v>0</v>
      </c>
      <c r="BA65">
        <v>72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B65">
        <v>0</v>
      </c>
    </row>
    <row r="66" spans="1:80">
      <c r="A66">
        <f>ROW(Source!A71)</f>
        <v>71</v>
      </c>
      <c r="B66">
        <v>22714424</v>
      </c>
      <c r="C66">
        <v>22714412</v>
      </c>
      <c r="D66">
        <v>16719738</v>
      </c>
      <c r="E66">
        <v>1</v>
      </c>
      <c r="F66">
        <v>1</v>
      </c>
      <c r="G66">
        <v>1</v>
      </c>
      <c r="H66">
        <v>3</v>
      </c>
      <c r="I66" t="s">
        <v>384</v>
      </c>
      <c r="J66" t="s">
        <v>385</v>
      </c>
      <c r="K66" t="s">
        <v>386</v>
      </c>
      <c r="L66">
        <v>1358</v>
      </c>
      <c r="N66">
        <v>1010</v>
      </c>
      <c r="O66" t="s">
        <v>335</v>
      </c>
      <c r="P66" t="s">
        <v>335</v>
      </c>
      <c r="Q66">
        <v>10</v>
      </c>
      <c r="Y66">
        <v>1.8</v>
      </c>
      <c r="AA66">
        <v>277.5</v>
      </c>
      <c r="AB66">
        <v>0</v>
      </c>
      <c r="AC66">
        <v>0</v>
      </c>
      <c r="AD66">
        <v>0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1.8</v>
      </c>
      <c r="AU66" t="s">
        <v>3</v>
      </c>
      <c r="AV66">
        <v>0</v>
      </c>
      <c r="AW66">
        <v>2</v>
      </c>
      <c r="AX66">
        <v>22714439</v>
      </c>
      <c r="AY66">
        <v>1</v>
      </c>
      <c r="AZ66">
        <v>0</v>
      </c>
      <c r="BA66">
        <v>73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B66">
        <v>0</v>
      </c>
    </row>
    <row r="67" spans="1:80">
      <c r="A67">
        <f>ROW(Source!A71)</f>
        <v>71</v>
      </c>
      <c r="B67">
        <v>22714425</v>
      </c>
      <c r="C67">
        <v>22714412</v>
      </c>
      <c r="D67">
        <v>16767464</v>
      </c>
      <c r="E67">
        <v>1</v>
      </c>
      <c r="F67">
        <v>1</v>
      </c>
      <c r="G67">
        <v>1</v>
      </c>
      <c r="H67">
        <v>3</v>
      </c>
      <c r="I67" t="s">
        <v>387</v>
      </c>
      <c r="J67" t="s">
        <v>388</v>
      </c>
      <c r="K67" t="s">
        <v>389</v>
      </c>
      <c r="L67">
        <v>1358</v>
      </c>
      <c r="N67">
        <v>1010</v>
      </c>
      <c r="O67" t="s">
        <v>335</v>
      </c>
      <c r="P67" t="s">
        <v>335</v>
      </c>
      <c r="Q67">
        <v>10</v>
      </c>
      <c r="Y67">
        <v>6.7</v>
      </c>
      <c r="AA67">
        <v>32.799999999999997</v>
      </c>
      <c r="AB67">
        <v>0</v>
      </c>
      <c r="AC67">
        <v>0</v>
      </c>
      <c r="AD67">
        <v>0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6.7</v>
      </c>
      <c r="AU67" t="s">
        <v>3</v>
      </c>
      <c r="AV67">
        <v>0</v>
      </c>
      <c r="AW67">
        <v>2</v>
      </c>
      <c r="AX67">
        <v>22714440</v>
      </c>
      <c r="AY67">
        <v>1</v>
      </c>
      <c r="AZ67">
        <v>0</v>
      </c>
      <c r="BA67">
        <v>74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B67">
        <v>0</v>
      </c>
    </row>
    <row r="68" spans="1:80">
      <c r="A68">
        <f>ROW(Source!A71)</f>
        <v>71</v>
      </c>
      <c r="B68">
        <v>22714426</v>
      </c>
      <c r="C68">
        <v>22714412</v>
      </c>
      <c r="D68">
        <v>16768146</v>
      </c>
      <c r="E68">
        <v>1</v>
      </c>
      <c r="F68">
        <v>1</v>
      </c>
      <c r="G68">
        <v>1</v>
      </c>
      <c r="H68">
        <v>3</v>
      </c>
      <c r="I68" t="s">
        <v>390</v>
      </c>
      <c r="J68" t="s">
        <v>391</v>
      </c>
      <c r="K68" t="s">
        <v>392</v>
      </c>
      <c r="L68">
        <v>1354</v>
      </c>
      <c r="N68">
        <v>1010</v>
      </c>
      <c r="O68" t="s">
        <v>20</v>
      </c>
      <c r="P68" t="s">
        <v>20</v>
      </c>
      <c r="Q68">
        <v>1</v>
      </c>
      <c r="Y68">
        <v>18</v>
      </c>
      <c r="AA68">
        <v>0.27</v>
      </c>
      <c r="AB68">
        <v>0</v>
      </c>
      <c r="AC68">
        <v>0</v>
      </c>
      <c r="AD68">
        <v>0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18</v>
      </c>
      <c r="AU68" t="s">
        <v>3</v>
      </c>
      <c r="AV68">
        <v>0</v>
      </c>
      <c r="AW68">
        <v>2</v>
      </c>
      <c r="AX68">
        <v>22714441</v>
      </c>
      <c r="AY68">
        <v>1</v>
      </c>
      <c r="AZ68">
        <v>0</v>
      </c>
      <c r="BA68">
        <v>75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B68">
        <v>0</v>
      </c>
    </row>
    <row r="69" spans="1:80">
      <c r="A69">
        <f>ROW(Source!A71)</f>
        <v>71</v>
      </c>
      <c r="B69">
        <v>22714427</v>
      </c>
      <c r="C69">
        <v>22714412</v>
      </c>
      <c r="D69">
        <v>16768172</v>
      </c>
      <c r="E69">
        <v>1</v>
      </c>
      <c r="F69">
        <v>1</v>
      </c>
      <c r="G69">
        <v>1</v>
      </c>
      <c r="H69">
        <v>3</v>
      </c>
      <c r="I69" t="s">
        <v>393</v>
      </c>
      <c r="J69" t="s">
        <v>394</v>
      </c>
      <c r="K69" t="s">
        <v>395</v>
      </c>
      <c r="L69">
        <v>1358</v>
      </c>
      <c r="N69">
        <v>1010</v>
      </c>
      <c r="O69" t="s">
        <v>335</v>
      </c>
      <c r="P69" t="s">
        <v>335</v>
      </c>
      <c r="Q69">
        <v>10</v>
      </c>
      <c r="Y69">
        <v>1</v>
      </c>
      <c r="AA69">
        <v>19.899999999999999</v>
      </c>
      <c r="AB69">
        <v>0</v>
      </c>
      <c r="AC69">
        <v>0</v>
      </c>
      <c r="AD69">
        <v>0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1</v>
      </c>
      <c r="AU69" t="s">
        <v>3</v>
      </c>
      <c r="AV69">
        <v>0</v>
      </c>
      <c r="AW69">
        <v>2</v>
      </c>
      <c r="AX69">
        <v>22714442</v>
      </c>
      <c r="AY69">
        <v>1</v>
      </c>
      <c r="AZ69">
        <v>0</v>
      </c>
      <c r="BA69">
        <v>76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B69">
        <v>0</v>
      </c>
    </row>
    <row r="70" spans="1:80">
      <c r="A70">
        <f>ROW(Source!A72)</f>
        <v>72</v>
      </c>
      <c r="B70">
        <v>22714445</v>
      </c>
      <c r="C70">
        <v>22714444</v>
      </c>
      <c r="D70">
        <v>11610946</v>
      </c>
      <c r="E70">
        <v>1</v>
      </c>
      <c r="F70">
        <v>1</v>
      </c>
      <c r="G70">
        <v>1</v>
      </c>
      <c r="H70">
        <v>1</v>
      </c>
      <c r="I70" t="s">
        <v>396</v>
      </c>
      <c r="J70" t="s">
        <v>3</v>
      </c>
      <c r="K70" t="s">
        <v>397</v>
      </c>
      <c r="L70">
        <v>1369</v>
      </c>
      <c r="N70">
        <v>1013</v>
      </c>
      <c r="O70" t="s">
        <v>222</v>
      </c>
      <c r="P70" t="s">
        <v>222</v>
      </c>
      <c r="Q70">
        <v>1</v>
      </c>
      <c r="Y70">
        <v>24</v>
      </c>
      <c r="AA70">
        <v>0</v>
      </c>
      <c r="AB70">
        <v>0</v>
      </c>
      <c r="AC70">
        <v>0</v>
      </c>
      <c r="AD70">
        <v>9.92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24</v>
      </c>
      <c r="AU70" t="s">
        <v>3</v>
      </c>
      <c r="AV70">
        <v>1</v>
      </c>
      <c r="AW70">
        <v>2</v>
      </c>
      <c r="AX70">
        <v>22714456</v>
      </c>
      <c r="AY70">
        <v>1</v>
      </c>
      <c r="AZ70">
        <v>0</v>
      </c>
      <c r="BA70">
        <v>78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B70">
        <v>0</v>
      </c>
    </row>
    <row r="71" spans="1:80">
      <c r="A71">
        <f>ROW(Source!A72)</f>
        <v>72</v>
      </c>
      <c r="B71">
        <v>22714446</v>
      </c>
      <c r="C71">
        <v>22714444</v>
      </c>
      <c r="D71">
        <v>121548</v>
      </c>
      <c r="E71">
        <v>1</v>
      </c>
      <c r="F71">
        <v>1</v>
      </c>
      <c r="G71">
        <v>1</v>
      </c>
      <c r="H71">
        <v>1</v>
      </c>
      <c r="I71" t="s">
        <v>25</v>
      </c>
      <c r="J71" t="s">
        <v>3</v>
      </c>
      <c r="K71" t="s">
        <v>223</v>
      </c>
      <c r="L71">
        <v>608254</v>
      </c>
      <c r="N71">
        <v>1013</v>
      </c>
      <c r="O71" t="s">
        <v>224</v>
      </c>
      <c r="P71" t="s">
        <v>224</v>
      </c>
      <c r="Q71">
        <v>1</v>
      </c>
      <c r="Y71">
        <v>0.01</v>
      </c>
      <c r="AA71">
        <v>0</v>
      </c>
      <c r="AB71">
        <v>0</v>
      </c>
      <c r="AC71">
        <v>0</v>
      </c>
      <c r="AD71">
        <v>0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0.01</v>
      </c>
      <c r="AU71" t="s">
        <v>3</v>
      </c>
      <c r="AV71">
        <v>2</v>
      </c>
      <c r="AW71">
        <v>2</v>
      </c>
      <c r="AX71">
        <v>22714457</v>
      </c>
      <c r="AY71">
        <v>1</v>
      </c>
      <c r="AZ71">
        <v>0</v>
      </c>
      <c r="BA71">
        <v>79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B71">
        <v>0</v>
      </c>
    </row>
    <row r="72" spans="1:80">
      <c r="A72">
        <f>ROW(Source!A72)</f>
        <v>72</v>
      </c>
      <c r="B72">
        <v>22714447</v>
      </c>
      <c r="C72">
        <v>22714444</v>
      </c>
      <c r="D72">
        <v>16745629</v>
      </c>
      <c r="E72">
        <v>1</v>
      </c>
      <c r="F72">
        <v>1</v>
      </c>
      <c r="G72">
        <v>1</v>
      </c>
      <c r="H72">
        <v>2</v>
      </c>
      <c r="I72" t="s">
        <v>360</v>
      </c>
      <c r="J72" t="s">
        <v>361</v>
      </c>
      <c r="K72" t="s">
        <v>362</v>
      </c>
      <c r="L72">
        <v>1368</v>
      </c>
      <c r="N72">
        <v>1011</v>
      </c>
      <c r="O72" t="s">
        <v>294</v>
      </c>
      <c r="P72" t="s">
        <v>294</v>
      </c>
      <c r="Q72">
        <v>1</v>
      </c>
      <c r="Y72">
        <v>0.01</v>
      </c>
      <c r="AA72">
        <v>0</v>
      </c>
      <c r="AB72">
        <v>134.65</v>
      </c>
      <c r="AC72">
        <v>13.5</v>
      </c>
      <c r="AD72">
        <v>0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0.01</v>
      </c>
      <c r="AU72" t="s">
        <v>3</v>
      </c>
      <c r="AV72">
        <v>0</v>
      </c>
      <c r="AW72">
        <v>2</v>
      </c>
      <c r="AX72">
        <v>22714458</v>
      </c>
      <c r="AY72">
        <v>1</v>
      </c>
      <c r="AZ72">
        <v>0</v>
      </c>
      <c r="BA72">
        <v>80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B72">
        <v>0</v>
      </c>
    </row>
    <row r="73" spans="1:80">
      <c r="A73">
        <f>ROW(Source!A72)</f>
        <v>72</v>
      </c>
      <c r="B73">
        <v>22714448</v>
      </c>
      <c r="C73">
        <v>22714444</v>
      </c>
      <c r="D73">
        <v>16748153</v>
      </c>
      <c r="E73">
        <v>1</v>
      </c>
      <c r="F73">
        <v>1</v>
      </c>
      <c r="G73">
        <v>1</v>
      </c>
      <c r="H73">
        <v>2</v>
      </c>
      <c r="I73" t="s">
        <v>366</v>
      </c>
      <c r="J73" t="s">
        <v>367</v>
      </c>
      <c r="K73" t="s">
        <v>368</v>
      </c>
      <c r="L73">
        <v>1368</v>
      </c>
      <c r="N73">
        <v>1011</v>
      </c>
      <c r="O73" t="s">
        <v>294</v>
      </c>
      <c r="P73" t="s">
        <v>294</v>
      </c>
      <c r="Q73">
        <v>1</v>
      </c>
      <c r="Y73">
        <v>0.01</v>
      </c>
      <c r="AA73">
        <v>0</v>
      </c>
      <c r="AB73">
        <v>107.3</v>
      </c>
      <c r="AC73">
        <v>11.6</v>
      </c>
      <c r="AD73">
        <v>0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0.01</v>
      </c>
      <c r="AU73" t="s">
        <v>3</v>
      </c>
      <c r="AV73">
        <v>0</v>
      </c>
      <c r="AW73">
        <v>2</v>
      </c>
      <c r="AX73">
        <v>22714459</v>
      </c>
      <c r="AY73">
        <v>1</v>
      </c>
      <c r="AZ73">
        <v>0</v>
      </c>
      <c r="BA73">
        <v>81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B73">
        <v>0</v>
      </c>
    </row>
    <row r="74" spans="1:80">
      <c r="A74">
        <f>ROW(Source!A72)</f>
        <v>72</v>
      </c>
      <c r="B74">
        <v>22714449</v>
      </c>
      <c r="C74">
        <v>22714444</v>
      </c>
      <c r="D74">
        <v>16707495</v>
      </c>
      <c r="E74">
        <v>1</v>
      </c>
      <c r="F74">
        <v>1</v>
      </c>
      <c r="G74">
        <v>1</v>
      </c>
      <c r="H74">
        <v>3</v>
      </c>
      <c r="I74" t="s">
        <v>369</v>
      </c>
      <c r="J74" t="s">
        <v>370</v>
      </c>
      <c r="K74" t="s">
        <v>371</v>
      </c>
      <c r="L74">
        <v>1348</v>
      </c>
      <c r="N74">
        <v>1009</v>
      </c>
      <c r="O74" t="s">
        <v>233</v>
      </c>
      <c r="P74" t="s">
        <v>233</v>
      </c>
      <c r="Q74">
        <v>1000</v>
      </c>
      <c r="Y74">
        <v>2.0999999999999999E-3</v>
      </c>
      <c r="AA74">
        <v>12242</v>
      </c>
      <c r="AB74">
        <v>0</v>
      </c>
      <c r="AC74">
        <v>0</v>
      </c>
      <c r="AD74">
        <v>0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2.0999999999999999E-3</v>
      </c>
      <c r="AU74" t="s">
        <v>3</v>
      </c>
      <c r="AV74">
        <v>0</v>
      </c>
      <c r="AW74">
        <v>2</v>
      </c>
      <c r="AX74">
        <v>22714460</v>
      </c>
      <c r="AY74">
        <v>1</v>
      </c>
      <c r="AZ74">
        <v>0</v>
      </c>
      <c r="BA74">
        <v>82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B74">
        <v>0</v>
      </c>
    </row>
    <row r="75" spans="1:80">
      <c r="A75">
        <f>ROW(Source!A72)</f>
        <v>72</v>
      </c>
      <c r="B75">
        <v>22714450</v>
      </c>
      <c r="C75">
        <v>22714444</v>
      </c>
      <c r="D75">
        <v>16708345</v>
      </c>
      <c r="E75">
        <v>1</v>
      </c>
      <c r="F75">
        <v>1</v>
      </c>
      <c r="G75">
        <v>1</v>
      </c>
      <c r="H75">
        <v>3</v>
      </c>
      <c r="I75" t="s">
        <v>398</v>
      </c>
      <c r="J75" t="s">
        <v>399</v>
      </c>
      <c r="K75" t="s">
        <v>400</v>
      </c>
      <c r="L75">
        <v>1348</v>
      </c>
      <c r="N75">
        <v>1009</v>
      </c>
      <c r="O75" t="s">
        <v>233</v>
      </c>
      <c r="P75" t="s">
        <v>233</v>
      </c>
      <c r="Q75">
        <v>1000</v>
      </c>
      <c r="Y75">
        <v>5.9999999999999995E-4</v>
      </c>
      <c r="AA75">
        <v>1820</v>
      </c>
      <c r="AB75">
        <v>0</v>
      </c>
      <c r="AC75">
        <v>0</v>
      </c>
      <c r="AD75">
        <v>0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5.9999999999999995E-4</v>
      </c>
      <c r="AU75" t="s">
        <v>3</v>
      </c>
      <c r="AV75">
        <v>0</v>
      </c>
      <c r="AW75">
        <v>2</v>
      </c>
      <c r="AX75">
        <v>22714461</v>
      </c>
      <c r="AY75">
        <v>1</v>
      </c>
      <c r="AZ75">
        <v>0</v>
      </c>
      <c r="BA75">
        <v>83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B75">
        <v>0</v>
      </c>
    </row>
    <row r="76" spans="1:80">
      <c r="A76">
        <f>ROW(Source!A72)</f>
        <v>72</v>
      </c>
      <c r="B76">
        <v>22714451</v>
      </c>
      <c r="C76">
        <v>22714444</v>
      </c>
      <c r="D76">
        <v>16708666</v>
      </c>
      <c r="E76">
        <v>1</v>
      </c>
      <c r="F76">
        <v>1</v>
      </c>
      <c r="G76">
        <v>1</v>
      </c>
      <c r="H76">
        <v>3</v>
      </c>
      <c r="I76" t="s">
        <v>401</v>
      </c>
      <c r="J76" t="s">
        <v>402</v>
      </c>
      <c r="K76" t="s">
        <v>403</v>
      </c>
      <c r="L76">
        <v>1346</v>
      </c>
      <c r="N76">
        <v>1009</v>
      </c>
      <c r="O76" t="s">
        <v>243</v>
      </c>
      <c r="P76" t="s">
        <v>243</v>
      </c>
      <c r="Q76">
        <v>1</v>
      </c>
      <c r="Y76">
        <v>0.01</v>
      </c>
      <c r="AA76">
        <v>28.6</v>
      </c>
      <c r="AB76">
        <v>0</v>
      </c>
      <c r="AC76">
        <v>0</v>
      </c>
      <c r="AD76">
        <v>0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0.01</v>
      </c>
      <c r="AU76" t="s">
        <v>3</v>
      </c>
      <c r="AV76">
        <v>0</v>
      </c>
      <c r="AW76">
        <v>2</v>
      </c>
      <c r="AX76">
        <v>22714462</v>
      </c>
      <c r="AY76">
        <v>1</v>
      </c>
      <c r="AZ76">
        <v>0</v>
      </c>
      <c r="BA76">
        <v>84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B76">
        <v>0</v>
      </c>
    </row>
    <row r="77" spans="1:80">
      <c r="A77">
        <f>ROW(Source!A72)</f>
        <v>72</v>
      </c>
      <c r="B77">
        <v>22714452</v>
      </c>
      <c r="C77">
        <v>22714444</v>
      </c>
      <c r="D77">
        <v>16709002</v>
      </c>
      <c r="E77">
        <v>1</v>
      </c>
      <c r="F77">
        <v>1</v>
      </c>
      <c r="G77">
        <v>1</v>
      </c>
      <c r="H77">
        <v>3</v>
      </c>
      <c r="I77" t="s">
        <v>404</v>
      </c>
      <c r="J77" t="s">
        <v>405</v>
      </c>
      <c r="K77" t="s">
        <v>406</v>
      </c>
      <c r="L77">
        <v>1346</v>
      </c>
      <c r="N77">
        <v>1009</v>
      </c>
      <c r="O77" t="s">
        <v>243</v>
      </c>
      <c r="P77" t="s">
        <v>243</v>
      </c>
      <c r="Q77">
        <v>1</v>
      </c>
      <c r="Y77">
        <v>0.16</v>
      </c>
      <c r="AA77">
        <v>91.29</v>
      </c>
      <c r="AB77">
        <v>0</v>
      </c>
      <c r="AC77">
        <v>0</v>
      </c>
      <c r="AD77">
        <v>0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0.16</v>
      </c>
      <c r="AU77" t="s">
        <v>3</v>
      </c>
      <c r="AV77">
        <v>0</v>
      </c>
      <c r="AW77">
        <v>2</v>
      </c>
      <c r="AX77">
        <v>22714463</v>
      </c>
      <c r="AY77">
        <v>1</v>
      </c>
      <c r="AZ77">
        <v>0</v>
      </c>
      <c r="BA77">
        <v>85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B77">
        <v>0</v>
      </c>
    </row>
    <row r="78" spans="1:80">
      <c r="A78">
        <f>ROW(Source!A72)</f>
        <v>72</v>
      </c>
      <c r="B78">
        <v>22714453</v>
      </c>
      <c r="C78">
        <v>22714444</v>
      </c>
      <c r="D78">
        <v>16758120</v>
      </c>
      <c r="E78">
        <v>1</v>
      </c>
      <c r="F78">
        <v>1</v>
      </c>
      <c r="G78">
        <v>1</v>
      </c>
      <c r="H78">
        <v>3</v>
      </c>
      <c r="I78" t="s">
        <v>407</v>
      </c>
      <c r="J78" t="s">
        <v>408</v>
      </c>
      <c r="K78" t="s">
        <v>409</v>
      </c>
      <c r="L78">
        <v>1355</v>
      </c>
      <c r="N78">
        <v>1010</v>
      </c>
      <c r="O78" t="s">
        <v>284</v>
      </c>
      <c r="P78" t="s">
        <v>284</v>
      </c>
      <c r="Q78">
        <v>100</v>
      </c>
      <c r="Y78">
        <v>0.01</v>
      </c>
      <c r="AA78">
        <v>142.5</v>
      </c>
      <c r="AB78">
        <v>0</v>
      </c>
      <c r="AC78">
        <v>0</v>
      </c>
      <c r="AD78">
        <v>0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0.01</v>
      </c>
      <c r="AU78" t="s">
        <v>3</v>
      </c>
      <c r="AV78">
        <v>0</v>
      </c>
      <c r="AW78">
        <v>2</v>
      </c>
      <c r="AX78">
        <v>22714464</v>
      </c>
      <c r="AY78">
        <v>1</v>
      </c>
      <c r="AZ78">
        <v>0</v>
      </c>
      <c r="BA78">
        <v>86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B78">
        <v>0</v>
      </c>
    </row>
    <row r="79" spans="1:80">
      <c r="A79">
        <f>ROW(Source!A72)</f>
        <v>72</v>
      </c>
      <c r="B79">
        <v>22714454</v>
      </c>
      <c r="C79">
        <v>22714444</v>
      </c>
      <c r="D79">
        <v>16767393</v>
      </c>
      <c r="E79">
        <v>1</v>
      </c>
      <c r="F79">
        <v>1</v>
      </c>
      <c r="G79">
        <v>1</v>
      </c>
      <c r="H79">
        <v>3</v>
      </c>
      <c r="I79" t="s">
        <v>410</v>
      </c>
      <c r="J79" t="s">
        <v>411</v>
      </c>
      <c r="K79" t="s">
        <v>412</v>
      </c>
      <c r="L79">
        <v>1355</v>
      </c>
      <c r="N79">
        <v>1010</v>
      </c>
      <c r="O79" t="s">
        <v>284</v>
      </c>
      <c r="P79" t="s">
        <v>284</v>
      </c>
      <c r="Q79">
        <v>100</v>
      </c>
      <c r="Y79">
        <v>0.31</v>
      </c>
      <c r="AA79">
        <v>528</v>
      </c>
      <c r="AB79">
        <v>0</v>
      </c>
      <c r="AC79">
        <v>0</v>
      </c>
      <c r="AD79">
        <v>0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0.31</v>
      </c>
      <c r="AU79" t="s">
        <v>3</v>
      </c>
      <c r="AV79">
        <v>0</v>
      </c>
      <c r="AW79">
        <v>2</v>
      </c>
      <c r="AX79">
        <v>22714465</v>
      </c>
      <c r="AY79">
        <v>1</v>
      </c>
      <c r="AZ79">
        <v>0</v>
      </c>
      <c r="BA79">
        <v>87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B79">
        <v>0</v>
      </c>
    </row>
    <row r="80" spans="1:80">
      <c r="A80">
        <f>ROW(Source!A72)</f>
        <v>72</v>
      </c>
      <c r="B80">
        <v>22714455</v>
      </c>
      <c r="C80">
        <v>22714444</v>
      </c>
      <c r="D80">
        <v>16769189</v>
      </c>
      <c r="E80">
        <v>1</v>
      </c>
      <c r="F80">
        <v>1</v>
      </c>
      <c r="G80">
        <v>1</v>
      </c>
      <c r="H80">
        <v>3</v>
      </c>
      <c r="I80" t="s">
        <v>413</v>
      </c>
      <c r="J80" t="s">
        <v>414</v>
      </c>
      <c r="K80" t="s">
        <v>415</v>
      </c>
      <c r="L80">
        <v>1354</v>
      </c>
      <c r="N80">
        <v>1010</v>
      </c>
      <c r="O80" t="s">
        <v>20</v>
      </c>
      <c r="P80" t="s">
        <v>20</v>
      </c>
      <c r="Q80">
        <v>1</v>
      </c>
      <c r="Y80">
        <v>5</v>
      </c>
      <c r="AA80">
        <v>1.1000000000000001</v>
      </c>
      <c r="AB80">
        <v>0</v>
      </c>
      <c r="AC80">
        <v>0</v>
      </c>
      <c r="AD80">
        <v>0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5</v>
      </c>
      <c r="AU80" t="s">
        <v>3</v>
      </c>
      <c r="AV80">
        <v>0</v>
      </c>
      <c r="AW80">
        <v>2</v>
      </c>
      <c r="AX80">
        <v>22714466</v>
      </c>
      <c r="AY80">
        <v>1</v>
      </c>
      <c r="AZ80">
        <v>0</v>
      </c>
      <c r="BA80">
        <v>88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B80">
        <v>0</v>
      </c>
    </row>
    <row r="81" spans="1:80">
      <c r="A81">
        <f>ROW(Source!A73)</f>
        <v>73</v>
      </c>
      <c r="B81">
        <v>22714469</v>
      </c>
      <c r="C81">
        <v>22714468</v>
      </c>
      <c r="D81">
        <v>11610937</v>
      </c>
      <c r="E81">
        <v>1</v>
      </c>
      <c r="F81">
        <v>1</v>
      </c>
      <c r="G81">
        <v>1</v>
      </c>
      <c r="H81">
        <v>1</v>
      </c>
      <c r="I81" t="s">
        <v>295</v>
      </c>
      <c r="J81" t="s">
        <v>3</v>
      </c>
      <c r="K81" t="s">
        <v>296</v>
      </c>
      <c r="L81">
        <v>1369</v>
      </c>
      <c r="N81">
        <v>1013</v>
      </c>
      <c r="O81" t="s">
        <v>222</v>
      </c>
      <c r="P81" t="s">
        <v>222</v>
      </c>
      <c r="Q81">
        <v>1</v>
      </c>
      <c r="Y81">
        <v>36</v>
      </c>
      <c r="AA81">
        <v>0</v>
      </c>
      <c r="AB81">
        <v>0</v>
      </c>
      <c r="AC81">
        <v>0</v>
      </c>
      <c r="AD81">
        <v>9.6199999999999992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36</v>
      </c>
      <c r="AU81" t="s">
        <v>3</v>
      </c>
      <c r="AV81">
        <v>1</v>
      </c>
      <c r="AW81">
        <v>2</v>
      </c>
      <c r="AX81">
        <v>22714474</v>
      </c>
      <c r="AY81">
        <v>1</v>
      </c>
      <c r="AZ81">
        <v>0</v>
      </c>
      <c r="BA81">
        <v>90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B81">
        <v>0</v>
      </c>
    </row>
    <row r="82" spans="1:80">
      <c r="A82">
        <f>ROW(Source!A73)</f>
        <v>73</v>
      </c>
      <c r="B82">
        <v>22714470</v>
      </c>
      <c r="C82">
        <v>22714468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25</v>
      </c>
      <c r="J82" t="s">
        <v>3</v>
      </c>
      <c r="K82" t="s">
        <v>223</v>
      </c>
      <c r="L82">
        <v>608254</v>
      </c>
      <c r="N82">
        <v>1013</v>
      </c>
      <c r="O82" t="s">
        <v>224</v>
      </c>
      <c r="P82" t="s">
        <v>224</v>
      </c>
      <c r="Q82">
        <v>1</v>
      </c>
      <c r="Y82">
        <v>1.42</v>
      </c>
      <c r="AA82">
        <v>0</v>
      </c>
      <c r="AB82">
        <v>0</v>
      </c>
      <c r="AC82">
        <v>0</v>
      </c>
      <c r="AD82">
        <v>0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1.42</v>
      </c>
      <c r="AU82" t="s">
        <v>3</v>
      </c>
      <c r="AV82">
        <v>2</v>
      </c>
      <c r="AW82">
        <v>2</v>
      </c>
      <c r="AX82">
        <v>22714475</v>
      </c>
      <c r="AY82">
        <v>1</v>
      </c>
      <c r="AZ82">
        <v>0</v>
      </c>
      <c r="BA82">
        <v>91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B82">
        <v>0</v>
      </c>
    </row>
    <row r="83" spans="1:80">
      <c r="A83">
        <f>ROW(Source!A73)</f>
        <v>73</v>
      </c>
      <c r="B83">
        <v>22714471</v>
      </c>
      <c r="C83">
        <v>22714468</v>
      </c>
      <c r="D83">
        <v>16745744</v>
      </c>
      <c r="E83">
        <v>1</v>
      </c>
      <c r="F83">
        <v>1</v>
      </c>
      <c r="G83">
        <v>1</v>
      </c>
      <c r="H83">
        <v>2</v>
      </c>
      <c r="I83" t="s">
        <v>225</v>
      </c>
      <c r="J83" t="s">
        <v>293</v>
      </c>
      <c r="K83" t="s">
        <v>227</v>
      </c>
      <c r="L83">
        <v>1368</v>
      </c>
      <c r="N83">
        <v>1011</v>
      </c>
      <c r="O83" t="s">
        <v>294</v>
      </c>
      <c r="P83" t="s">
        <v>294</v>
      </c>
      <c r="Q83">
        <v>1</v>
      </c>
      <c r="Y83">
        <v>1.42</v>
      </c>
      <c r="AA83">
        <v>0</v>
      </c>
      <c r="AB83">
        <v>89.99</v>
      </c>
      <c r="AC83">
        <v>10.06</v>
      </c>
      <c r="AD83">
        <v>0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1.42</v>
      </c>
      <c r="AU83" t="s">
        <v>3</v>
      </c>
      <c r="AV83">
        <v>0</v>
      </c>
      <c r="AW83">
        <v>2</v>
      </c>
      <c r="AX83">
        <v>22714476</v>
      </c>
      <c r="AY83">
        <v>1</v>
      </c>
      <c r="AZ83">
        <v>0</v>
      </c>
      <c r="BA83">
        <v>92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B83">
        <v>0</v>
      </c>
    </row>
    <row r="84" spans="1:80">
      <c r="A84">
        <f>ROW(Source!A73)</f>
        <v>73</v>
      </c>
      <c r="B84">
        <v>22714472</v>
      </c>
      <c r="C84">
        <v>22714468</v>
      </c>
      <c r="D84">
        <v>16710410</v>
      </c>
      <c r="E84">
        <v>1</v>
      </c>
      <c r="F84">
        <v>1</v>
      </c>
      <c r="G84">
        <v>1</v>
      </c>
      <c r="H84">
        <v>3</v>
      </c>
      <c r="I84" t="s">
        <v>416</v>
      </c>
      <c r="J84" t="s">
        <v>417</v>
      </c>
      <c r="K84" t="s">
        <v>418</v>
      </c>
      <c r="L84">
        <v>1355</v>
      </c>
      <c r="N84">
        <v>1010</v>
      </c>
      <c r="O84" t="s">
        <v>284</v>
      </c>
      <c r="P84" t="s">
        <v>284</v>
      </c>
      <c r="Q84">
        <v>100</v>
      </c>
      <c r="Y84">
        <v>0.04</v>
      </c>
      <c r="AA84">
        <v>86</v>
      </c>
      <c r="AB84">
        <v>0</v>
      </c>
      <c r="AC84">
        <v>0</v>
      </c>
      <c r="AD84">
        <v>0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0.04</v>
      </c>
      <c r="AU84" t="s">
        <v>3</v>
      </c>
      <c r="AV84">
        <v>0</v>
      </c>
      <c r="AW84">
        <v>2</v>
      </c>
      <c r="AX84">
        <v>22714477</v>
      </c>
      <c r="AY84">
        <v>1</v>
      </c>
      <c r="AZ84">
        <v>0</v>
      </c>
      <c r="BA84">
        <v>93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B84">
        <v>0</v>
      </c>
    </row>
    <row r="85" spans="1:80">
      <c r="A85">
        <f>ROW(Source!A73)</f>
        <v>73</v>
      </c>
      <c r="B85">
        <v>22714473</v>
      </c>
      <c r="C85">
        <v>22714468</v>
      </c>
      <c r="D85">
        <v>16745434</v>
      </c>
      <c r="E85">
        <v>1</v>
      </c>
      <c r="F85">
        <v>1</v>
      </c>
      <c r="G85">
        <v>1</v>
      </c>
      <c r="H85">
        <v>3</v>
      </c>
      <c r="I85" t="s">
        <v>419</v>
      </c>
      <c r="J85" t="s">
        <v>420</v>
      </c>
      <c r="K85" t="s">
        <v>421</v>
      </c>
      <c r="L85">
        <v>11612290</v>
      </c>
      <c r="N85">
        <v>1009</v>
      </c>
      <c r="O85" t="s">
        <v>233</v>
      </c>
      <c r="P85" t="s">
        <v>422</v>
      </c>
      <c r="Q85">
        <v>1000</v>
      </c>
      <c r="Y85">
        <v>0</v>
      </c>
      <c r="AA85">
        <v>0</v>
      </c>
      <c r="AB85">
        <v>0</v>
      </c>
      <c r="AC85">
        <v>0</v>
      </c>
      <c r="AD85">
        <v>0</v>
      </c>
      <c r="AN85">
        <v>1</v>
      </c>
      <c r="AO85">
        <v>0</v>
      </c>
      <c r="AP85">
        <v>0</v>
      </c>
      <c r="AQ85">
        <v>0</v>
      </c>
      <c r="AR85">
        <v>0</v>
      </c>
      <c r="AS85" t="s">
        <v>3</v>
      </c>
      <c r="AT85">
        <v>0</v>
      </c>
      <c r="AU85" t="s">
        <v>3</v>
      </c>
      <c r="AV85">
        <v>0</v>
      </c>
      <c r="AW85">
        <v>2</v>
      </c>
      <c r="AX85">
        <v>22714478</v>
      </c>
      <c r="AY85">
        <v>1</v>
      </c>
      <c r="AZ85">
        <v>0</v>
      </c>
      <c r="BA85">
        <v>94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B85">
        <v>0</v>
      </c>
    </row>
    <row r="86" spans="1:80">
      <c r="A86">
        <f>ROW(Source!A74)</f>
        <v>74</v>
      </c>
      <c r="B86">
        <v>22714480</v>
      </c>
      <c r="C86">
        <v>22714479</v>
      </c>
      <c r="D86">
        <v>11610937</v>
      </c>
      <c r="E86">
        <v>1</v>
      </c>
      <c r="F86">
        <v>1</v>
      </c>
      <c r="G86">
        <v>1</v>
      </c>
      <c r="H86">
        <v>1</v>
      </c>
      <c r="I86" t="s">
        <v>295</v>
      </c>
      <c r="J86" t="s">
        <v>3</v>
      </c>
      <c r="K86" t="s">
        <v>296</v>
      </c>
      <c r="L86">
        <v>1369</v>
      </c>
      <c r="N86">
        <v>1013</v>
      </c>
      <c r="O86" t="s">
        <v>222</v>
      </c>
      <c r="P86" t="s">
        <v>222</v>
      </c>
      <c r="Q86">
        <v>1</v>
      </c>
      <c r="Y86">
        <v>5.15</v>
      </c>
      <c r="AA86">
        <v>0</v>
      </c>
      <c r="AB86">
        <v>0</v>
      </c>
      <c r="AC86">
        <v>0</v>
      </c>
      <c r="AD86">
        <v>9.6199999999999992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5.15</v>
      </c>
      <c r="AU86" t="s">
        <v>3</v>
      </c>
      <c r="AV86">
        <v>1</v>
      </c>
      <c r="AW86">
        <v>2</v>
      </c>
      <c r="AX86">
        <v>22714485</v>
      </c>
      <c r="AY86">
        <v>1</v>
      </c>
      <c r="AZ86">
        <v>0</v>
      </c>
      <c r="BA86">
        <v>95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B86">
        <v>0</v>
      </c>
    </row>
    <row r="87" spans="1:80">
      <c r="A87">
        <f>ROW(Source!A74)</f>
        <v>74</v>
      </c>
      <c r="B87">
        <v>22714481</v>
      </c>
      <c r="C87">
        <v>22714479</v>
      </c>
      <c r="D87">
        <v>16707310</v>
      </c>
      <c r="E87">
        <v>1</v>
      </c>
      <c r="F87">
        <v>1</v>
      </c>
      <c r="G87">
        <v>1</v>
      </c>
      <c r="H87">
        <v>3</v>
      </c>
      <c r="I87" t="s">
        <v>423</v>
      </c>
      <c r="J87" t="s">
        <v>424</v>
      </c>
      <c r="K87" t="s">
        <v>425</v>
      </c>
      <c r="L87">
        <v>1348</v>
      </c>
      <c r="N87">
        <v>1009</v>
      </c>
      <c r="O87" t="s">
        <v>233</v>
      </c>
      <c r="P87" t="s">
        <v>233</v>
      </c>
      <c r="Q87">
        <v>1000</v>
      </c>
      <c r="Y87">
        <v>1.7000000000000001E-4</v>
      </c>
      <c r="AA87">
        <v>5850</v>
      </c>
      <c r="AB87">
        <v>0</v>
      </c>
      <c r="AC87">
        <v>0</v>
      </c>
      <c r="AD87">
        <v>0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1.7000000000000001E-4</v>
      </c>
      <c r="AU87" t="s">
        <v>3</v>
      </c>
      <c r="AV87">
        <v>0</v>
      </c>
      <c r="AW87">
        <v>2</v>
      </c>
      <c r="AX87">
        <v>22714486</v>
      </c>
      <c r="AY87">
        <v>1</v>
      </c>
      <c r="AZ87">
        <v>0</v>
      </c>
      <c r="BA87">
        <v>96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B87">
        <v>0</v>
      </c>
    </row>
    <row r="88" spans="1:80">
      <c r="A88">
        <f>ROW(Source!A74)</f>
        <v>74</v>
      </c>
      <c r="B88">
        <v>22714482</v>
      </c>
      <c r="C88">
        <v>22714479</v>
      </c>
      <c r="D88">
        <v>16708795</v>
      </c>
      <c r="E88">
        <v>1</v>
      </c>
      <c r="F88">
        <v>1</v>
      </c>
      <c r="G88">
        <v>1</v>
      </c>
      <c r="H88">
        <v>3</v>
      </c>
      <c r="I88" t="s">
        <v>426</v>
      </c>
      <c r="J88" t="s">
        <v>427</v>
      </c>
      <c r="K88" t="s">
        <v>428</v>
      </c>
      <c r="L88">
        <v>1348</v>
      </c>
      <c r="N88">
        <v>1009</v>
      </c>
      <c r="O88" t="s">
        <v>233</v>
      </c>
      <c r="P88" t="s">
        <v>233</v>
      </c>
      <c r="Q88">
        <v>1000</v>
      </c>
      <c r="Y88">
        <v>4.7999999999999996E-3</v>
      </c>
      <c r="AA88">
        <v>6720</v>
      </c>
      <c r="AB88">
        <v>0</v>
      </c>
      <c r="AC88">
        <v>0</v>
      </c>
      <c r="AD88">
        <v>0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4.7999999999999996E-3</v>
      </c>
      <c r="AU88" t="s">
        <v>3</v>
      </c>
      <c r="AV88">
        <v>0</v>
      </c>
      <c r="AW88">
        <v>2</v>
      </c>
      <c r="AX88">
        <v>22714487</v>
      </c>
      <c r="AY88">
        <v>1</v>
      </c>
      <c r="AZ88">
        <v>0</v>
      </c>
      <c r="BA88">
        <v>97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B88">
        <v>0</v>
      </c>
    </row>
    <row r="89" spans="1:80">
      <c r="A89">
        <f>ROW(Source!A74)</f>
        <v>74</v>
      </c>
      <c r="B89">
        <v>22714483</v>
      </c>
      <c r="C89">
        <v>22714479</v>
      </c>
      <c r="D89">
        <v>16739091</v>
      </c>
      <c r="E89">
        <v>1</v>
      </c>
      <c r="F89">
        <v>1</v>
      </c>
      <c r="G89">
        <v>1</v>
      </c>
      <c r="H89">
        <v>3</v>
      </c>
      <c r="I89" t="s">
        <v>429</v>
      </c>
      <c r="J89" t="s">
        <v>430</v>
      </c>
      <c r="K89" t="s">
        <v>431</v>
      </c>
      <c r="L89">
        <v>1346</v>
      </c>
      <c r="N89">
        <v>1009</v>
      </c>
      <c r="O89" t="s">
        <v>243</v>
      </c>
      <c r="P89" t="s">
        <v>243</v>
      </c>
      <c r="Q89">
        <v>1</v>
      </c>
      <c r="Y89">
        <v>14.4</v>
      </c>
      <c r="AA89">
        <v>4.16</v>
      </c>
      <c r="AB89">
        <v>0</v>
      </c>
      <c r="AC89">
        <v>0</v>
      </c>
      <c r="AD89">
        <v>0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14.4</v>
      </c>
      <c r="AU89" t="s">
        <v>3</v>
      </c>
      <c r="AV89">
        <v>0</v>
      </c>
      <c r="AW89">
        <v>2</v>
      </c>
      <c r="AX89">
        <v>22714488</v>
      </c>
      <c r="AY89">
        <v>1</v>
      </c>
      <c r="AZ89">
        <v>0</v>
      </c>
      <c r="BA89">
        <v>98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B89">
        <v>0</v>
      </c>
    </row>
    <row r="90" spans="1:80">
      <c r="A90">
        <f>ROW(Source!A74)</f>
        <v>74</v>
      </c>
      <c r="B90">
        <v>22714484</v>
      </c>
      <c r="C90">
        <v>22714479</v>
      </c>
      <c r="D90">
        <v>16745360</v>
      </c>
      <c r="E90">
        <v>1</v>
      </c>
      <c r="F90">
        <v>1</v>
      </c>
      <c r="G90">
        <v>1</v>
      </c>
      <c r="H90">
        <v>3</v>
      </c>
      <c r="I90" t="s">
        <v>432</v>
      </c>
      <c r="J90" t="s">
        <v>433</v>
      </c>
      <c r="K90" t="s">
        <v>434</v>
      </c>
      <c r="L90">
        <v>1348</v>
      </c>
      <c r="N90">
        <v>1009</v>
      </c>
      <c r="O90" t="s">
        <v>233</v>
      </c>
      <c r="P90" t="s">
        <v>233</v>
      </c>
      <c r="Q90">
        <v>1000</v>
      </c>
      <c r="Y90">
        <v>5.0000000000000002E-5</v>
      </c>
      <c r="AA90">
        <v>41210</v>
      </c>
      <c r="AB90">
        <v>0</v>
      </c>
      <c r="AC90">
        <v>0</v>
      </c>
      <c r="AD90">
        <v>0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5.0000000000000002E-5</v>
      </c>
      <c r="AU90" t="s">
        <v>3</v>
      </c>
      <c r="AV90">
        <v>0</v>
      </c>
      <c r="AW90">
        <v>2</v>
      </c>
      <c r="AX90">
        <v>22714489</v>
      </c>
      <c r="AY90">
        <v>1</v>
      </c>
      <c r="AZ90">
        <v>0</v>
      </c>
      <c r="BA90">
        <v>99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B90">
        <v>0</v>
      </c>
    </row>
    <row r="91" spans="1:80">
      <c r="A91">
        <f>ROW(Source!A97)</f>
        <v>97</v>
      </c>
      <c r="B91">
        <v>22714492</v>
      </c>
      <c r="C91">
        <v>22714491</v>
      </c>
      <c r="D91">
        <v>11611066</v>
      </c>
      <c r="E91">
        <v>1</v>
      </c>
      <c r="F91">
        <v>1</v>
      </c>
      <c r="G91">
        <v>1</v>
      </c>
      <c r="H91">
        <v>1</v>
      </c>
      <c r="I91" t="s">
        <v>435</v>
      </c>
      <c r="J91" t="s">
        <v>3</v>
      </c>
      <c r="K91" t="s">
        <v>436</v>
      </c>
      <c r="L91">
        <v>1369</v>
      </c>
      <c r="N91">
        <v>1013</v>
      </c>
      <c r="O91" t="s">
        <v>222</v>
      </c>
      <c r="P91" t="s">
        <v>222</v>
      </c>
      <c r="Q91">
        <v>1</v>
      </c>
      <c r="Y91">
        <v>0.72000000000000008</v>
      </c>
      <c r="AA91">
        <v>0</v>
      </c>
      <c r="AB91">
        <v>0</v>
      </c>
      <c r="AC91">
        <v>0</v>
      </c>
      <c r="AD91">
        <v>12.69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0.9</v>
      </c>
      <c r="AU91" t="s">
        <v>167</v>
      </c>
      <c r="AV91">
        <v>1</v>
      </c>
      <c r="AW91">
        <v>2</v>
      </c>
      <c r="AX91">
        <v>22714494</v>
      </c>
      <c r="AY91">
        <v>1</v>
      </c>
      <c r="AZ91">
        <v>0</v>
      </c>
      <c r="BA91">
        <v>101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B91">
        <v>0</v>
      </c>
    </row>
    <row r="92" spans="1:80">
      <c r="A92">
        <f>ROW(Source!A97)</f>
        <v>97</v>
      </c>
      <c r="B92">
        <v>22714493</v>
      </c>
      <c r="C92">
        <v>22714491</v>
      </c>
      <c r="D92">
        <v>11611078</v>
      </c>
      <c r="E92">
        <v>1</v>
      </c>
      <c r="F92">
        <v>1</v>
      </c>
      <c r="G92">
        <v>1</v>
      </c>
      <c r="H92">
        <v>1</v>
      </c>
      <c r="I92" t="s">
        <v>437</v>
      </c>
      <c r="J92" t="s">
        <v>3</v>
      </c>
      <c r="K92" t="s">
        <v>438</v>
      </c>
      <c r="L92">
        <v>1369</v>
      </c>
      <c r="N92">
        <v>1013</v>
      </c>
      <c r="O92" t="s">
        <v>222</v>
      </c>
      <c r="P92" t="s">
        <v>222</v>
      </c>
      <c r="Q92">
        <v>1</v>
      </c>
      <c r="Y92">
        <v>0.48</v>
      </c>
      <c r="AA92">
        <v>0</v>
      </c>
      <c r="AB92">
        <v>0</v>
      </c>
      <c r="AC92">
        <v>0</v>
      </c>
      <c r="AD92">
        <v>10.210000000000001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0.6</v>
      </c>
      <c r="AU92" t="s">
        <v>167</v>
      </c>
      <c r="AV92">
        <v>1</v>
      </c>
      <c r="AW92">
        <v>2</v>
      </c>
      <c r="AX92">
        <v>22714495</v>
      </c>
      <c r="AY92">
        <v>1</v>
      </c>
      <c r="AZ92">
        <v>0</v>
      </c>
      <c r="BA92">
        <v>102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B92">
        <v>0</v>
      </c>
    </row>
    <row r="93" spans="1:80">
      <c r="A93">
        <f>ROW(Source!A98)</f>
        <v>98</v>
      </c>
      <c r="B93">
        <v>22714497</v>
      </c>
      <c r="C93">
        <v>22714496</v>
      </c>
      <c r="D93">
        <v>11611066</v>
      </c>
      <c r="E93">
        <v>1</v>
      </c>
      <c r="F93">
        <v>1</v>
      </c>
      <c r="G93">
        <v>1</v>
      </c>
      <c r="H93">
        <v>1</v>
      </c>
      <c r="I93" t="s">
        <v>435</v>
      </c>
      <c r="J93" t="s">
        <v>3</v>
      </c>
      <c r="K93" t="s">
        <v>436</v>
      </c>
      <c r="L93">
        <v>1369</v>
      </c>
      <c r="N93">
        <v>1013</v>
      </c>
      <c r="O93" t="s">
        <v>222</v>
      </c>
      <c r="P93" t="s">
        <v>222</v>
      </c>
      <c r="Q93">
        <v>1</v>
      </c>
      <c r="Y93">
        <v>13.92</v>
      </c>
      <c r="AA93">
        <v>0</v>
      </c>
      <c r="AB93">
        <v>0</v>
      </c>
      <c r="AC93">
        <v>0</v>
      </c>
      <c r="AD93">
        <v>12.69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17.399999999999999</v>
      </c>
      <c r="AU93" t="s">
        <v>167</v>
      </c>
      <c r="AV93">
        <v>1</v>
      </c>
      <c r="AW93">
        <v>2</v>
      </c>
      <c r="AX93">
        <v>22714499</v>
      </c>
      <c r="AY93">
        <v>1</v>
      </c>
      <c r="AZ93">
        <v>0</v>
      </c>
      <c r="BA93">
        <v>103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B93">
        <v>0</v>
      </c>
    </row>
    <row r="94" spans="1:80">
      <c r="A94">
        <f>ROW(Source!A98)</f>
        <v>98</v>
      </c>
      <c r="B94">
        <v>22714498</v>
      </c>
      <c r="C94">
        <v>22714496</v>
      </c>
      <c r="D94">
        <v>11611078</v>
      </c>
      <c r="E94">
        <v>1</v>
      </c>
      <c r="F94">
        <v>1</v>
      </c>
      <c r="G94">
        <v>1</v>
      </c>
      <c r="H94">
        <v>1</v>
      </c>
      <c r="I94" t="s">
        <v>437</v>
      </c>
      <c r="J94" t="s">
        <v>3</v>
      </c>
      <c r="K94" t="s">
        <v>438</v>
      </c>
      <c r="L94">
        <v>1369</v>
      </c>
      <c r="N94">
        <v>1013</v>
      </c>
      <c r="O94" t="s">
        <v>222</v>
      </c>
      <c r="P94" t="s">
        <v>222</v>
      </c>
      <c r="Q94">
        <v>1</v>
      </c>
      <c r="Y94">
        <v>9.2799999999999994</v>
      </c>
      <c r="AA94">
        <v>0</v>
      </c>
      <c r="AB94">
        <v>0</v>
      </c>
      <c r="AC94">
        <v>0</v>
      </c>
      <c r="AD94">
        <v>10.210000000000001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11.6</v>
      </c>
      <c r="AU94" t="s">
        <v>167</v>
      </c>
      <c r="AV94">
        <v>1</v>
      </c>
      <c r="AW94">
        <v>2</v>
      </c>
      <c r="AX94">
        <v>22714500</v>
      </c>
      <c r="AY94">
        <v>1</v>
      </c>
      <c r="AZ94">
        <v>0</v>
      </c>
      <c r="BA94">
        <v>104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B9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104"/>
  <sheetViews>
    <sheetView workbookViewId="0"/>
  </sheetViews>
  <sheetFormatPr defaultRowHeight="12.75"/>
  <sheetData>
    <row r="1" spans="1:44">
      <c r="A1">
        <f>ROW(Source!A64)</f>
        <v>64</v>
      </c>
      <c r="B1">
        <v>22714304</v>
      </c>
      <c r="C1">
        <v>22714290</v>
      </c>
      <c r="D1">
        <v>121675</v>
      </c>
      <c r="E1">
        <v>1</v>
      </c>
      <c r="F1">
        <v>1</v>
      </c>
      <c r="G1">
        <v>1</v>
      </c>
      <c r="H1">
        <v>1</v>
      </c>
      <c r="I1" t="s">
        <v>220</v>
      </c>
      <c r="J1" t="s">
        <v>3</v>
      </c>
      <c r="K1" t="s">
        <v>221</v>
      </c>
      <c r="L1">
        <v>1369</v>
      </c>
      <c r="N1">
        <v>1013</v>
      </c>
      <c r="O1" t="s">
        <v>222</v>
      </c>
      <c r="P1" t="s">
        <v>222</v>
      </c>
      <c r="Q1">
        <v>1</v>
      </c>
      <c r="X1">
        <v>21.8</v>
      </c>
      <c r="Y1">
        <v>0</v>
      </c>
      <c r="Z1">
        <v>0</v>
      </c>
      <c r="AA1">
        <v>0</v>
      </c>
      <c r="AB1">
        <v>11.08</v>
      </c>
      <c r="AC1">
        <v>0</v>
      </c>
      <c r="AD1">
        <v>1</v>
      </c>
      <c r="AE1">
        <v>1</v>
      </c>
      <c r="AF1" t="s">
        <v>3</v>
      </c>
      <c r="AG1">
        <v>21.8</v>
      </c>
      <c r="AH1">
        <v>2</v>
      </c>
      <c r="AI1">
        <v>22714291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ROW(Source!A64)</f>
        <v>64</v>
      </c>
      <c r="B2">
        <v>22714305</v>
      </c>
      <c r="C2">
        <v>22714290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25</v>
      </c>
      <c r="J2" t="s">
        <v>3</v>
      </c>
      <c r="K2" t="s">
        <v>223</v>
      </c>
      <c r="L2">
        <v>608254</v>
      </c>
      <c r="N2">
        <v>1013</v>
      </c>
      <c r="O2" t="s">
        <v>224</v>
      </c>
      <c r="P2" t="s">
        <v>224</v>
      </c>
      <c r="Q2">
        <v>1</v>
      </c>
      <c r="X2">
        <v>0.03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0.03</v>
      </c>
      <c r="AH2">
        <v>2</v>
      </c>
      <c r="AI2">
        <v>22714292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ROW(Source!A64)</f>
        <v>64</v>
      </c>
      <c r="B3">
        <v>22714306</v>
      </c>
      <c r="C3">
        <v>22714290</v>
      </c>
      <c r="D3">
        <v>1467010</v>
      </c>
      <c r="E3">
        <v>1</v>
      </c>
      <c r="F3">
        <v>1</v>
      </c>
      <c r="G3">
        <v>1</v>
      </c>
      <c r="H3">
        <v>2</v>
      </c>
      <c r="I3" t="s">
        <v>225</v>
      </c>
      <c r="J3" t="s">
        <v>226</v>
      </c>
      <c r="K3" t="s">
        <v>227</v>
      </c>
      <c r="L3">
        <v>1480</v>
      </c>
      <c r="N3">
        <v>1013</v>
      </c>
      <c r="O3" t="s">
        <v>228</v>
      </c>
      <c r="P3" t="s">
        <v>229</v>
      </c>
      <c r="Q3">
        <v>1</v>
      </c>
      <c r="X3">
        <v>0.03</v>
      </c>
      <c r="Y3">
        <v>0</v>
      </c>
      <c r="Z3">
        <v>89.99</v>
      </c>
      <c r="AA3">
        <v>10.06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0.03</v>
      </c>
      <c r="AH3">
        <v>2</v>
      </c>
      <c r="AI3">
        <v>22714293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ROW(Source!A64)</f>
        <v>64</v>
      </c>
      <c r="B4">
        <v>22714307</v>
      </c>
      <c r="C4">
        <v>22714290</v>
      </c>
      <c r="D4">
        <v>1400996</v>
      </c>
      <c r="E4">
        <v>1</v>
      </c>
      <c r="F4">
        <v>1</v>
      </c>
      <c r="G4">
        <v>1</v>
      </c>
      <c r="H4">
        <v>3</v>
      </c>
      <c r="I4" t="s">
        <v>230</v>
      </c>
      <c r="J4" t="s">
        <v>231</v>
      </c>
      <c r="K4" t="s">
        <v>232</v>
      </c>
      <c r="L4">
        <v>1348</v>
      </c>
      <c r="N4">
        <v>1009</v>
      </c>
      <c r="O4" t="s">
        <v>233</v>
      </c>
      <c r="P4" t="s">
        <v>233</v>
      </c>
      <c r="Q4">
        <v>1000</v>
      </c>
      <c r="X4">
        <v>1.0000000000000001E-5</v>
      </c>
      <c r="Y4">
        <v>42700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1.0000000000000001E-5</v>
      </c>
      <c r="AH4">
        <v>2</v>
      </c>
      <c r="AI4">
        <v>22714294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ROW(Source!A64)</f>
        <v>64</v>
      </c>
      <c r="B5">
        <v>22714308</v>
      </c>
      <c r="C5">
        <v>22714290</v>
      </c>
      <c r="D5">
        <v>1401815</v>
      </c>
      <c r="E5">
        <v>1</v>
      </c>
      <c r="F5">
        <v>1</v>
      </c>
      <c r="G5">
        <v>1</v>
      </c>
      <c r="H5">
        <v>3</v>
      </c>
      <c r="I5" t="s">
        <v>234</v>
      </c>
      <c r="J5" t="s">
        <v>235</v>
      </c>
      <c r="K5" t="s">
        <v>236</v>
      </c>
      <c r="L5">
        <v>1348</v>
      </c>
      <c r="N5">
        <v>1009</v>
      </c>
      <c r="O5" t="s">
        <v>233</v>
      </c>
      <c r="P5" t="s">
        <v>233</v>
      </c>
      <c r="Q5">
        <v>1000</v>
      </c>
      <c r="X5">
        <v>3.0000000000000001E-5</v>
      </c>
      <c r="Y5">
        <v>37517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3.0000000000000001E-5</v>
      </c>
      <c r="AH5">
        <v>2</v>
      </c>
      <c r="AI5">
        <v>22714295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ROW(Source!A64)</f>
        <v>64</v>
      </c>
      <c r="B6">
        <v>22714309</v>
      </c>
      <c r="C6">
        <v>22714290</v>
      </c>
      <c r="D6">
        <v>1404444</v>
      </c>
      <c r="E6">
        <v>1</v>
      </c>
      <c r="F6">
        <v>1</v>
      </c>
      <c r="G6">
        <v>1</v>
      </c>
      <c r="H6">
        <v>3</v>
      </c>
      <c r="I6" t="s">
        <v>237</v>
      </c>
      <c r="J6" t="s">
        <v>238</v>
      </c>
      <c r="K6" t="s">
        <v>239</v>
      </c>
      <c r="L6">
        <v>1348</v>
      </c>
      <c r="N6">
        <v>1009</v>
      </c>
      <c r="O6" t="s">
        <v>233</v>
      </c>
      <c r="P6" t="s">
        <v>233</v>
      </c>
      <c r="Q6">
        <v>1000</v>
      </c>
      <c r="X6">
        <v>1.0000000000000001E-5</v>
      </c>
      <c r="Y6">
        <v>15481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1.0000000000000001E-5</v>
      </c>
      <c r="AH6">
        <v>2</v>
      </c>
      <c r="AI6">
        <v>22714296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ROW(Source!A64)</f>
        <v>64</v>
      </c>
      <c r="B7">
        <v>22714310</v>
      </c>
      <c r="C7">
        <v>22714290</v>
      </c>
      <c r="D7">
        <v>1404654</v>
      </c>
      <c r="E7">
        <v>1</v>
      </c>
      <c r="F7">
        <v>1</v>
      </c>
      <c r="G7">
        <v>1</v>
      </c>
      <c r="H7">
        <v>3</v>
      </c>
      <c r="I7" t="s">
        <v>240</v>
      </c>
      <c r="J7" t="s">
        <v>241</v>
      </c>
      <c r="K7" t="s">
        <v>242</v>
      </c>
      <c r="L7">
        <v>1346</v>
      </c>
      <c r="N7">
        <v>1009</v>
      </c>
      <c r="O7" t="s">
        <v>243</v>
      </c>
      <c r="P7" t="s">
        <v>243</v>
      </c>
      <c r="Q7">
        <v>1</v>
      </c>
      <c r="X7">
        <v>1E-3</v>
      </c>
      <c r="Y7">
        <v>155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1E-3</v>
      </c>
      <c r="AH7">
        <v>2</v>
      </c>
      <c r="AI7">
        <v>22714297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ROW(Source!A64)</f>
        <v>64</v>
      </c>
      <c r="B8">
        <v>22714311</v>
      </c>
      <c r="C8">
        <v>22714290</v>
      </c>
      <c r="D8">
        <v>1413803</v>
      </c>
      <c r="E8">
        <v>1</v>
      </c>
      <c r="F8">
        <v>1</v>
      </c>
      <c r="G8">
        <v>1</v>
      </c>
      <c r="H8">
        <v>3</v>
      </c>
      <c r="I8" t="s">
        <v>244</v>
      </c>
      <c r="J8" t="s">
        <v>245</v>
      </c>
      <c r="K8" t="s">
        <v>246</v>
      </c>
      <c r="L8">
        <v>1346</v>
      </c>
      <c r="N8">
        <v>1009</v>
      </c>
      <c r="O8" t="s">
        <v>243</v>
      </c>
      <c r="P8" t="s">
        <v>243</v>
      </c>
      <c r="Q8">
        <v>1</v>
      </c>
      <c r="X8">
        <v>6.0000000000000001E-3</v>
      </c>
      <c r="Y8">
        <v>23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6.0000000000000001E-3</v>
      </c>
      <c r="AH8">
        <v>2</v>
      </c>
      <c r="AI8">
        <v>22714298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ROW(Source!A64)</f>
        <v>64</v>
      </c>
      <c r="B9">
        <v>22714312</v>
      </c>
      <c r="C9">
        <v>22714290</v>
      </c>
      <c r="D9">
        <v>1444122</v>
      </c>
      <c r="E9">
        <v>1</v>
      </c>
      <c r="F9">
        <v>1</v>
      </c>
      <c r="G9">
        <v>1</v>
      </c>
      <c r="H9">
        <v>3</v>
      </c>
      <c r="I9" t="s">
        <v>247</v>
      </c>
      <c r="J9" t="s">
        <v>248</v>
      </c>
      <c r="K9" t="s">
        <v>249</v>
      </c>
      <c r="L9">
        <v>1354</v>
      </c>
      <c r="N9">
        <v>1010</v>
      </c>
      <c r="O9" t="s">
        <v>20</v>
      </c>
      <c r="P9" t="s">
        <v>20</v>
      </c>
      <c r="Q9">
        <v>1</v>
      </c>
      <c r="X9">
        <v>4</v>
      </c>
      <c r="Y9">
        <v>2.0299999999999998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4</v>
      </c>
      <c r="AH9">
        <v>2</v>
      </c>
      <c r="AI9">
        <v>22714299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ROW(Source!A64)</f>
        <v>64</v>
      </c>
      <c r="B10">
        <v>22714313</v>
      </c>
      <c r="C10">
        <v>22714290</v>
      </c>
      <c r="D10">
        <v>1444286</v>
      </c>
      <c r="E10">
        <v>1</v>
      </c>
      <c r="F10">
        <v>1</v>
      </c>
      <c r="G10">
        <v>1</v>
      </c>
      <c r="H10">
        <v>3</v>
      </c>
      <c r="I10" t="s">
        <v>250</v>
      </c>
      <c r="J10" t="s">
        <v>251</v>
      </c>
      <c r="K10" t="s">
        <v>252</v>
      </c>
      <c r="L10">
        <v>1346</v>
      </c>
      <c r="N10">
        <v>1009</v>
      </c>
      <c r="O10" t="s">
        <v>243</v>
      </c>
      <c r="P10" t="s">
        <v>243</v>
      </c>
      <c r="Q10">
        <v>1</v>
      </c>
      <c r="X10">
        <v>0.11799999999999999</v>
      </c>
      <c r="Y10">
        <v>38.340000000000003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0.11799999999999999</v>
      </c>
      <c r="AH10">
        <v>2</v>
      </c>
      <c r="AI10">
        <v>22714300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ROW(Source!A64)</f>
        <v>64</v>
      </c>
      <c r="B11">
        <v>22714314</v>
      </c>
      <c r="C11">
        <v>22714290</v>
      </c>
      <c r="D11">
        <v>1448345</v>
      </c>
      <c r="E11">
        <v>1</v>
      </c>
      <c r="F11">
        <v>1</v>
      </c>
      <c r="G11">
        <v>1</v>
      </c>
      <c r="H11">
        <v>3</v>
      </c>
      <c r="I11" t="s">
        <v>253</v>
      </c>
      <c r="J11" t="s">
        <v>254</v>
      </c>
      <c r="K11" t="s">
        <v>255</v>
      </c>
      <c r="L11">
        <v>1348</v>
      </c>
      <c r="N11">
        <v>1009</v>
      </c>
      <c r="O11" t="s">
        <v>233</v>
      </c>
      <c r="P11" t="s">
        <v>233</v>
      </c>
      <c r="Q11">
        <v>1000</v>
      </c>
      <c r="X11">
        <v>4.4000000000000002E-4</v>
      </c>
      <c r="Y11">
        <v>75162.289999999994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4.4000000000000002E-4</v>
      </c>
      <c r="AH11">
        <v>2</v>
      </c>
      <c r="AI11">
        <v>22714301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ROW(Source!A64)</f>
        <v>64</v>
      </c>
      <c r="B12">
        <v>22714315</v>
      </c>
      <c r="C12">
        <v>22714290</v>
      </c>
      <c r="D12">
        <v>1452250</v>
      </c>
      <c r="E12">
        <v>1</v>
      </c>
      <c r="F12">
        <v>1</v>
      </c>
      <c r="G12">
        <v>1</v>
      </c>
      <c r="H12">
        <v>3</v>
      </c>
      <c r="I12" t="s">
        <v>256</v>
      </c>
      <c r="J12" t="s">
        <v>257</v>
      </c>
      <c r="K12" t="s">
        <v>258</v>
      </c>
      <c r="L12">
        <v>1346</v>
      </c>
      <c r="N12">
        <v>1009</v>
      </c>
      <c r="O12" t="s">
        <v>243</v>
      </c>
      <c r="P12" t="s">
        <v>243</v>
      </c>
      <c r="Q12">
        <v>1</v>
      </c>
      <c r="X12">
        <v>1.7000000000000001E-2</v>
      </c>
      <c r="Y12">
        <v>114.22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1.7000000000000001E-2</v>
      </c>
      <c r="AH12">
        <v>2</v>
      </c>
      <c r="AI12">
        <v>22714302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ROW(Source!A64)</f>
        <v>64</v>
      </c>
      <c r="B13">
        <v>22714316</v>
      </c>
      <c r="C13">
        <v>22714290</v>
      </c>
      <c r="D13">
        <v>1465746</v>
      </c>
      <c r="E13">
        <v>1</v>
      </c>
      <c r="F13">
        <v>1</v>
      </c>
      <c r="G13">
        <v>1</v>
      </c>
      <c r="H13">
        <v>3</v>
      </c>
      <c r="I13" t="s">
        <v>259</v>
      </c>
      <c r="J13" t="s">
        <v>260</v>
      </c>
      <c r="K13" t="s">
        <v>261</v>
      </c>
      <c r="L13">
        <v>1346</v>
      </c>
      <c r="N13">
        <v>1009</v>
      </c>
      <c r="O13" t="s">
        <v>243</v>
      </c>
      <c r="P13" t="s">
        <v>243</v>
      </c>
      <c r="Q13">
        <v>1</v>
      </c>
      <c r="X13">
        <v>0.01</v>
      </c>
      <c r="Y13">
        <v>138.76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0.01</v>
      </c>
      <c r="AH13">
        <v>2</v>
      </c>
      <c r="AI13">
        <v>22714303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ROW(Source!A64)</f>
        <v>64</v>
      </c>
      <c r="B14">
        <v>22714317</v>
      </c>
      <c r="C14">
        <v>22714290</v>
      </c>
      <c r="D14">
        <v>1466443</v>
      </c>
      <c r="E14">
        <v>1</v>
      </c>
      <c r="F14">
        <v>1</v>
      </c>
      <c r="G14">
        <v>1</v>
      </c>
      <c r="H14">
        <v>3</v>
      </c>
      <c r="I14" t="s">
        <v>439</v>
      </c>
      <c r="J14" t="s">
        <v>440</v>
      </c>
      <c r="K14" t="s">
        <v>421</v>
      </c>
      <c r="L14">
        <v>1348</v>
      </c>
      <c r="N14">
        <v>1009</v>
      </c>
      <c r="O14" t="s">
        <v>233</v>
      </c>
      <c r="P14" t="s">
        <v>233</v>
      </c>
      <c r="Q14">
        <v>1000</v>
      </c>
      <c r="X14">
        <v>0.11899999999999999</v>
      </c>
      <c r="Y14">
        <v>0</v>
      </c>
      <c r="Z14">
        <v>0</v>
      </c>
      <c r="AA14">
        <v>0</v>
      </c>
      <c r="AB14">
        <v>0</v>
      </c>
      <c r="AC14">
        <v>1</v>
      </c>
      <c r="AD14">
        <v>0</v>
      </c>
      <c r="AE14">
        <v>0</v>
      </c>
      <c r="AF14" t="s">
        <v>3</v>
      </c>
      <c r="AG14">
        <v>0.11899999999999999</v>
      </c>
      <c r="AH14">
        <v>3</v>
      </c>
      <c r="AI14">
        <v>-1</v>
      </c>
      <c r="AJ14" t="s">
        <v>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ROW(Source!A65)</f>
        <v>65</v>
      </c>
      <c r="B15">
        <v>22714327</v>
      </c>
      <c r="C15">
        <v>22714318</v>
      </c>
      <c r="D15">
        <v>121660</v>
      </c>
      <c r="E15">
        <v>1</v>
      </c>
      <c r="F15">
        <v>1</v>
      </c>
      <c r="G15">
        <v>1</v>
      </c>
      <c r="H15">
        <v>1</v>
      </c>
      <c r="I15" t="s">
        <v>262</v>
      </c>
      <c r="J15" t="s">
        <v>3</v>
      </c>
      <c r="K15" t="s">
        <v>263</v>
      </c>
      <c r="L15">
        <v>1369</v>
      </c>
      <c r="N15">
        <v>1013</v>
      </c>
      <c r="O15" t="s">
        <v>222</v>
      </c>
      <c r="P15" t="s">
        <v>222</v>
      </c>
      <c r="Q15">
        <v>1</v>
      </c>
      <c r="X15">
        <v>15</v>
      </c>
      <c r="Y15">
        <v>0</v>
      </c>
      <c r="Z15">
        <v>0</v>
      </c>
      <c r="AA15">
        <v>0</v>
      </c>
      <c r="AB15">
        <v>10.35</v>
      </c>
      <c r="AC15">
        <v>0</v>
      </c>
      <c r="AD15">
        <v>1</v>
      </c>
      <c r="AE15">
        <v>1</v>
      </c>
      <c r="AF15" t="s">
        <v>3</v>
      </c>
      <c r="AG15">
        <v>15</v>
      </c>
      <c r="AH15">
        <v>2</v>
      </c>
      <c r="AI15">
        <v>22714319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ROW(Source!A65)</f>
        <v>65</v>
      </c>
      <c r="B16">
        <v>22714328</v>
      </c>
      <c r="C16">
        <v>22714318</v>
      </c>
      <c r="D16">
        <v>1404454</v>
      </c>
      <c r="E16">
        <v>1</v>
      </c>
      <c r="F16">
        <v>1</v>
      </c>
      <c r="G16">
        <v>1</v>
      </c>
      <c r="H16">
        <v>3</v>
      </c>
      <c r="I16" t="s">
        <v>264</v>
      </c>
      <c r="J16" t="s">
        <v>265</v>
      </c>
      <c r="K16" t="s">
        <v>266</v>
      </c>
      <c r="L16">
        <v>1346</v>
      </c>
      <c r="N16">
        <v>1009</v>
      </c>
      <c r="O16" t="s">
        <v>243</v>
      </c>
      <c r="P16" t="s">
        <v>243</v>
      </c>
      <c r="Q16">
        <v>1</v>
      </c>
      <c r="X16">
        <v>8.8999999999999996E-2</v>
      </c>
      <c r="Y16">
        <v>27.74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8.8999999999999996E-2</v>
      </c>
      <c r="AH16">
        <v>2</v>
      </c>
      <c r="AI16">
        <v>22714320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ROW(Source!A65)</f>
        <v>65</v>
      </c>
      <c r="B17">
        <v>22714329</v>
      </c>
      <c r="C17">
        <v>22714318</v>
      </c>
      <c r="D17">
        <v>1404654</v>
      </c>
      <c r="E17">
        <v>1</v>
      </c>
      <c r="F17">
        <v>1</v>
      </c>
      <c r="G17">
        <v>1</v>
      </c>
      <c r="H17">
        <v>3</v>
      </c>
      <c r="I17" t="s">
        <v>240</v>
      </c>
      <c r="J17" t="s">
        <v>241</v>
      </c>
      <c r="K17" t="s">
        <v>242</v>
      </c>
      <c r="L17">
        <v>1346</v>
      </c>
      <c r="N17">
        <v>1009</v>
      </c>
      <c r="O17" t="s">
        <v>243</v>
      </c>
      <c r="P17" t="s">
        <v>243</v>
      </c>
      <c r="Q17">
        <v>1</v>
      </c>
      <c r="X17">
        <v>0.12</v>
      </c>
      <c r="Y17">
        <v>155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0.12</v>
      </c>
      <c r="AH17">
        <v>2</v>
      </c>
      <c r="AI17">
        <v>22714321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ROW(Source!A65)</f>
        <v>65</v>
      </c>
      <c r="B18">
        <v>22714330</v>
      </c>
      <c r="C18">
        <v>22714318</v>
      </c>
      <c r="D18">
        <v>1413803</v>
      </c>
      <c r="E18">
        <v>1</v>
      </c>
      <c r="F18">
        <v>1</v>
      </c>
      <c r="G18">
        <v>1</v>
      </c>
      <c r="H18">
        <v>3</v>
      </c>
      <c r="I18" t="s">
        <v>244</v>
      </c>
      <c r="J18" t="s">
        <v>245</v>
      </c>
      <c r="K18" t="s">
        <v>246</v>
      </c>
      <c r="L18">
        <v>1346</v>
      </c>
      <c r="N18">
        <v>1009</v>
      </c>
      <c r="O18" t="s">
        <v>243</v>
      </c>
      <c r="P18" t="s">
        <v>243</v>
      </c>
      <c r="Q18">
        <v>1</v>
      </c>
      <c r="X18">
        <v>0.17799999999999999</v>
      </c>
      <c r="Y18">
        <v>23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0.17799999999999999</v>
      </c>
      <c r="AH18">
        <v>2</v>
      </c>
      <c r="AI18">
        <v>22714322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ROW(Source!A65)</f>
        <v>65</v>
      </c>
      <c r="B19">
        <v>22714331</v>
      </c>
      <c r="C19">
        <v>22714318</v>
      </c>
      <c r="D19">
        <v>1413830</v>
      </c>
      <c r="E19">
        <v>1</v>
      </c>
      <c r="F19">
        <v>1</v>
      </c>
      <c r="G19">
        <v>1</v>
      </c>
      <c r="H19">
        <v>3</v>
      </c>
      <c r="I19" t="s">
        <v>267</v>
      </c>
      <c r="J19" t="s">
        <v>268</v>
      </c>
      <c r="K19" t="s">
        <v>269</v>
      </c>
      <c r="L19">
        <v>1346</v>
      </c>
      <c r="N19">
        <v>1009</v>
      </c>
      <c r="O19" t="s">
        <v>243</v>
      </c>
      <c r="P19" t="s">
        <v>243</v>
      </c>
      <c r="Q19">
        <v>1</v>
      </c>
      <c r="X19">
        <v>0.31</v>
      </c>
      <c r="Y19">
        <v>38.89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0.31</v>
      </c>
      <c r="AH19">
        <v>2</v>
      </c>
      <c r="AI19">
        <v>22714323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ROW(Source!A65)</f>
        <v>65</v>
      </c>
      <c r="B20">
        <v>22714332</v>
      </c>
      <c r="C20">
        <v>22714318</v>
      </c>
      <c r="D20">
        <v>1438842</v>
      </c>
      <c r="E20">
        <v>1</v>
      </c>
      <c r="F20">
        <v>1</v>
      </c>
      <c r="G20">
        <v>1</v>
      </c>
      <c r="H20">
        <v>3</v>
      </c>
      <c r="I20" t="s">
        <v>270</v>
      </c>
      <c r="J20" t="s">
        <v>271</v>
      </c>
      <c r="K20" t="s">
        <v>272</v>
      </c>
      <c r="L20">
        <v>1383</v>
      </c>
      <c r="N20">
        <v>1013</v>
      </c>
      <c r="O20" t="s">
        <v>273</v>
      </c>
      <c r="P20" t="s">
        <v>273</v>
      </c>
      <c r="Q20">
        <v>1</v>
      </c>
      <c r="X20">
        <v>10</v>
      </c>
      <c r="Y20">
        <v>0.43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10</v>
      </c>
      <c r="AH20">
        <v>2</v>
      </c>
      <c r="AI20">
        <v>22714324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ROW(Source!A65)</f>
        <v>65</v>
      </c>
      <c r="B21">
        <v>22714333</v>
      </c>
      <c r="C21">
        <v>22714318</v>
      </c>
      <c r="D21">
        <v>1444286</v>
      </c>
      <c r="E21">
        <v>1</v>
      </c>
      <c r="F21">
        <v>1</v>
      </c>
      <c r="G21">
        <v>1</v>
      </c>
      <c r="H21">
        <v>3</v>
      </c>
      <c r="I21" t="s">
        <v>250</v>
      </c>
      <c r="J21" t="s">
        <v>251</v>
      </c>
      <c r="K21" t="s">
        <v>252</v>
      </c>
      <c r="L21">
        <v>1346</v>
      </c>
      <c r="N21">
        <v>1009</v>
      </c>
      <c r="O21" t="s">
        <v>243</v>
      </c>
      <c r="P21" t="s">
        <v>243</v>
      </c>
      <c r="Q21">
        <v>1</v>
      </c>
      <c r="X21">
        <v>0.06</v>
      </c>
      <c r="Y21">
        <v>38.340000000000003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0.06</v>
      </c>
      <c r="AH21">
        <v>2</v>
      </c>
      <c r="AI21">
        <v>22714325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ROW(Source!A65)</f>
        <v>65</v>
      </c>
      <c r="B22">
        <v>22714334</v>
      </c>
      <c r="C22">
        <v>22714318</v>
      </c>
      <c r="D22">
        <v>1452252</v>
      </c>
      <c r="E22">
        <v>1</v>
      </c>
      <c r="F22">
        <v>1</v>
      </c>
      <c r="G22">
        <v>1</v>
      </c>
      <c r="H22">
        <v>3</v>
      </c>
      <c r="I22" t="s">
        <v>274</v>
      </c>
      <c r="J22" t="s">
        <v>275</v>
      </c>
      <c r="K22" t="s">
        <v>276</v>
      </c>
      <c r="L22">
        <v>1346</v>
      </c>
      <c r="N22">
        <v>1009</v>
      </c>
      <c r="O22" t="s">
        <v>243</v>
      </c>
      <c r="P22" t="s">
        <v>243</v>
      </c>
      <c r="Q22">
        <v>1</v>
      </c>
      <c r="X22">
        <v>8.8999999999999996E-2</v>
      </c>
      <c r="Y22">
        <v>65.75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8.8999999999999996E-2</v>
      </c>
      <c r="AH22">
        <v>2</v>
      </c>
      <c r="AI22">
        <v>22714326</v>
      </c>
      <c r="AJ22">
        <v>21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ROW(Source!A65)</f>
        <v>65</v>
      </c>
      <c r="B23">
        <v>22714335</v>
      </c>
      <c r="C23">
        <v>22714318</v>
      </c>
      <c r="D23">
        <v>1466443</v>
      </c>
      <c r="E23">
        <v>1</v>
      </c>
      <c r="F23">
        <v>1</v>
      </c>
      <c r="G23">
        <v>1</v>
      </c>
      <c r="H23">
        <v>3</v>
      </c>
      <c r="I23" t="s">
        <v>439</v>
      </c>
      <c r="J23" t="s">
        <v>440</v>
      </c>
      <c r="K23" t="s">
        <v>421</v>
      </c>
      <c r="L23">
        <v>1348</v>
      </c>
      <c r="N23">
        <v>1009</v>
      </c>
      <c r="O23" t="s">
        <v>233</v>
      </c>
      <c r="P23" t="s">
        <v>233</v>
      </c>
      <c r="Q23">
        <v>1000</v>
      </c>
      <c r="X23">
        <v>1.4E-2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 t="s">
        <v>3</v>
      </c>
      <c r="AG23">
        <v>1.4E-2</v>
      </c>
      <c r="AH23">
        <v>3</v>
      </c>
      <c r="AI23">
        <v>-1</v>
      </c>
      <c r="AJ23" t="s">
        <v>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ROW(Source!A66)</f>
        <v>66</v>
      </c>
      <c r="B24">
        <v>22714342</v>
      </c>
      <c r="C24">
        <v>22714336</v>
      </c>
      <c r="D24">
        <v>11610940</v>
      </c>
      <c r="E24">
        <v>1</v>
      </c>
      <c r="F24">
        <v>1</v>
      </c>
      <c r="G24">
        <v>1</v>
      </c>
      <c r="H24">
        <v>1</v>
      </c>
      <c r="I24" t="s">
        <v>277</v>
      </c>
      <c r="J24" t="s">
        <v>3</v>
      </c>
      <c r="K24" t="s">
        <v>278</v>
      </c>
      <c r="L24">
        <v>1369</v>
      </c>
      <c r="N24">
        <v>1013</v>
      </c>
      <c r="O24" t="s">
        <v>222</v>
      </c>
      <c r="P24" t="s">
        <v>222</v>
      </c>
      <c r="Q24">
        <v>1</v>
      </c>
      <c r="X24">
        <v>8</v>
      </c>
      <c r="Y24">
        <v>0</v>
      </c>
      <c r="Z24">
        <v>0</v>
      </c>
      <c r="AA24">
        <v>0</v>
      </c>
      <c r="AB24">
        <v>9.07</v>
      </c>
      <c r="AC24">
        <v>0</v>
      </c>
      <c r="AD24">
        <v>1</v>
      </c>
      <c r="AE24">
        <v>1</v>
      </c>
      <c r="AF24" t="s">
        <v>3</v>
      </c>
      <c r="AG24">
        <v>8</v>
      </c>
      <c r="AH24">
        <v>2</v>
      </c>
      <c r="AI24">
        <v>22714337</v>
      </c>
      <c r="AJ24">
        <v>22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ROW(Source!A66)</f>
        <v>66</v>
      </c>
      <c r="B25">
        <v>22714343</v>
      </c>
      <c r="C25">
        <v>22714336</v>
      </c>
      <c r="D25">
        <v>16708612</v>
      </c>
      <c r="E25">
        <v>1</v>
      </c>
      <c r="F25">
        <v>1</v>
      </c>
      <c r="G25">
        <v>1</v>
      </c>
      <c r="H25">
        <v>3</v>
      </c>
      <c r="I25" t="s">
        <v>240</v>
      </c>
      <c r="J25" t="s">
        <v>279</v>
      </c>
      <c r="K25" t="s">
        <v>280</v>
      </c>
      <c r="L25">
        <v>1346</v>
      </c>
      <c r="N25">
        <v>1009</v>
      </c>
      <c r="O25" t="s">
        <v>243</v>
      </c>
      <c r="P25" t="s">
        <v>243</v>
      </c>
      <c r="Q25">
        <v>1</v>
      </c>
      <c r="X25">
        <v>5.0000000000000001E-4</v>
      </c>
      <c r="Y25">
        <v>155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5.0000000000000001E-4</v>
      </c>
      <c r="AH25">
        <v>2</v>
      </c>
      <c r="AI25">
        <v>22714338</v>
      </c>
      <c r="AJ25">
        <v>23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ROW(Source!A66)</f>
        <v>66</v>
      </c>
      <c r="B26">
        <v>22714344</v>
      </c>
      <c r="C26">
        <v>22714336</v>
      </c>
      <c r="D26">
        <v>16758143</v>
      </c>
      <c r="E26">
        <v>1</v>
      </c>
      <c r="F26">
        <v>1</v>
      </c>
      <c r="G26">
        <v>1</v>
      </c>
      <c r="H26">
        <v>3</v>
      </c>
      <c r="I26" t="s">
        <v>281</v>
      </c>
      <c r="J26" t="s">
        <v>282</v>
      </c>
      <c r="K26" t="s">
        <v>283</v>
      </c>
      <c r="L26">
        <v>1355</v>
      </c>
      <c r="N26">
        <v>1010</v>
      </c>
      <c r="O26" t="s">
        <v>284</v>
      </c>
      <c r="P26" t="s">
        <v>284</v>
      </c>
      <c r="Q26">
        <v>100</v>
      </c>
      <c r="X26">
        <v>0.02</v>
      </c>
      <c r="Y26">
        <v>30.74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0.02</v>
      </c>
      <c r="AH26">
        <v>2</v>
      </c>
      <c r="AI26">
        <v>22714339</v>
      </c>
      <c r="AJ26">
        <v>24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ROW(Source!A66)</f>
        <v>66</v>
      </c>
      <c r="B27">
        <v>22714345</v>
      </c>
      <c r="C27">
        <v>22714336</v>
      </c>
      <c r="D27">
        <v>16745393</v>
      </c>
      <c r="E27">
        <v>1</v>
      </c>
      <c r="F27">
        <v>1</v>
      </c>
      <c r="G27">
        <v>1</v>
      </c>
      <c r="H27">
        <v>3</v>
      </c>
      <c r="I27" t="s">
        <v>285</v>
      </c>
      <c r="J27" t="s">
        <v>286</v>
      </c>
      <c r="K27" t="s">
        <v>287</v>
      </c>
      <c r="L27">
        <v>1346</v>
      </c>
      <c r="N27">
        <v>1009</v>
      </c>
      <c r="O27" t="s">
        <v>243</v>
      </c>
      <c r="P27" t="s">
        <v>243</v>
      </c>
      <c r="Q27">
        <v>1</v>
      </c>
      <c r="X27">
        <v>6.0000000000000001E-3</v>
      </c>
      <c r="Y27">
        <v>68.05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6.0000000000000001E-3</v>
      </c>
      <c r="AH27">
        <v>2</v>
      </c>
      <c r="AI27">
        <v>22714340</v>
      </c>
      <c r="AJ27">
        <v>25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ROW(Source!A66)</f>
        <v>66</v>
      </c>
      <c r="B28">
        <v>22714346</v>
      </c>
      <c r="C28">
        <v>22714336</v>
      </c>
      <c r="D28">
        <v>16767417</v>
      </c>
      <c r="E28">
        <v>1</v>
      </c>
      <c r="F28">
        <v>1</v>
      </c>
      <c r="G28">
        <v>1</v>
      </c>
      <c r="H28">
        <v>3</v>
      </c>
      <c r="I28" t="s">
        <v>288</v>
      </c>
      <c r="J28" t="s">
        <v>289</v>
      </c>
      <c r="K28" t="s">
        <v>290</v>
      </c>
      <c r="L28">
        <v>1354</v>
      </c>
      <c r="N28">
        <v>1010</v>
      </c>
      <c r="O28" t="s">
        <v>20</v>
      </c>
      <c r="P28" t="s">
        <v>20</v>
      </c>
      <c r="Q28">
        <v>1</v>
      </c>
      <c r="X28">
        <v>2</v>
      </c>
      <c r="Y28">
        <v>5.8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2</v>
      </c>
      <c r="AH28">
        <v>2</v>
      </c>
      <c r="AI28">
        <v>22714341</v>
      </c>
      <c r="AJ28">
        <v>26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ROW(Source!A66)</f>
        <v>66</v>
      </c>
      <c r="B29">
        <v>22714347</v>
      </c>
      <c r="C29">
        <v>22714336</v>
      </c>
      <c r="D29">
        <v>16745434</v>
      </c>
      <c r="E29">
        <v>1</v>
      </c>
      <c r="F29">
        <v>1</v>
      </c>
      <c r="G29">
        <v>1</v>
      </c>
      <c r="H29">
        <v>3</v>
      </c>
      <c r="I29" t="s">
        <v>419</v>
      </c>
      <c r="J29" t="s">
        <v>420</v>
      </c>
      <c r="K29" t="s">
        <v>421</v>
      </c>
      <c r="L29">
        <v>11612290</v>
      </c>
      <c r="N29">
        <v>1009</v>
      </c>
      <c r="O29" t="s">
        <v>233</v>
      </c>
      <c r="P29" t="s">
        <v>422</v>
      </c>
      <c r="Q29">
        <v>1000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0</v>
      </c>
      <c r="AE29">
        <v>0</v>
      </c>
      <c r="AF29" t="s">
        <v>3</v>
      </c>
      <c r="AG29">
        <v>0</v>
      </c>
      <c r="AH29">
        <v>3</v>
      </c>
      <c r="AI29">
        <v>-1</v>
      </c>
      <c r="AJ29" t="s">
        <v>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ROW(Source!A67)</f>
        <v>67</v>
      </c>
      <c r="B30">
        <v>22714352</v>
      </c>
      <c r="C30">
        <v>22714348</v>
      </c>
      <c r="D30">
        <v>11610934</v>
      </c>
      <c r="E30">
        <v>1</v>
      </c>
      <c r="F30">
        <v>1</v>
      </c>
      <c r="G30">
        <v>1</v>
      </c>
      <c r="H30">
        <v>1</v>
      </c>
      <c r="I30" t="s">
        <v>291</v>
      </c>
      <c r="J30" t="s">
        <v>3</v>
      </c>
      <c r="K30" t="s">
        <v>292</v>
      </c>
      <c r="L30">
        <v>1369</v>
      </c>
      <c r="N30">
        <v>1013</v>
      </c>
      <c r="O30" t="s">
        <v>222</v>
      </c>
      <c r="P30" t="s">
        <v>222</v>
      </c>
      <c r="Q30">
        <v>1</v>
      </c>
      <c r="X30">
        <v>2.1800000000000002</v>
      </c>
      <c r="Y30">
        <v>0</v>
      </c>
      <c r="Z30">
        <v>0</v>
      </c>
      <c r="AA30">
        <v>0</v>
      </c>
      <c r="AB30">
        <v>11.09</v>
      </c>
      <c r="AC30">
        <v>0</v>
      </c>
      <c r="AD30">
        <v>1</v>
      </c>
      <c r="AE30">
        <v>1</v>
      </c>
      <c r="AF30" t="s">
        <v>3</v>
      </c>
      <c r="AG30">
        <v>2.1800000000000002</v>
      </c>
      <c r="AH30">
        <v>2</v>
      </c>
      <c r="AI30">
        <v>22714349</v>
      </c>
      <c r="AJ30">
        <v>27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ROW(Source!A67)</f>
        <v>67</v>
      </c>
      <c r="B31">
        <v>22714353</v>
      </c>
      <c r="C31">
        <v>22714348</v>
      </c>
      <c r="D31">
        <v>121548</v>
      </c>
      <c r="E31">
        <v>1</v>
      </c>
      <c r="F31">
        <v>1</v>
      </c>
      <c r="G31">
        <v>1</v>
      </c>
      <c r="H31">
        <v>1</v>
      </c>
      <c r="I31" t="s">
        <v>25</v>
      </c>
      <c r="J31" t="s">
        <v>3</v>
      </c>
      <c r="K31" t="s">
        <v>223</v>
      </c>
      <c r="L31">
        <v>608254</v>
      </c>
      <c r="N31">
        <v>1013</v>
      </c>
      <c r="O31" t="s">
        <v>224</v>
      </c>
      <c r="P31" t="s">
        <v>224</v>
      </c>
      <c r="Q31">
        <v>1</v>
      </c>
      <c r="X31">
        <v>0.01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2</v>
      </c>
      <c r="AF31" t="s">
        <v>3</v>
      </c>
      <c r="AG31">
        <v>0.01</v>
      </c>
      <c r="AH31">
        <v>2</v>
      </c>
      <c r="AI31">
        <v>22714350</v>
      </c>
      <c r="AJ31">
        <v>28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ROW(Source!A67)</f>
        <v>67</v>
      </c>
      <c r="B32">
        <v>22714354</v>
      </c>
      <c r="C32">
        <v>22714348</v>
      </c>
      <c r="D32">
        <v>16745744</v>
      </c>
      <c r="E32">
        <v>1</v>
      </c>
      <c r="F32">
        <v>1</v>
      </c>
      <c r="G32">
        <v>1</v>
      </c>
      <c r="H32">
        <v>2</v>
      </c>
      <c r="I32" t="s">
        <v>225</v>
      </c>
      <c r="J32" t="s">
        <v>293</v>
      </c>
      <c r="K32" t="s">
        <v>227</v>
      </c>
      <c r="L32">
        <v>1368</v>
      </c>
      <c r="N32">
        <v>1011</v>
      </c>
      <c r="O32" t="s">
        <v>294</v>
      </c>
      <c r="P32" t="s">
        <v>294</v>
      </c>
      <c r="Q32">
        <v>1</v>
      </c>
      <c r="X32">
        <v>0.01</v>
      </c>
      <c r="Y32">
        <v>0</v>
      </c>
      <c r="Z32">
        <v>89.99</v>
      </c>
      <c r="AA32">
        <v>10.06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0.01</v>
      </c>
      <c r="AH32">
        <v>2</v>
      </c>
      <c r="AI32">
        <v>22714351</v>
      </c>
      <c r="AJ32">
        <v>29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ROW(Source!A67)</f>
        <v>67</v>
      </c>
      <c r="B33">
        <v>22714355</v>
      </c>
      <c r="C33">
        <v>22714348</v>
      </c>
      <c r="D33">
        <v>16745434</v>
      </c>
      <c r="E33">
        <v>1</v>
      </c>
      <c r="F33">
        <v>1</v>
      </c>
      <c r="G33">
        <v>1</v>
      </c>
      <c r="H33">
        <v>3</v>
      </c>
      <c r="I33" t="s">
        <v>419</v>
      </c>
      <c r="J33" t="s">
        <v>420</v>
      </c>
      <c r="K33" t="s">
        <v>421</v>
      </c>
      <c r="L33">
        <v>11612290</v>
      </c>
      <c r="N33">
        <v>1009</v>
      </c>
      <c r="O33" t="s">
        <v>233</v>
      </c>
      <c r="P33" t="s">
        <v>422</v>
      </c>
      <c r="Q33">
        <v>1000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 t="s">
        <v>3</v>
      </c>
      <c r="AG33">
        <v>0</v>
      </c>
      <c r="AH33">
        <v>3</v>
      </c>
      <c r="AI33">
        <v>-1</v>
      </c>
      <c r="AJ33" t="s">
        <v>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ROW(Source!A68)</f>
        <v>68</v>
      </c>
      <c r="B34">
        <v>22714369</v>
      </c>
      <c r="C34">
        <v>22714356</v>
      </c>
      <c r="D34">
        <v>11610937</v>
      </c>
      <c r="E34">
        <v>1</v>
      </c>
      <c r="F34">
        <v>1</v>
      </c>
      <c r="G34">
        <v>1</v>
      </c>
      <c r="H34">
        <v>1</v>
      </c>
      <c r="I34" t="s">
        <v>295</v>
      </c>
      <c r="J34" t="s">
        <v>3</v>
      </c>
      <c r="K34" t="s">
        <v>296</v>
      </c>
      <c r="L34">
        <v>1369</v>
      </c>
      <c r="N34">
        <v>1013</v>
      </c>
      <c r="O34" t="s">
        <v>222</v>
      </c>
      <c r="P34" t="s">
        <v>222</v>
      </c>
      <c r="Q34">
        <v>1</v>
      </c>
      <c r="X34">
        <v>1.03</v>
      </c>
      <c r="Y34">
        <v>0</v>
      </c>
      <c r="Z34">
        <v>0</v>
      </c>
      <c r="AA34">
        <v>0</v>
      </c>
      <c r="AB34">
        <v>9.6199999999999992</v>
      </c>
      <c r="AC34">
        <v>0</v>
      </c>
      <c r="AD34">
        <v>1</v>
      </c>
      <c r="AE34">
        <v>1</v>
      </c>
      <c r="AF34" t="s">
        <v>3</v>
      </c>
      <c r="AG34">
        <v>1.03</v>
      </c>
      <c r="AH34">
        <v>2</v>
      </c>
      <c r="AI34">
        <v>22714357</v>
      </c>
      <c r="AJ34">
        <v>30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ROW(Source!A68)</f>
        <v>68</v>
      </c>
      <c r="B35">
        <v>22714370</v>
      </c>
      <c r="C35">
        <v>22714356</v>
      </c>
      <c r="D35">
        <v>16707527</v>
      </c>
      <c r="E35">
        <v>1</v>
      </c>
      <c r="F35">
        <v>1</v>
      </c>
      <c r="G35">
        <v>1</v>
      </c>
      <c r="H35">
        <v>3</v>
      </c>
      <c r="I35" t="s">
        <v>297</v>
      </c>
      <c r="J35" t="s">
        <v>298</v>
      </c>
      <c r="K35" t="s">
        <v>299</v>
      </c>
      <c r="L35">
        <v>1346</v>
      </c>
      <c r="N35">
        <v>1009</v>
      </c>
      <c r="O35" t="s">
        <v>243</v>
      </c>
      <c r="P35" t="s">
        <v>243</v>
      </c>
      <c r="Q35">
        <v>1</v>
      </c>
      <c r="X35">
        <v>3.3000000000000002E-2</v>
      </c>
      <c r="Y35">
        <v>13.56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3.3000000000000002E-2</v>
      </c>
      <c r="AH35">
        <v>2</v>
      </c>
      <c r="AI35">
        <v>22714358</v>
      </c>
      <c r="AJ35">
        <v>31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ROW(Source!A68)</f>
        <v>68</v>
      </c>
      <c r="B36">
        <v>22714371</v>
      </c>
      <c r="C36">
        <v>22714356</v>
      </c>
      <c r="D36">
        <v>16708254</v>
      </c>
      <c r="E36">
        <v>1</v>
      </c>
      <c r="F36">
        <v>1</v>
      </c>
      <c r="G36">
        <v>1</v>
      </c>
      <c r="H36">
        <v>3</v>
      </c>
      <c r="I36" t="s">
        <v>300</v>
      </c>
      <c r="J36" t="s">
        <v>301</v>
      </c>
      <c r="K36" t="s">
        <v>302</v>
      </c>
      <c r="L36">
        <v>1348</v>
      </c>
      <c r="N36">
        <v>1009</v>
      </c>
      <c r="O36" t="s">
        <v>233</v>
      </c>
      <c r="P36" t="s">
        <v>233</v>
      </c>
      <c r="Q36">
        <v>1000</v>
      </c>
      <c r="X36">
        <v>1.0000000000000001E-5</v>
      </c>
      <c r="Y36">
        <v>27921.97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1.0000000000000001E-5</v>
      </c>
      <c r="AH36">
        <v>2</v>
      </c>
      <c r="AI36">
        <v>22714359</v>
      </c>
      <c r="AJ36">
        <v>32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ROW(Source!A68)</f>
        <v>68</v>
      </c>
      <c r="B37">
        <v>22714372</v>
      </c>
      <c r="C37">
        <v>22714356</v>
      </c>
      <c r="D37">
        <v>16708540</v>
      </c>
      <c r="E37">
        <v>1</v>
      </c>
      <c r="F37">
        <v>1</v>
      </c>
      <c r="G37">
        <v>1</v>
      </c>
      <c r="H37">
        <v>3</v>
      </c>
      <c r="I37" t="s">
        <v>303</v>
      </c>
      <c r="J37" t="s">
        <v>304</v>
      </c>
      <c r="K37" t="s">
        <v>305</v>
      </c>
      <c r="L37">
        <v>1346</v>
      </c>
      <c r="N37">
        <v>1009</v>
      </c>
      <c r="O37" t="s">
        <v>243</v>
      </c>
      <c r="P37" t="s">
        <v>243</v>
      </c>
      <c r="Q37">
        <v>1</v>
      </c>
      <c r="X37">
        <v>1E-3</v>
      </c>
      <c r="Y37">
        <v>68.87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1E-3</v>
      </c>
      <c r="AH37">
        <v>2</v>
      </c>
      <c r="AI37">
        <v>22714360</v>
      </c>
      <c r="AJ37">
        <v>33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ROW(Source!A68)</f>
        <v>68</v>
      </c>
      <c r="B38">
        <v>22714373</v>
      </c>
      <c r="C38">
        <v>22714356</v>
      </c>
      <c r="D38">
        <v>16708611</v>
      </c>
      <c r="E38">
        <v>1</v>
      </c>
      <c r="F38">
        <v>1</v>
      </c>
      <c r="G38">
        <v>1</v>
      </c>
      <c r="H38">
        <v>3</v>
      </c>
      <c r="I38" t="s">
        <v>306</v>
      </c>
      <c r="J38" t="s">
        <v>307</v>
      </c>
      <c r="K38" t="s">
        <v>308</v>
      </c>
      <c r="L38">
        <v>1346</v>
      </c>
      <c r="N38">
        <v>1009</v>
      </c>
      <c r="O38" t="s">
        <v>243</v>
      </c>
      <c r="P38" t="s">
        <v>243</v>
      </c>
      <c r="Q38">
        <v>1</v>
      </c>
      <c r="X38">
        <v>1E-4</v>
      </c>
      <c r="Y38">
        <v>100.12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1E-4</v>
      </c>
      <c r="AH38">
        <v>2</v>
      </c>
      <c r="AI38">
        <v>22714361</v>
      </c>
      <c r="AJ38">
        <v>34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ROW(Source!A68)</f>
        <v>68</v>
      </c>
      <c r="B39">
        <v>22714374</v>
      </c>
      <c r="C39">
        <v>22714356</v>
      </c>
      <c r="D39">
        <v>16709079</v>
      </c>
      <c r="E39">
        <v>1</v>
      </c>
      <c r="F39">
        <v>1</v>
      </c>
      <c r="G39">
        <v>1</v>
      </c>
      <c r="H39">
        <v>3</v>
      </c>
      <c r="I39" t="s">
        <v>309</v>
      </c>
      <c r="J39" t="s">
        <v>310</v>
      </c>
      <c r="K39" t="s">
        <v>261</v>
      </c>
      <c r="L39">
        <v>1346</v>
      </c>
      <c r="N39">
        <v>1009</v>
      </c>
      <c r="O39" t="s">
        <v>243</v>
      </c>
      <c r="P39" t="s">
        <v>243</v>
      </c>
      <c r="Q39">
        <v>1</v>
      </c>
      <c r="X39">
        <v>2.0000000000000001E-4</v>
      </c>
      <c r="Y39">
        <v>138.76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2.0000000000000001E-4</v>
      </c>
      <c r="AH39">
        <v>2</v>
      </c>
      <c r="AI39">
        <v>22714362</v>
      </c>
      <c r="AJ39">
        <v>35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ROW(Source!A68)</f>
        <v>68</v>
      </c>
      <c r="B40">
        <v>22714375</v>
      </c>
      <c r="C40">
        <v>22714356</v>
      </c>
      <c r="D40">
        <v>16709080</v>
      </c>
      <c r="E40">
        <v>1</v>
      </c>
      <c r="F40">
        <v>1</v>
      </c>
      <c r="G40">
        <v>1</v>
      </c>
      <c r="H40">
        <v>3</v>
      </c>
      <c r="I40" t="s">
        <v>311</v>
      </c>
      <c r="J40" t="s">
        <v>312</v>
      </c>
      <c r="K40" t="s">
        <v>313</v>
      </c>
      <c r="L40">
        <v>1346</v>
      </c>
      <c r="N40">
        <v>1009</v>
      </c>
      <c r="O40" t="s">
        <v>243</v>
      </c>
      <c r="P40" t="s">
        <v>243</v>
      </c>
      <c r="Q40">
        <v>1</v>
      </c>
      <c r="X40">
        <v>2.9999999999999997E-4</v>
      </c>
      <c r="Y40">
        <v>135.6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2.9999999999999997E-4</v>
      </c>
      <c r="AH40">
        <v>2</v>
      </c>
      <c r="AI40">
        <v>22714363</v>
      </c>
      <c r="AJ40">
        <v>36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ROW(Source!A68)</f>
        <v>68</v>
      </c>
      <c r="B41">
        <v>22714376</v>
      </c>
      <c r="C41">
        <v>22714356</v>
      </c>
      <c r="D41">
        <v>16758143</v>
      </c>
      <c r="E41">
        <v>1</v>
      </c>
      <c r="F41">
        <v>1</v>
      </c>
      <c r="G41">
        <v>1</v>
      </c>
      <c r="H41">
        <v>3</v>
      </c>
      <c r="I41" t="s">
        <v>281</v>
      </c>
      <c r="J41" t="s">
        <v>282</v>
      </c>
      <c r="K41" t="s">
        <v>283</v>
      </c>
      <c r="L41">
        <v>1355</v>
      </c>
      <c r="N41">
        <v>1010</v>
      </c>
      <c r="O41" t="s">
        <v>284</v>
      </c>
      <c r="P41" t="s">
        <v>284</v>
      </c>
      <c r="Q41">
        <v>100</v>
      </c>
      <c r="X41">
        <v>0.01</v>
      </c>
      <c r="Y41">
        <v>30.74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0.01</v>
      </c>
      <c r="AH41">
        <v>2</v>
      </c>
      <c r="AI41">
        <v>22714364</v>
      </c>
      <c r="AJ41">
        <v>37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ROW(Source!A68)</f>
        <v>68</v>
      </c>
      <c r="B42">
        <v>22714377</v>
      </c>
      <c r="C42">
        <v>22714356</v>
      </c>
      <c r="D42">
        <v>16744885</v>
      </c>
      <c r="E42">
        <v>1</v>
      </c>
      <c r="F42">
        <v>1</v>
      </c>
      <c r="G42">
        <v>1</v>
      </c>
      <c r="H42">
        <v>3</v>
      </c>
      <c r="I42" t="s">
        <v>314</v>
      </c>
      <c r="J42" t="s">
        <v>315</v>
      </c>
      <c r="K42" t="s">
        <v>316</v>
      </c>
      <c r="L42">
        <v>1348</v>
      </c>
      <c r="N42">
        <v>1009</v>
      </c>
      <c r="O42" t="s">
        <v>233</v>
      </c>
      <c r="P42" t="s">
        <v>233</v>
      </c>
      <c r="Q42">
        <v>1000</v>
      </c>
      <c r="X42">
        <v>1.0000000000000001E-5</v>
      </c>
      <c r="Y42">
        <v>37517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1.0000000000000001E-5</v>
      </c>
      <c r="AH42">
        <v>2</v>
      </c>
      <c r="AI42">
        <v>22714365</v>
      </c>
      <c r="AJ42">
        <v>38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ROW(Source!A68)</f>
        <v>68</v>
      </c>
      <c r="B43">
        <v>22714378</v>
      </c>
      <c r="C43">
        <v>22714356</v>
      </c>
      <c r="D43">
        <v>16745396</v>
      </c>
      <c r="E43">
        <v>1</v>
      </c>
      <c r="F43">
        <v>1</v>
      </c>
      <c r="G43">
        <v>1</v>
      </c>
      <c r="H43">
        <v>3</v>
      </c>
      <c r="I43" t="s">
        <v>317</v>
      </c>
      <c r="J43" t="s">
        <v>318</v>
      </c>
      <c r="K43" t="s">
        <v>319</v>
      </c>
      <c r="L43">
        <v>1346</v>
      </c>
      <c r="N43">
        <v>1009</v>
      </c>
      <c r="O43" t="s">
        <v>243</v>
      </c>
      <c r="P43" t="s">
        <v>243</v>
      </c>
      <c r="Q43">
        <v>1</v>
      </c>
      <c r="X43">
        <v>1.6000000000000001E-3</v>
      </c>
      <c r="Y43">
        <v>125.46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1.6000000000000001E-3</v>
      </c>
      <c r="AH43">
        <v>2</v>
      </c>
      <c r="AI43">
        <v>22714366</v>
      </c>
      <c r="AJ43">
        <v>39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ROW(Source!A68)</f>
        <v>68</v>
      </c>
      <c r="B44">
        <v>22714379</v>
      </c>
      <c r="C44">
        <v>22714356</v>
      </c>
      <c r="D44">
        <v>16762669</v>
      </c>
      <c r="E44">
        <v>1</v>
      </c>
      <c r="F44">
        <v>1</v>
      </c>
      <c r="G44">
        <v>1</v>
      </c>
      <c r="H44">
        <v>3</v>
      </c>
      <c r="I44" t="s">
        <v>320</v>
      </c>
      <c r="J44" t="s">
        <v>321</v>
      </c>
      <c r="K44" t="s">
        <v>322</v>
      </c>
      <c r="L44">
        <v>1346</v>
      </c>
      <c r="N44">
        <v>1009</v>
      </c>
      <c r="O44" t="s">
        <v>243</v>
      </c>
      <c r="P44" t="s">
        <v>243</v>
      </c>
      <c r="Q44">
        <v>1</v>
      </c>
      <c r="X44">
        <v>4.4999999999999997E-3</v>
      </c>
      <c r="Y44">
        <v>35.700000000000003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4.4999999999999997E-3</v>
      </c>
      <c r="AH44">
        <v>2</v>
      </c>
      <c r="AI44">
        <v>22714367</v>
      </c>
      <c r="AJ44">
        <v>40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ROW(Source!A68)</f>
        <v>68</v>
      </c>
      <c r="B45">
        <v>22714380</v>
      </c>
      <c r="C45">
        <v>22714356</v>
      </c>
      <c r="D45">
        <v>16767402</v>
      </c>
      <c r="E45">
        <v>1</v>
      </c>
      <c r="F45">
        <v>1</v>
      </c>
      <c r="G45">
        <v>1</v>
      </c>
      <c r="H45">
        <v>3</v>
      </c>
      <c r="I45" t="s">
        <v>323</v>
      </c>
      <c r="J45" t="s">
        <v>324</v>
      </c>
      <c r="K45" t="s">
        <v>325</v>
      </c>
      <c r="L45">
        <v>1354</v>
      </c>
      <c r="N45">
        <v>1010</v>
      </c>
      <c r="O45" t="s">
        <v>20</v>
      </c>
      <c r="P45" t="s">
        <v>20</v>
      </c>
      <c r="Q45">
        <v>1</v>
      </c>
      <c r="X45">
        <v>1</v>
      </c>
      <c r="Y45">
        <v>3.65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</v>
      </c>
      <c r="AH45">
        <v>2</v>
      </c>
      <c r="AI45">
        <v>22714368</v>
      </c>
      <c r="AJ45">
        <v>41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ROW(Source!A68)</f>
        <v>68</v>
      </c>
      <c r="B46">
        <v>22714381</v>
      </c>
      <c r="C46">
        <v>22714356</v>
      </c>
      <c r="D46">
        <v>16745434</v>
      </c>
      <c r="E46">
        <v>1</v>
      </c>
      <c r="F46">
        <v>1</v>
      </c>
      <c r="G46">
        <v>1</v>
      </c>
      <c r="H46">
        <v>3</v>
      </c>
      <c r="I46" t="s">
        <v>419</v>
      </c>
      <c r="J46" t="s">
        <v>420</v>
      </c>
      <c r="K46" t="s">
        <v>421</v>
      </c>
      <c r="L46">
        <v>11612290</v>
      </c>
      <c r="N46">
        <v>1009</v>
      </c>
      <c r="O46" t="s">
        <v>233</v>
      </c>
      <c r="P46" t="s">
        <v>422</v>
      </c>
      <c r="Q46">
        <v>1000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 t="s">
        <v>3</v>
      </c>
      <c r="AG46">
        <v>0</v>
      </c>
      <c r="AH46">
        <v>3</v>
      </c>
      <c r="AI46">
        <v>-1</v>
      </c>
      <c r="AJ46" t="s">
        <v>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ROW(Source!A69)</f>
        <v>69</v>
      </c>
      <c r="B47">
        <v>22714389</v>
      </c>
      <c r="C47">
        <v>22714382</v>
      </c>
      <c r="D47">
        <v>11610982</v>
      </c>
      <c r="E47">
        <v>1</v>
      </c>
      <c r="F47">
        <v>1</v>
      </c>
      <c r="G47">
        <v>1</v>
      </c>
      <c r="H47">
        <v>1</v>
      </c>
      <c r="I47" t="s">
        <v>326</v>
      </c>
      <c r="J47" t="s">
        <v>3</v>
      </c>
      <c r="K47" t="s">
        <v>327</v>
      </c>
      <c r="L47">
        <v>1369</v>
      </c>
      <c r="N47">
        <v>1013</v>
      </c>
      <c r="O47" t="s">
        <v>222</v>
      </c>
      <c r="P47" t="s">
        <v>222</v>
      </c>
      <c r="Q47">
        <v>1</v>
      </c>
      <c r="X47">
        <v>3.6</v>
      </c>
      <c r="Y47">
        <v>0</v>
      </c>
      <c r="Z47">
        <v>0</v>
      </c>
      <c r="AA47">
        <v>0</v>
      </c>
      <c r="AB47">
        <v>10.210000000000001</v>
      </c>
      <c r="AC47">
        <v>0</v>
      </c>
      <c r="AD47">
        <v>1</v>
      </c>
      <c r="AE47">
        <v>1</v>
      </c>
      <c r="AF47" t="s">
        <v>3</v>
      </c>
      <c r="AG47">
        <v>3.6</v>
      </c>
      <c r="AH47">
        <v>2</v>
      </c>
      <c r="AI47">
        <v>22714383</v>
      </c>
      <c r="AJ47">
        <v>42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ROW(Source!A69)</f>
        <v>69</v>
      </c>
      <c r="B48">
        <v>22714390</v>
      </c>
      <c r="C48">
        <v>22714382</v>
      </c>
      <c r="D48">
        <v>16747752</v>
      </c>
      <c r="E48">
        <v>1</v>
      </c>
      <c r="F48">
        <v>1</v>
      </c>
      <c r="G48">
        <v>1</v>
      </c>
      <c r="H48">
        <v>2</v>
      </c>
      <c r="I48" t="s">
        <v>328</v>
      </c>
      <c r="J48" t="s">
        <v>329</v>
      </c>
      <c r="K48" t="s">
        <v>330</v>
      </c>
      <c r="L48">
        <v>1368</v>
      </c>
      <c r="N48">
        <v>1011</v>
      </c>
      <c r="O48" t="s">
        <v>294</v>
      </c>
      <c r="P48" t="s">
        <v>294</v>
      </c>
      <c r="Q48">
        <v>1</v>
      </c>
      <c r="X48">
        <v>0.13</v>
      </c>
      <c r="Y48">
        <v>0</v>
      </c>
      <c r="Z48">
        <v>1.95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0.13</v>
      </c>
      <c r="AH48">
        <v>2</v>
      </c>
      <c r="AI48">
        <v>22714384</v>
      </c>
      <c r="AJ48">
        <v>43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ROW(Source!A69)</f>
        <v>69</v>
      </c>
      <c r="B49">
        <v>22714391</v>
      </c>
      <c r="C49">
        <v>22714382</v>
      </c>
      <c r="D49">
        <v>16708512</v>
      </c>
      <c r="E49">
        <v>1</v>
      </c>
      <c r="F49">
        <v>1</v>
      </c>
      <c r="G49">
        <v>1</v>
      </c>
      <c r="H49">
        <v>3</v>
      </c>
      <c r="I49" t="s">
        <v>264</v>
      </c>
      <c r="J49" t="s">
        <v>331</v>
      </c>
      <c r="K49" t="s">
        <v>266</v>
      </c>
      <c r="L49">
        <v>1346</v>
      </c>
      <c r="N49">
        <v>1009</v>
      </c>
      <c r="O49" t="s">
        <v>243</v>
      </c>
      <c r="P49" t="s">
        <v>243</v>
      </c>
      <c r="Q49">
        <v>1</v>
      </c>
      <c r="X49">
        <v>1.6000000000000001E-3</v>
      </c>
      <c r="Y49">
        <v>27.74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1.6000000000000001E-3</v>
      </c>
      <c r="AH49">
        <v>2</v>
      </c>
      <c r="AI49">
        <v>22714385</v>
      </c>
      <c r="AJ49">
        <v>44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ROW(Source!A69)</f>
        <v>69</v>
      </c>
      <c r="B50">
        <v>22714392</v>
      </c>
      <c r="C50">
        <v>22714382</v>
      </c>
      <c r="D50">
        <v>16708721</v>
      </c>
      <c r="E50">
        <v>1</v>
      </c>
      <c r="F50">
        <v>1</v>
      </c>
      <c r="G50">
        <v>1</v>
      </c>
      <c r="H50">
        <v>3</v>
      </c>
      <c r="I50" t="s">
        <v>332</v>
      </c>
      <c r="J50" t="s">
        <v>333</v>
      </c>
      <c r="K50" t="s">
        <v>334</v>
      </c>
      <c r="L50">
        <v>1358</v>
      </c>
      <c r="N50">
        <v>1010</v>
      </c>
      <c r="O50" t="s">
        <v>335</v>
      </c>
      <c r="P50" t="s">
        <v>335</v>
      </c>
      <c r="Q50">
        <v>10</v>
      </c>
      <c r="X50">
        <v>0.3</v>
      </c>
      <c r="Y50">
        <v>8.3000000000000007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0.3</v>
      </c>
      <c r="AH50">
        <v>2</v>
      </c>
      <c r="AI50">
        <v>22714386</v>
      </c>
      <c r="AJ50">
        <v>45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ROW(Source!A69)</f>
        <v>69</v>
      </c>
      <c r="B51">
        <v>22714393</v>
      </c>
      <c r="C51">
        <v>22714382</v>
      </c>
      <c r="D51">
        <v>16738389</v>
      </c>
      <c r="E51">
        <v>1</v>
      </c>
      <c r="F51">
        <v>1</v>
      </c>
      <c r="G51">
        <v>1</v>
      </c>
      <c r="H51">
        <v>3</v>
      </c>
      <c r="I51" t="s">
        <v>336</v>
      </c>
      <c r="J51" t="s">
        <v>337</v>
      </c>
      <c r="K51" t="s">
        <v>338</v>
      </c>
      <c r="L51">
        <v>1348</v>
      </c>
      <c r="N51">
        <v>1009</v>
      </c>
      <c r="O51" t="s">
        <v>233</v>
      </c>
      <c r="P51" t="s">
        <v>233</v>
      </c>
      <c r="Q51">
        <v>1000</v>
      </c>
      <c r="X51">
        <v>2.0000000000000002E-5</v>
      </c>
      <c r="Y51">
        <v>729.98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2.0000000000000002E-5</v>
      </c>
      <c r="AH51">
        <v>2</v>
      </c>
      <c r="AI51">
        <v>22714387</v>
      </c>
      <c r="AJ51">
        <v>46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ROW(Source!A69)</f>
        <v>69</v>
      </c>
      <c r="B52">
        <v>22714394</v>
      </c>
      <c r="C52">
        <v>22714382</v>
      </c>
      <c r="D52">
        <v>16745392</v>
      </c>
      <c r="E52">
        <v>1</v>
      </c>
      <c r="F52">
        <v>1</v>
      </c>
      <c r="G52">
        <v>1</v>
      </c>
      <c r="H52">
        <v>3</v>
      </c>
      <c r="I52" t="s">
        <v>339</v>
      </c>
      <c r="J52" t="s">
        <v>340</v>
      </c>
      <c r="K52" t="s">
        <v>276</v>
      </c>
      <c r="L52">
        <v>1346</v>
      </c>
      <c r="N52">
        <v>1009</v>
      </c>
      <c r="O52" t="s">
        <v>243</v>
      </c>
      <c r="P52" t="s">
        <v>243</v>
      </c>
      <c r="Q52">
        <v>1</v>
      </c>
      <c r="X52">
        <v>1.6E-2</v>
      </c>
      <c r="Y52">
        <v>65.75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1.6E-2</v>
      </c>
      <c r="AH52">
        <v>2</v>
      </c>
      <c r="AI52">
        <v>22714388</v>
      </c>
      <c r="AJ52">
        <v>47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ROW(Source!A69)</f>
        <v>69</v>
      </c>
      <c r="B53">
        <v>22714395</v>
      </c>
      <c r="C53">
        <v>22714382</v>
      </c>
      <c r="D53">
        <v>16745434</v>
      </c>
      <c r="E53">
        <v>1</v>
      </c>
      <c r="F53">
        <v>1</v>
      </c>
      <c r="G53">
        <v>1</v>
      </c>
      <c r="H53">
        <v>3</v>
      </c>
      <c r="I53" t="s">
        <v>419</v>
      </c>
      <c r="J53" t="s">
        <v>420</v>
      </c>
      <c r="K53" t="s">
        <v>421</v>
      </c>
      <c r="L53">
        <v>11612290</v>
      </c>
      <c r="N53">
        <v>1009</v>
      </c>
      <c r="O53" t="s">
        <v>233</v>
      </c>
      <c r="P53" t="s">
        <v>422</v>
      </c>
      <c r="Q53">
        <v>1000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 t="s">
        <v>3</v>
      </c>
      <c r="AG53">
        <v>0</v>
      </c>
      <c r="AH53">
        <v>3</v>
      </c>
      <c r="AI53">
        <v>-1</v>
      </c>
      <c r="AJ53" t="s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ROW(Source!A70)</f>
        <v>70</v>
      </c>
      <c r="B54">
        <v>22714404</v>
      </c>
      <c r="C54">
        <v>22714396</v>
      </c>
      <c r="D54">
        <v>11610807</v>
      </c>
      <c r="E54">
        <v>1</v>
      </c>
      <c r="F54">
        <v>1</v>
      </c>
      <c r="G54">
        <v>1</v>
      </c>
      <c r="H54">
        <v>1</v>
      </c>
      <c r="I54" t="s">
        <v>341</v>
      </c>
      <c r="J54" t="s">
        <v>3</v>
      </c>
      <c r="K54" t="s">
        <v>342</v>
      </c>
      <c r="L54">
        <v>1369</v>
      </c>
      <c r="N54">
        <v>1013</v>
      </c>
      <c r="O54" t="s">
        <v>222</v>
      </c>
      <c r="P54" t="s">
        <v>222</v>
      </c>
      <c r="Q54">
        <v>1</v>
      </c>
      <c r="X54">
        <v>16.29</v>
      </c>
      <c r="Y54">
        <v>0</v>
      </c>
      <c r="Z54">
        <v>0</v>
      </c>
      <c r="AA54">
        <v>0</v>
      </c>
      <c r="AB54">
        <v>9.51</v>
      </c>
      <c r="AC54">
        <v>0</v>
      </c>
      <c r="AD54">
        <v>1</v>
      </c>
      <c r="AE54">
        <v>1</v>
      </c>
      <c r="AF54" t="s">
        <v>3</v>
      </c>
      <c r="AG54">
        <v>16.29</v>
      </c>
      <c r="AH54">
        <v>2</v>
      </c>
      <c r="AI54">
        <v>22714397</v>
      </c>
      <c r="AJ54">
        <v>48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ROW(Source!A70)</f>
        <v>70</v>
      </c>
      <c r="B55">
        <v>22714405</v>
      </c>
      <c r="C55">
        <v>22714396</v>
      </c>
      <c r="D55">
        <v>121548</v>
      </c>
      <c r="E55">
        <v>1</v>
      </c>
      <c r="F55">
        <v>1</v>
      </c>
      <c r="G55">
        <v>1</v>
      </c>
      <c r="H55">
        <v>1</v>
      </c>
      <c r="I55" t="s">
        <v>25</v>
      </c>
      <c r="J55" t="s">
        <v>3</v>
      </c>
      <c r="K55" t="s">
        <v>223</v>
      </c>
      <c r="L55">
        <v>608254</v>
      </c>
      <c r="N55">
        <v>1013</v>
      </c>
      <c r="O55" t="s">
        <v>224</v>
      </c>
      <c r="P55" t="s">
        <v>224</v>
      </c>
      <c r="Q55">
        <v>1</v>
      </c>
      <c r="X55">
        <v>0.01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2</v>
      </c>
      <c r="AF55" t="s">
        <v>3</v>
      </c>
      <c r="AG55">
        <v>0.01</v>
      </c>
      <c r="AH55">
        <v>2</v>
      </c>
      <c r="AI55">
        <v>22714398</v>
      </c>
      <c r="AJ55">
        <v>49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ROW(Source!A70)</f>
        <v>70</v>
      </c>
      <c r="B56">
        <v>22714406</v>
      </c>
      <c r="C56">
        <v>22714396</v>
      </c>
      <c r="D56">
        <v>16745830</v>
      </c>
      <c r="E56">
        <v>1</v>
      </c>
      <c r="F56">
        <v>1</v>
      </c>
      <c r="G56">
        <v>1</v>
      </c>
      <c r="H56">
        <v>2</v>
      </c>
      <c r="I56" t="s">
        <v>343</v>
      </c>
      <c r="J56" t="s">
        <v>344</v>
      </c>
      <c r="K56" t="s">
        <v>345</v>
      </c>
      <c r="L56">
        <v>1368</v>
      </c>
      <c r="N56">
        <v>1011</v>
      </c>
      <c r="O56" t="s">
        <v>294</v>
      </c>
      <c r="P56" t="s">
        <v>294</v>
      </c>
      <c r="Q56">
        <v>1</v>
      </c>
      <c r="X56">
        <v>0.01</v>
      </c>
      <c r="Y56">
        <v>0</v>
      </c>
      <c r="Z56">
        <v>31.26</v>
      </c>
      <c r="AA56">
        <v>11.6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0.01</v>
      </c>
      <c r="AH56">
        <v>2</v>
      </c>
      <c r="AI56">
        <v>22714399</v>
      </c>
      <c r="AJ56">
        <v>50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ROW(Source!A70)</f>
        <v>70</v>
      </c>
      <c r="B57">
        <v>22714407</v>
      </c>
      <c r="C57">
        <v>22714396</v>
      </c>
      <c r="D57">
        <v>16746735</v>
      </c>
      <c r="E57">
        <v>1</v>
      </c>
      <c r="F57">
        <v>1</v>
      </c>
      <c r="G57">
        <v>1</v>
      </c>
      <c r="H57">
        <v>2</v>
      </c>
      <c r="I57" t="s">
        <v>346</v>
      </c>
      <c r="J57" t="s">
        <v>347</v>
      </c>
      <c r="K57" t="s">
        <v>348</v>
      </c>
      <c r="L57">
        <v>1368</v>
      </c>
      <c r="N57">
        <v>1011</v>
      </c>
      <c r="O57" t="s">
        <v>294</v>
      </c>
      <c r="P57" t="s">
        <v>294</v>
      </c>
      <c r="Q57">
        <v>1</v>
      </c>
      <c r="X57">
        <v>6.08</v>
      </c>
      <c r="Y57">
        <v>0</v>
      </c>
      <c r="Z57">
        <v>3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6.08</v>
      </c>
      <c r="AH57">
        <v>2</v>
      </c>
      <c r="AI57">
        <v>22714400</v>
      </c>
      <c r="AJ57">
        <v>51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ROW(Source!A70)</f>
        <v>70</v>
      </c>
      <c r="B58">
        <v>22714408</v>
      </c>
      <c r="C58">
        <v>22714396</v>
      </c>
      <c r="D58">
        <v>16747822</v>
      </c>
      <c r="E58">
        <v>1</v>
      </c>
      <c r="F58">
        <v>1</v>
      </c>
      <c r="G58">
        <v>1</v>
      </c>
      <c r="H58">
        <v>2</v>
      </c>
      <c r="I58" t="s">
        <v>349</v>
      </c>
      <c r="J58" t="s">
        <v>350</v>
      </c>
      <c r="K58" t="s">
        <v>351</v>
      </c>
      <c r="L58">
        <v>1368</v>
      </c>
      <c r="N58">
        <v>1011</v>
      </c>
      <c r="O58" t="s">
        <v>294</v>
      </c>
      <c r="P58" t="s">
        <v>294</v>
      </c>
      <c r="Q58">
        <v>1</v>
      </c>
      <c r="X58">
        <v>6.08</v>
      </c>
      <c r="Y58">
        <v>0</v>
      </c>
      <c r="Z58">
        <v>2.08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6.08</v>
      </c>
      <c r="AH58">
        <v>2</v>
      </c>
      <c r="AI58">
        <v>22714401</v>
      </c>
      <c r="AJ58">
        <v>52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ROW(Source!A70)</f>
        <v>70</v>
      </c>
      <c r="B59">
        <v>22714409</v>
      </c>
      <c r="C59">
        <v>22714396</v>
      </c>
      <c r="D59">
        <v>16708075</v>
      </c>
      <c r="E59">
        <v>1</v>
      </c>
      <c r="F59">
        <v>1</v>
      </c>
      <c r="G59">
        <v>1</v>
      </c>
      <c r="H59">
        <v>3</v>
      </c>
      <c r="I59" t="s">
        <v>352</v>
      </c>
      <c r="J59" t="s">
        <v>353</v>
      </c>
      <c r="K59" t="s">
        <v>354</v>
      </c>
      <c r="L59">
        <v>1348</v>
      </c>
      <c r="N59">
        <v>1009</v>
      </c>
      <c r="O59" t="s">
        <v>233</v>
      </c>
      <c r="P59" t="s">
        <v>233</v>
      </c>
      <c r="Q59">
        <v>1000</v>
      </c>
      <c r="X59">
        <v>1E-3</v>
      </c>
      <c r="Y59">
        <v>12430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1E-3</v>
      </c>
      <c r="AH59">
        <v>2</v>
      </c>
      <c r="AI59">
        <v>22714402</v>
      </c>
      <c r="AJ59">
        <v>53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ROW(Source!A70)</f>
        <v>70</v>
      </c>
      <c r="B60">
        <v>22714410</v>
      </c>
      <c r="C60">
        <v>22714396</v>
      </c>
      <c r="D60">
        <v>16708717</v>
      </c>
      <c r="E60">
        <v>1</v>
      </c>
      <c r="F60">
        <v>1</v>
      </c>
      <c r="G60">
        <v>1</v>
      </c>
      <c r="H60">
        <v>3</v>
      </c>
      <c r="I60" t="s">
        <v>355</v>
      </c>
      <c r="J60" t="s">
        <v>356</v>
      </c>
      <c r="K60" t="s">
        <v>357</v>
      </c>
      <c r="L60">
        <v>1358</v>
      </c>
      <c r="N60">
        <v>1010</v>
      </c>
      <c r="O60" t="s">
        <v>335</v>
      </c>
      <c r="P60" t="s">
        <v>335</v>
      </c>
      <c r="Q60">
        <v>10</v>
      </c>
      <c r="X60">
        <v>20</v>
      </c>
      <c r="Y60">
        <v>1.8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20</v>
      </c>
      <c r="AH60">
        <v>2</v>
      </c>
      <c r="AI60">
        <v>22714403</v>
      </c>
      <c r="AJ60">
        <v>54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ROW(Source!A70)</f>
        <v>70</v>
      </c>
      <c r="B61">
        <v>22714411</v>
      </c>
      <c r="C61">
        <v>22714396</v>
      </c>
      <c r="D61">
        <v>16745434</v>
      </c>
      <c r="E61">
        <v>1</v>
      </c>
      <c r="F61">
        <v>1</v>
      </c>
      <c r="G61">
        <v>1</v>
      </c>
      <c r="H61">
        <v>3</v>
      </c>
      <c r="I61" t="s">
        <v>419</v>
      </c>
      <c r="J61" t="s">
        <v>420</v>
      </c>
      <c r="K61" t="s">
        <v>421</v>
      </c>
      <c r="L61">
        <v>11612290</v>
      </c>
      <c r="N61">
        <v>1009</v>
      </c>
      <c r="O61" t="s">
        <v>233</v>
      </c>
      <c r="P61" t="s">
        <v>422</v>
      </c>
      <c r="Q61">
        <v>1000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 t="s">
        <v>3</v>
      </c>
      <c r="AG61">
        <v>0</v>
      </c>
      <c r="AH61">
        <v>3</v>
      </c>
      <c r="AI61">
        <v>-1</v>
      </c>
      <c r="AJ61" t="s">
        <v>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ROW(Source!A71)</f>
        <v>71</v>
      </c>
      <c r="B62">
        <v>22714428</v>
      </c>
      <c r="C62">
        <v>22714412</v>
      </c>
      <c r="D62">
        <v>11610970</v>
      </c>
      <c r="E62">
        <v>1</v>
      </c>
      <c r="F62">
        <v>1</v>
      </c>
      <c r="G62">
        <v>1</v>
      </c>
      <c r="H62">
        <v>1</v>
      </c>
      <c r="I62" t="s">
        <v>358</v>
      </c>
      <c r="J62" t="s">
        <v>3</v>
      </c>
      <c r="K62" t="s">
        <v>359</v>
      </c>
      <c r="L62">
        <v>1369</v>
      </c>
      <c r="N62">
        <v>1013</v>
      </c>
      <c r="O62" t="s">
        <v>222</v>
      </c>
      <c r="P62" t="s">
        <v>222</v>
      </c>
      <c r="Q62">
        <v>1</v>
      </c>
      <c r="X62">
        <v>23.8</v>
      </c>
      <c r="Y62">
        <v>0</v>
      </c>
      <c r="Z62">
        <v>0</v>
      </c>
      <c r="AA62">
        <v>0</v>
      </c>
      <c r="AB62">
        <v>9.4</v>
      </c>
      <c r="AC62">
        <v>0</v>
      </c>
      <c r="AD62">
        <v>1</v>
      </c>
      <c r="AE62">
        <v>1</v>
      </c>
      <c r="AF62" t="s">
        <v>3</v>
      </c>
      <c r="AG62">
        <v>23.8</v>
      </c>
      <c r="AH62">
        <v>2</v>
      </c>
      <c r="AI62">
        <v>22714413</v>
      </c>
      <c r="AJ62">
        <v>55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ROW(Source!A71)</f>
        <v>71</v>
      </c>
      <c r="B63">
        <v>22714429</v>
      </c>
      <c r="C63">
        <v>22714412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25</v>
      </c>
      <c r="J63" t="s">
        <v>3</v>
      </c>
      <c r="K63" t="s">
        <v>223</v>
      </c>
      <c r="L63">
        <v>608254</v>
      </c>
      <c r="N63">
        <v>1013</v>
      </c>
      <c r="O63" t="s">
        <v>224</v>
      </c>
      <c r="P63" t="s">
        <v>224</v>
      </c>
      <c r="Q63">
        <v>1</v>
      </c>
      <c r="X63">
        <v>0.11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3</v>
      </c>
      <c r="AG63">
        <v>0.11</v>
      </c>
      <c r="AH63">
        <v>2</v>
      </c>
      <c r="AI63">
        <v>22714414</v>
      </c>
      <c r="AJ63">
        <v>56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ROW(Source!A71)</f>
        <v>71</v>
      </c>
      <c r="B64">
        <v>22714430</v>
      </c>
      <c r="C64">
        <v>22714412</v>
      </c>
      <c r="D64">
        <v>16745629</v>
      </c>
      <c r="E64">
        <v>1</v>
      </c>
      <c r="F64">
        <v>1</v>
      </c>
      <c r="G64">
        <v>1</v>
      </c>
      <c r="H64">
        <v>2</v>
      </c>
      <c r="I64" t="s">
        <v>360</v>
      </c>
      <c r="J64" t="s">
        <v>361</v>
      </c>
      <c r="K64" t="s">
        <v>362</v>
      </c>
      <c r="L64">
        <v>1368</v>
      </c>
      <c r="N64">
        <v>1011</v>
      </c>
      <c r="O64" t="s">
        <v>294</v>
      </c>
      <c r="P64" t="s">
        <v>294</v>
      </c>
      <c r="Q64">
        <v>1</v>
      </c>
      <c r="X64">
        <v>0.11</v>
      </c>
      <c r="Y64">
        <v>0</v>
      </c>
      <c r="Z64">
        <v>134.65</v>
      </c>
      <c r="AA64">
        <v>13.5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0.11</v>
      </c>
      <c r="AH64">
        <v>2</v>
      </c>
      <c r="AI64">
        <v>22714415</v>
      </c>
      <c r="AJ64">
        <v>57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ROW(Source!A71)</f>
        <v>71</v>
      </c>
      <c r="B65">
        <v>22714431</v>
      </c>
      <c r="C65">
        <v>22714412</v>
      </c>
      <c r="D65">
        <v>16745915</v>
      </c>
      <c r="E65">
        <v>1</v>
      </c>
      <c r="F65">
        <v>1</v>
      </c>
      <c r="G65">
        <v>1</v>
      </c>
      <c r="H65">
        <v>2</v>
      </c>
      <c r="I65" t="s">
        <v>363</v>
      </c>
      <c r="J65" t="s">
        <v>364</v>
      </c>
      <c r="K65" t="s">
        <v>365</v>
      </c>
      <c r="L65">
        <v>1368</v>
      </c>
      <c r="N65">
        <v>1011</v>
      </c>
      <c r="O65" t="s">
        <v>294</v>
      </c>
      <c r="P65" t="s">
        <v>294</v>
      </c>
      <c r="Q65">
        <v>1</v>
      </c>
      <c r="X65">
        <v>2.7</v>
      </c>
      <c r="Y65">
        <v>0</v>
      </c>
      <c r="Z65">
        <v>8.1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2.7</v>
      </c>
      <c r="AH65">
        <v>2</v>
      </c>
      <c r="AI65">
        <v>22714416</v>
      </c>
      <c r="AJ65">
        <v>58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ROW(Source!A71)</f>
        <v>71</v>
      </c>
      <c r="B66">
        <v>22714432</v>
      </c>
      <c r="C66">
        <v>22714412</v>
      </c>
      <c r="D66">
        <v>16747822</v>
      </c>
      <c r="E66">
        <v>1</v>
      </c>
      <c r="F66">
        <v>1</v>
      </c>
      <c r="G66">
        <v>1</v>
      </c>
      <c r="H66">
        <v>2</v>
      </c>
      <c r="I66" t="s">
        <v>349</v>
      </c>
      <c r="J66" t="s">
        <v>350</v>
      </c>
      <c r="K66" t="s">
        <v>351</v>
      </c>
      <c r="L66">
        <v>1368</v>
      </c>
      <c r="N66">
        <v>1011</v>
      </c>
      <c r="O66" t="s">
        <v>294</v>
      </c>
      <c r="P66" t="s">
        <v>294</v>
      </c>
      <c r="Q66">
        <v>1</v>
      </c>
      <c r="X66">
        <v>4.84</v>
      </c>
      <c r="Y66">
        <v>0</v>
      </c>
      <c r="Z66">
        <v>2.08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4.84</v>
      </c>
      <c r="AH66">
        <v>2</v>
      </c>
      <c r="AI66">
        <v>22714417</v>
      </c>
      <c r="AJ66">
        <v>59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ROW(Source!A71)</f>
        <v>71</v>
      </c>
      <c r="B67">
        <v>22714433</v>
      </c>
      <c r="C67">
        <v>22714412</v>
      </c>
      <c r="D67">
        <v>16748153</v>
      </c>
      <c r="E67">
        <v>1</v>
      </c>
      <c r="F67">
        <v>1</v>
      </c>
      <c r="G67">
        <v>1</v>
      </c>
      <c r="H67">
        <v>2</v>
      </c>
      <c r="I67" t="s">
        <v>366</v>
      </c>
      <c r="J67" t="s">
        <v>367</v>
      </c>
      <c r="K67" t="s">
        <v>368</v>
      </c>
      <c r="L67">
        <v>1368</v>
      </c>
      <c r="N67">
        <v>1011</v>
      </c>
      <c r="O67" t="s">
        <v>294</v>
      </c>
      <c r="P67" t="s">
        <v>294</v>
      </c>
      <c r="Q67">
        <v>1</v>
      </c>
      <c r="X67">
        <v>0.11</v>
      </c>
      <c r="Y67">
        <v>0</v>
      </c>
      <c r="Z67">
        <v>107.3</v>
      </c>
      <c r="AA67">
        <v>11.6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0.11</v>
      </c>
      <c r="AH67">
        <v>2</v>
      </c>
      <c r="AI67">
        <v>22714418</v>
      </c>
      <c r="AJ67">
        <v>60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ROW(Source!A71)</f>
        <v>71</v>
      </c>
      <c r="B68">
        <v>22714434</v>
      </c>
      <c r="C68">
        <v>22714412</v>
      </c>
      <c r="D68">
        <v>16707495</v>
      </c>
      <c r="E68">
        <v>1</v>
      </c>
      <c r="F68">
        <v>1</v>
      </c>
      <c r="G68">
        <v>1</v>
      </c>
      <c r="H68">
        <v>3</v>
      </c>
      <c r="I68" t="s">
        <v>369</v>
      </c>
      <c r="J68" t="s">
        <v>370</v>
      </c>
      <c r="K68" t="s">
        <v>371</v>
      </c>
      <c r="L68">
        <v>1348</v>
      </c>
      <c r="N68">
        <v>1009</v>
      </c>
      <c r="O68" t="s">
        <v>233</v>
      </c>
      <c r="P68" t="s">
        <v>233</v>
      </c>
      <c r="Q68">
        <v>1000</v>
      </c>
      <c r="X68">
        <v>2.0999999999999999E-3</v>
      </c>
      <c r="Y68">
        <v>12242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2.0999999999999999E-3</v>
      </c>
      <c r="AH68">
        <v>2</v>
      </c>
      <c r="AI68">
        <v>22714419</v>
      </c>
      <c r="AJ68">
        <v>61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ROW(Source!A71)</f>
        <v>71</v>
      </c>
      <c r="B69">
        <v>22714435</v>
      </c>
      <c r="C69">
        <v>22714412</v>
      </c>
      <c r="D69">
        <v>16708286</v>
      </c>
      <c r="E69">
        <v>1</v>
      </c>
      <c r="F69">
        <v>1</v>
      </c>
      <c r="G69">
        <v>1</v>
      </c>
      <c r="H69">
        <v>3</v>
      </c>
      <c r="I69" t="s">
        <v>372</v>
      </c>
      <c r="J69" t="s">
        <v>373</v>
      </c>
      <c r="K69" t="s">
        <v>374</v>
      </c>
      <c r="L69">
        <v>1358</v>
      </c>
      <c r="N69">
        <v>1010</v>
      </c>
      <c r="O69" t="s">
        <v>335</v>
      </c>
      <c r="P69" t="s">
        <v>335</v>
      </c>
      <c r="Q69">
        <v>10</v>
      </c>
      <c r="X69">
        <v>13.4</v>
      </c>
      <c r="Y69">
        <v>23.4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13.4</v>
      </c>
      <c r="AH69">
        <v>2</v>
      </c>
      <c r="AI69">
        <v>22714420</v>
      </c>
      <c r="AJ69">
        <v>62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ROW(Source!A71)</f>
        <v>71</v>
      </c>
      <c r="B70">
        <v>22714436</v>
      </c>
      <c r="C70">
        <v>22714412</v>
      </c>
      <c r="D70">
        <v>16708484</v>
      </c>
      <c r="E70">
        <v>1</v>
      </c>
      <c r="F70">
        <v>1</v>
      </c>
      <c r="G70">
        <v>1</v>
      </c>
      <c r="H70">
        <v>3</v>
      </c>
      <c r="I70" t="s">
        <v>375</v>
      </c>
      <c r="J70" t="s">
        <v>376</v>
      </c>
      <c r="K70" t="s">
        <v>377</v>
      </c>
      <c r="L70">
        <v>1346</v>
      </c>
      <c r="N70">
        <v>1009</v>
      </c>
      <c r="O70" t="s">
        <v>243</v>
      </c>
      <c r="P70" t="s">
        <v>243</v>
      </c>
      <c r="Q70">
        <v>1</v>
      </c>
      <c r="X70">
        <v>0.96</v>
      </c>
      <c r="Y70">
        <v>10.57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0.96</v>
      </c>
      <c r="AH70">
        <v>2</v>
      </c>
      <c r="AI70">
        <v>22714421</v>
      </c>
      <c r="AJ70">
        <v>63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ROW(Source!A71)</f>
        <v>71</v>
      </c>
      <c r="B71">
        <v>22714437</v>
      </c>
      <c r="C71">
        <v>22714412</v>
      </c>
      <c r="D71">
        <v>16710407</v>
      </c>
      <c r="E71">
        <v>1</v>
      </c>
      <c r="F71">
        <v>1</v>
      </c>
      <c r="G71">
        <v>1</v>
      </c>
      <c r="H71">
        <v>3</v>
      </c>
      <c r="I71" t="s">
        <v>378</v>
      </c>
      <c r="J71" t="s">
        <v>379</v>
      </c>
      <c r="K71" t="s">
        <v>380</v>
      </c>
      <c r="L71">
        <v>1358</v>
      </c>
      <c r="N71">
        <v>1010</v>
      </c>
      <c r="O71" t="s">
        <v>335</v>
      </c>
      <c r="P71" t="s">
        <v>335</v>
      </c>
      <c r="Q71">
        <v>10</v>
      </c>
      <c r="X71">
        <v>13.4</v>
      </c>
      <c r="Y71">
        <v>26.4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13.4</v>
      </c>
      <c r="AH71">
        <v>2</v>
      </c>
      <c r="AI71">
        <v>22714422</v>
      </c>
      <c r="AJ71">
        <v>64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ROW(Source!A71)</f>
        <v>71</v>
      </c>
      <c r="B72">
        <v>22714438</v>
      </c>
      <c r="C72">
        <v>22714412</v>
      </c>
      <c r="D72">
        <v>16758909</v>
      </c>
      <c r="E72">
        <v>1</v>
      </c>
      <c r="F72">
        <v>1</v>
      </c>
      <c r="G72">
        <v>1</v>
      </c>
      <c r="H72">
        <v>3</v>
      </c>
      <c r="I72" t="s">
        <v>381</v>
      </c>
      <c r="J72" t="s">
        <v>382</v>
      </c>
      <c r="K72" t="s">
        <v>383</v>
      </c>
      <c r="L72">
        <v>1346</v>
      </c>
      <c r="N72">
        <v>1009</v>
      </c>
      <c r="O72" t="s">
        <v>243</v>
      </c>
      <c r="P72" t="s">
        <v>243</v>
      </c>
      <c r="Q72">
        <v>1</v>
      </c>
      <c r="X72">
        <v>0.2</v>
      </c>
      <c r="Y72">
        <v>25.8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0.2</v>
      </c>
      <c r="AH72">
        <v>2</v>
      </c>
      <c r="AI72">
        <v>22714423</v>
      </c>
      <c r="AJ72">
        <v>65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ROW(Source!A71)</f>
        <v>71</v>
      </c>
      <c r="B73">
        <v>22714439</v>
      </c>
      <c r="C73">
        <v>22714412</v>
      </c>
      <c r="D73">
        <v>16719738</v>
      </c>
      <c r="E73">
        <v>1</v>
      </c>
      <c r="F73">
        <v>1</v>
      </c>
      <c r="G73">
        <v>1</v>
      </c>
      <c r="H73">
        <v>3</v>
      </c>
      <c r="I73" t="s">
        <v>384</v>
      </c>
      <c r="J73" t="s">
        <v>385</v>
      </c>
      <c r="K73" t="s">
        <v>386</v>
      </c>
      <c r="L73">
        <v>1358</v>
      </c>
      <c r="N73">
        <v>1010</v>
      </c>
      <c r="O73" t="s">
        <v>335</v>
      </c>
      <c r="P73" t="s">
        <v>335</v>
      </c>
      <c r="Q73">
        <v>10</v>
      </c>
      <c r="X73">
        <v>1.8</v>
      </c>
      <c r="Y73">
        <v>277.5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1.8</v>
      </c>
      <c r="AH73">
        <v>2</v>
      </c>
      <c r="AI73">
        <v>22714424</v>
      </c>
      <c r="AJ73">
        <v>66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ROW(Source!A71)</f>
        <v>71</v>
      </c>
      <c r="B74">
        <v>22714440</v>
      </c>
      <c r="C74">
        <v>22714412</v>
      </c>
      <c r="D74">
        <v>16767464</v>
      </c>
      <c r="E74">
        <v>1</v>
      </c>
      <c r="F74">
        <v>1</v>
      </c>
      <c r="G74">
        <v>1</v>
      </c>
      <c r="H74">
        <v>3</v>
      </c>
      <c r="I74" t="s">
        <v>387</v>
      </c>
      <c r="J74" t="s">
        <v>388</v>
      </c>
      <c r="K74" t="s">
        <v>389</v>
      </c>
      <c r="L74">
        <v>1358</v>
      </c>
      <c r="N74">
        <v>1010</v>
      </c>
      <c r="O74" t="s">
        <v>335</v>
      </c>
      <c r="P74" t="s">
        <v>335</v>
      </c>
      <c r="Q74">
        <v>10</v>
      </c>
      <c r="X74">
        <v>6.7</v>
      </c>
      <c r="Y74">
        <v>32.799999999999997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6.7</v>
      </c>
      <c r="AH74">
        <v>2</v>
      </c>
      <c r="AI74">
        <v>22714425</v>
      </c>
      <c r="AJ74">
        <v>67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ROW(Source!A71)</f>
        <v>71</v>
      </c>
      <c r="B75">
        <v>22714441</v>
      </c>
      <c r="C75">
        <v>22714412</v>
      </c>
      <c r="D75">
        <v>16768146</v>
      </c>
      <c r="E75">
        <v>1</v>
      </c>
      <c r="F75">
        <v>1</v>
      </c>
      <c r="G75">
        <v>1</v>
      </c>
      <c r="H75">
        <v>3</v>
      </c>
      <c r="I75" t="s">
        <v>390</v>
      </c>
      <c r="J75" t="s">
        <v>391</v>
      </c>
      <c r="K75" t="s">
        <v>392</v>
      </c>
      <c r="L75">
        <v>1354</v>
      </c>
      <c r="N75">
        <v>1010</v>
      </c>
      <c r="O75" t="s">
        <v>20</v>
      </c>
      <c r="P75" t="s">
        <v>20</v>
      </c>
      <c r="Q75">
        <v>1</v>
      </c>
      <c r="X75">
        <v>18</v>
      </c>
      <c r="Y75">
        <v>0.27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18</v>
      </c>
      <c r="AH75">
        <v>2</v>
      </c>
      <c r="AI75">
        <v>22714426</v>
      </c>
      <c r="AJ75">
        <v>68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ROW(Source!A71)</f>
        <v>71</v>
      </c>
      <c r="B76">
        <v>22714442</v>
      </c>
      <c r="C76">
        <v>22714412</v>
      </c>
      <c r="D76">
        <v>16768172</v>
      </c>
      <c r="E76">
        <v>1</v>
      </c>
      <c r="F76">
        <v>1</v>
      </c>
      <c r="G76">
        <v>1</v>
      </c>
      <c r="H76">
        <v>3</v>
      </c>
      <c r="I76" t="s">
        <v>393</v>
      </c>
      <c r="J76" t="s">
        <v>394</v>
      </c>
      <c r="K76" t="s">
        <v>395</v>
      </c>
      <c r="L76">
        <v>1358</v>
      </c>
      <c r="N76">
        <v>1010</v>
      </c>
      <c r="O76" t="s">
        <v>335</v>
      </c>
      <c r="P76" t="s">
        <v>335</v>
      </c>
      <c r="Q76">
        <v>10</v>
      </c>
      <c r="X76">
        <v>1</v>
      </c>
      <c r="Y76">
        <v>19.899999999999999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</v>
      </c>
      <c r="AH76">
        <v>2</v>
      </c>
      <c r="AI76">
        <v>22714427</v>
      </c>
      <c r="AJ76">
        <v>69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ROW(Source!A71)</f>
        <v>71</v>
      </c>
      <c r="B77">
        <v>22714443</v>
      </c>
      <c r="C77">
        <v>22714412</v>
      </c>
      <c r="D77">
        <v>16745434</v>
      </c>
      <c r="E77">
        <v>1</v>
      </c>
      <c r="F77">
        <v>1</v>
      </c>
      <c r="G77">
        <v>1</v>
      </c>
      <c r="H77">
        <v>3</v>
      </c>
      <c r="I77" t="s">
        <v>419</v>
      </c>
      <c r="J77" t="s">
        <v>420</v>
      </c>
      <c r="K77" t="s">
        <v>421</v>
      </c>
      <c r="L77">
        <v>11612290</v>
      </c>
      <c r="N77">
        <v>1009</v>
      </c>
      <c r="O77" t="s">
        <v>233</v>
      </c>
      <c r="P77" t="s">
        <v>422</v>
      </c>
      <c r="Q77">
        <v>1000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0</v>
      </c>
      <c r="AE77">
        <v>0</v>
      </c>
      <c r="AF77" t="s">
        <v>3</v>
      </c>
      <c r="AG77">
        <v>0</v>
      </c>
      <c r="AH77">
        <v>3</v>
      </c>
      <c r="AI77">
        <v>-1</v>
      </c>
      <c r="AJ77" t="s">
        <v>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ROW(Source!A72)</f>
        <v>72</v>
      </c>
      <c r="B78">
        <v>22714456</v>
      </c>
      <c r="C78">
        <v>22714444</v>
      </c>
      <c r="D78">
        <v>11610946</v>
      </c>
      <c r="E78">
        <v>1</v>
      </c>
      <c r="F78">
        <v>1</v>
      </c>
      <c r="G78">
        <v>1</v>
      </c>
      <c r="H78">
        <v>1</v>
      </c>
      <c r="I78" t="s">
        <v>396</v>
      </c>
      <c r="J78" t="s">
        <v>3</v>
      </c>
      <c r="K78" t="s">
        <v>397</v>
      </c>
      <c r="L78">
        <v>1369</v>
      </c>
      <c r="N78">
        <v>1013</v>
      </c>
      <c r="O78" t="s">
        <v>222</v>
      </c>
      <c r="P78" t="s">
        <v>222</v>
      </c>
      <c r="Q78">
        <v>1</v>
      </c>
      <c r="X78">
        <v>24</v>
      </c>
      <c r="Y78">
        <v>0</v>
      </c>
      <c r="Z78">
        <v>0</v>
      </c>
      <c r="AA78">
        <v>0</v>
      </c>
      <c r="AB78">
        <v>9.92</v>
      </c>
      <c r="AC78">
        <v>0</v>
      </c>
      <c r="AD78">
        <v>1</v>
      </c>
      <c r="AE78">
        <v>1</v>
      </c>
      <c r="AF78" t="s">
        <v>3</v>
      </c>
      <c r="AG78">
        <v>24</v>
      </c>
      <c r="AH78">
        <v>2</v>
      </c>
      <c r="AI78">
        <v>22714445</v>
      </c>
      <c r="AJ78">
        <v>70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ROW(Source!A72)</f>
        <v>72</v>
      </c>
      <c r="B79">
        <v>22714457</v>
      </c>
      <c r="C79">
        <v>22714444</v>
      </c>
      <c r="D79">
        <v>121548</v>
      </c>
      <c r="E79">
        <v>1</v>
      </c>
      <c r="F79">
        <v>1</v>
      </c>
      <c r="G79">
        <v>1</v>
      </c>
      <c r="H79">
        <v>1</v>
      </c>
      <c r="I79" t="s">
        <v>25</v>
      </c>
      <c r="J79" t="s">
        <v>3</v>
      </c>
      <c r="K79" t="s">
        <v>223</v>
      </c>
      <c r="L79">
        <v>608254</v>
      </c>
      <c r="N79">
        <v>1013</v>
      </c>
      <c r="O79" t="s">
        <v>224</v>
      </c>
      <c r="P79" t="s">
        <v>224</v>
      </c>
      <c r="Q79">
        <v>1</v>
      </c>
      <c r="X79">
        <v>0.01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2</v>
      </c>
      <c r="AF79" t="s">
        <v>3</v>
      </c>
      <c r="AG79">
        <v>0.01</v>
      </c>
      <c r="AH79">
        <v>2</v>
      </c>
      <c r="AI79">
        <v>22714446</v>
      </c>
      <c r="AJ79">
        <v>71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ROW(Source!A72)</f>
        <v>72</v>
      </c>
      <c r="B80">
        <v>22714458</v>
      </c>
      <c r="C80">
        <v>22714444</v>
      </c>
      <c r="D80">
        <v>16745629</v>
      </c>
      <c r="E80">
        <v>1</v>
      </c>
      <c r="F80">
        <v>1</v>
      </c>
      <c r="G80">
        <v>1</v>
      </c>
      <c r="H80">
        <v>2</v>
      </c>
      <c r="I80" t="s">
        <v>360</v>
      </c>
      <c r="J80" t="s">
        <v>361</v>
      </c>
      <c r="K80" t="s">
        <v>362</v>
      </c>
      <c r="L80">
        <v>1368</v>
      </c>
      <c r="N80">
        <v>1011</v>
      </c>
      <c r="O80" t="s">
        <v>294</v>
      </c>
      <c r="P80" t="s">
        <v>294</v>
      </c>
      <c r="Q80">
        <v>1</v>
      </c>
      <c r="X80">
        <v>0.01</v>
      </c>
      <c r="Y80">
        <v>0</v>
      </c>
      <c r="Z80">
        <v>134.65</v>
      </c>
      <c r="AA80">
        <v>13.5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0.01</v>
      </c>
      <c r="AH80">
        <v>2</v>
      </c>
      <c r="AI80">
        <v>22714447</v>
      </c>
      <c r="AJ80">
        <v>72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ROW(Source!A72)</f>
        <v>72</v>
      </c>
      <c r="B81">
        <v>22714459</v>
      </c>
      <c r="C81">
        <v>22714444</v>
      </c>
      <c r="D81">
        <v>16748153</v>
      </c>
      <c r="E81">
        <v>1</v>
      </c>
      <c r="F81">
        <v>1</v>
      </c>
      <c r="G81">
        <v>1</v>
      </c>
      <c r="H81">
        <v>2</v>
      </c>
      <c r="I81" t="s">
        <v>366</v>
      </c>
      <c r="J81" t="s">
        <v>367</v>
      </c>
      <c r="K81" t="s">
        <v>368</v>
      </c>
      <c r="L81">
        <v>1368</v>
      </c>
      <c r="N81">
        <v>1011</v>
      </c>
      <c r="O81" t="s">
        <v>294</v>
      </c>
      <c r="P81" t="s">
        <v>294</v>
      </c>
      <c r="Q81">
        <v>1</v>
      </c>
      <c r="X81">
        <v>0.01</v>
      </c>
      <c r="Y81">
        <v>0</v>
      </c>
      <c r="Z81">
        <v>107.3</v>
      </c>
      <c r="AA81">
        <v>11.6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0.01</v>
      </c>
      <c r="AH81">
        <v>2</v>
      </c>
      <c r="AI81">
        <v>22714448</v>
      </c>
      <c r="AJ81">
        <v>73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ROW(Source!A72)</f>
        <v>72</v>
      </c>
      <c r="B82">
        <v>22714460</v>
      </c>
      <c r="C82">
        <v>22714444</v>
      </c>
      <c r="D82">
        <v>16707495</v>
      </c>
      <c r="E82">
        <v>1</v>
      </c>
      <c r="F82">
        <v>1</v>
      </c>
      <c r="G82">
        <v>1</v>
      </c>
      <c r="H82">
        <v>3</v>
      </c>
      <c r="I82" t="s">
        <v>369</v>
      </c>
      <c r="J82" t="s">
        <v>370</v>
      </c>
      <c r="K82" t="s">
        <v>371</v>
      </c>
      <c r="L82">
        <v>1348</v>
      </c>
      <c r="N82">
        <v>1009</v>
      </c>
      <c r="O82" t="s">
        <v>233</v>
      </c>
      <c r="P82" t="s">
        <v>233</v>
      </c>
      <c r="Q82">
        <v>1000</v>
      </c>
      <c r="X82">
        <v>2.0999999999999999E-3</v>
      </c>
      <c r="Y82">
        <v>12242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2.0999999999999999E-3</v>
      </c>
      <c r="AH82">
        <v>2</v>
      </c>
      <c r="AI82">
        <v>22714449</v>
      </c>
      <c r="AJ82">
        <v>74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ROW(Source!A72)</f>
        <v>72</v>
      </c>
      <c r="B83">
        <v>22714461</v>
      </c>
      <c r="C83">
        <v>22714444</v>
      </c>
      <c r="D83">
        <v>16708345</v>
      </c>
      <c r="E83">
        <v>1</v>
      </c>
      <c r="F83">
        <v>1</v>
      </c>
      <c r="G83">
        <v>1</v>
      </c>
      <c r="H83">
        <v>3</v>
      </c>
      <c r="I83" t="s">
        <v>398</v>
      </c>
      <c r="J83" t="s">
        <v>399</v>
      </c>
      <c r="K83" t="s">
        <v>400</v>
      </c>
      <c r="L83">
        <v>1348</v>
      </c>
      <c r="N83">
        <v>1009</v>
      </c>
      <c r="O83" t="s">
        <v>233</v>
      </c>
      <c r="P83" t="s">
        <v>233</v>
      </c>
      <c r="Q83">
        <v>1000</v>
      </c>
      <c r="X83">
        <v>5.9999999999999995E-4</v>
      </c>
      <c r="Y83">
        <v>1820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5.9999999999999995E-4</v>
      </c>
      <c r="AH83">
        <v>2</v>
      </c>
      <c r="AI83">
        <v>22714450</v>
      </c>
      <c r="AJ83">
        <v>75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ROW(Source!A72)</f>
        <v>72</v>
      </c>
      <c r="B84">
        <v>22714462</v>
      </c>
      <c r="C84">
        <v>22714444</v>
      </c>
      <c r="D84">
        <v>16708666</v>
      </c>
      <c r="E84">
        <v>1</v>
      </c>
      <c r="F84">
        <v>1</v>
      </c>
      <c r="G84">
        <v>1</v>
      </c>
      <c r="H84">
        <v>3</v>
      </c>
      <c r="I84" t="s">
        <v>401</v>
      </c>
      <c r="J84" t="s">
        <v>402</v>
      </c>
      <c r="K84" t="s">
        <v>403</v>
      </c>
      <c r="L84">
        <v>1346</v>
      </c>
      <c r="N84">
        <v>1009</v>
      </c>
      <c r="O84" t="s">
        <v>243</v>
      </c>
      <c r="P84" t="s">
        <v>243</v>
      </c>
      <c r="Q84">
        <v>1</v>
      </c>
      <c r="X84">
        <v>0.01</v>
      </c>
      <c r="Y84">
        <v>28.6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0.01</v>
      </c>
      <c r="AH84">
        <v>2</v>
      </c>
      <c r="AI84">
        <v>22714451</v>
      </c>
      <c r="AJ84">
        <v>76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ROW(Source!A72)</f>
        <v>72</v>
      </c>
      <c r="B85">
        <v>22714463</v>
      </c>
      <c r="C85">
        <v>22714444</v>
      </c>
      <c r="D85">
        <v>16709002</v>
      </c>
      <c r="E85">
        <v>1</v>
      </c>
      <c r="F85">
        <v>1</v>
      </c>
      <c r="G85">
        <v>1</v>
      </c>
      <c r="H85">
        <v>3</v>
      </c>
      <c r="I85" t="s">
        <v>404</v>
      </c>
      <c r="J85" t="s">
        <v>405</v>
      </c>
      <c r="K85" t="s">
        <v>406</v>
      </c>
      <c r="L85">
        <v>1346</v>
      </c>
      <c r="N85">
        <v>1009</v>
      </c>
      <c r="O85" t="s">
        <v>243</v>
      </c>
      <c r="P85" t="s">
        <v>243</v>
      </c>
      <c r="Q85">
        <v>1</v>
      </c>
      <c r="X85">
        <v>0.16</v>
      </c>
      <c r="Y85">
        <v>91.29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0.16</v>
      </c>
      <c r="AH85">
        <v>2</v>
      </c>
      <c r="AI85">
        <v>22714452</v>
      </c>
      <c r="AJ85">
        <v>77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ROW(Source!A72)</f>
        <v>72</v>
      </c>
      <c r="B86">
        <v>22714464</v>
      </c>
      <c r="C86">
        <v>22714444</v>
      </c>
      <c r="D86">
        <v>16758120</v>
      </c>
      <c r="E86">
        <v>1</v>
      </c>
      <c r="F86">
        <v>1</v>
      </c>
      <c r="G86">
        <v>1</v>
      </c>
      <c r="H86">
        <v>3</v>
      </c>
      <c r="I86" t="s">
        <v>407</v>
      </c>
      <c r="J86" t="s">
        <v>408</v>
      </c>
      <c r="K86" t="s">
        <v>409</v>
      </c>
      <c r="L86">
        <v>1355</v>
      </c>
      <c r="N86">
        <v>1010</v>
      </c>
      <c r="O86" t="s">
        <v>284</v>
      </c>
      <c r="P86" t="s">
        <v>284</v>
      </c>
      <c r="Q86">
        <v>100</v>
      </c>
      <c r="X86">
        <v>0.01</v>
      </c>
      <c r="Y86">
        <v>142.5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0.01</v>
      </c>
      <c r="AH86">
        <v>2</v>
      </c>
      <c r="AI86">
        <v>22714453</v>
      </c>
      <c r="AJ86">
        <v>78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ROW(Source!A72)</f>
        <v>72</v>
      </c>
      <c r="B87">
        <v>22714465</v>
      </c>
      <c r="C87">
        <v>22714444</v>
      </c>
      <c r="D87">
        <v>16767393</v>
      </c>
      <c r="E87">
        <v>1</v>
      </c>
      <c r="F87">
        <v>1</v>
      </c>
      <c r="G87">
        <v>1</v>
      </c>
      <c r="H87">
        <v>3</v>
      </c>
      <c r="I87" t="s">
        <v>410</v>
      </c>
      <c r="J87" t="s">
        <v>411</v>
      </c>
      <c r="K87" t="s">
        <v>412</v>
      </c>
      <c r="L87">
        <v>1355</v>
      </c>
      <c r="N87">
        <v>1010</v>
      </c>
      <c r="O87" t="s">
        <v>284</v>
      </c>
      <c r="P87" t="s">
        <v>284</v>
      </c>
      <c r="Q87">
        <v>100</v>
      </c>
      <c r="X87">
        <v>0.31</v>
      </c>
      <c r="Y87">
        <v>528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0.31</v>
      </c>
      <c r="AH87">
        <v>2</v>
      </c>
      <c r="AI87">
        <v>22714454</v>
      </c>
      <c r="AJ87">
        <v>79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ROW(Source!A72)</f>
        <v>72</v>
      </c>
      <c r="B88">
        <v>22714466</v>
      </c>
      <c r="C88">
        <v>22714444</v>
      </c>
      <c r="D88">
        <v>16769189</v>
      </c>
      <c r="E88">
        <v>1</v>
      </c>
      <c r="F88">
        <v>1</v>
      </c>
      <c r="G88">
        <v>1</v>
      </c>
      <c r="H88">
        <v>3</v>
      </c>
      <c r="I88" t="s">
        <v>413</v>
      </c>
      <c r="J88" t="s">
        <v>414</v>
      </c>
      <c r="K88" t="s">
        <v>415</v>
      </c>
      <c r="L88">
        <v>1354</v>
      </c>
      <c r="N88">
        <v>1010</v>
      </c>
      <c r="O88" t="s">
        <v>20</v>
      </c>
      <c r="P88" t="s">
        <v>20</v>
      </c>
      <c r="Q88">
        <v>1</v>
      </c>
      <c r="X88">
        <v>5</v>
      </c>
      <c r="Y88">
        <v>1.1000000000000001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5</v>
      </c>
      <c r="AH88">
        <v>2</v>
      </c>
      <c r="AI88">
        <v>22714455</v>
      </c>
      <c r="AJ88">
        <v>80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ROW(Source!A72)</f>
        <v>72</v>
      </c>
      <c r="B89">
        <v>22714467</v>
      </c>
      <c r="C89">
        <v>22714444</v>
      </c>
      <c r="D89">
        <v>16745434</v>
      </c>
      <c r="E89">
        <v>1</v>
      </c>
      <c r="F89">
        <v>1</v>
      </c>
      <c r="G89">
        <v>1</v>
      </c>
      <c r="H89">
        <v>3</v>
      </c>
      <c r="I89" t="s">
        <v>419</v>
      </c>
      <c r="J89" t="s">
        <v>420</v>
      </c>
      <c r="K89" t="s">
        <v>421</v>
      </c>
      <c r="L89">
        <v>11612290</v>
      </c>
      <c r="N89">
        <v>1009</v>
      </c>
      <c r="O89" t="s">
        <v>233</v>
      </c>
      <c r="P89" t="s">
        <v>422</v>
      </c>
      <c r="Q89">
        <v>1000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 t="s">
        <v>3</v>
      </c>
      <c r="AG89">
        <v>0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ROW(Source!A73)</f>
        <v>73</v>
      </c>
      <c r="B90">
        <v>22714474</v>
      </c>
      <c r="C90">
        <v>22714468</v>
      </c>
      <c r="D90">
        <v>11610937</v>
      </c>
      <c r="E90">
        <v>1</v>
      </c>
      <c r="F90">
        <v>1</v>
      </c>
      <c r="G90">
        <v>1</v>
      </c>
      <c r="H90">
        <v>1</v>
      </c>
      <c r="I90" t="s">
        <v>295</v>
      </c>
      <c r="J90" t="s">
        <v>3</v>
      </c>
      <c r="K90" t="s">
        <v>296</v>
      </c>
      <c r="L90">
        <v>1369</v>
      </c>
      <c r="N90">
        <v>1013</v>
      </c>
      <c r="O90" t="s">
        <v>222</v>
      </c>
      <c r="P90" t="s">
        <v>222</v>
      </c>
      <c r="Q90">
        <v>1</v>
      </c>
      <c r="X90">
        <v>36</v>
      </c>
      <c r="Y90">
        <v>0</v>
      </c>
      <c r="Z90">
        <v>0</v>
      </c>
      <c r="AA90">
        <v>0</v>
      </c>
      <c r="AB90">
        <v>9.6199999999999992</v>
      </c>
      <c r="AC90">
        <v>0</v>
      </c>
      <c r="AD90">
        <v>1</v>
      </c>
      <c r="AE90">
        <v>1</v>
      </c>
      <c r="AF90" t="s">
        <v>3</v>
      </c>
      <c r="AG90">
        <v>36</v>
      </c>
      <c r="AH90">
        <v>2</v>
      </c>
      <c r="AI90">
        <v>22714469</v>
      </c>
      <c r="AJ90">
        <v>81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ROW(Source!A73)</f>
        <v>73</v>
      </c>
      <c r="B91">
        <v>22714475</v>
      </c>
      <c r="C91">
        <v>22714468</v>
      </c>
      <c r="D91">
        <v>121548</v>
      </c>
      <c r="E91">
        <v>1</v>
      </c>
      <c r="F91">
        <v>1</v>
      </c>
      <c r="G91">
        <v>1</v>
      </c>
      <c r="H91">
        <v>1</v>
      </c>
      <c r="I91" t="s">
        <v>25</v>
      </c>
      <c r="J91" t="s">
        <v>3</v>
      </c>
      <c r="K91" t="s">
        <v>223</v>
      </c>
      <c r="L91">
        <v>608254</v>
      </c>
      <c r="N91">
        <v>1013</v>
      </c>
      <c r="O91" t="s">
        <v>224</v>
      </c>
      <c r="P91" t="s">
        <v>224</v>
      </c>
      <c r="Q91">
        <v>1</v>
      </c>
      <c r="X91">
        <v>1.42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2</v>
      </c>
      <c r="AF91" t="s">
        <v>3</v>
      </c>
      <c r="AG91">
        <v>1.42</v>
      </c>
      <c r="AH91">
        <v>2</v>
      </c>
      <c r="AI91">
        <v>22714470</v>
      </c>
      <c r="AJ91">
        <v>82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ROW(Source!A73)</f>
        <v>73</v>
      </c>
      <c r="B92">
        <v>22714476</v>
      </c>
      <c r="C92">
        <v>22714468</v>
      </c>
      <c r="D92">
        <v>16745744</v>
      </c>
      <c r="E92">
        <v>1</v>
      </c>
      <c r="F92">
        <v>1</v>
      </c>
      <c r="G92">
        <v>1</v>
      </c>
      <c r="H92">
        <v>2</v>
      </c>
      <c r="I92" t="s">
        <v>225</v>
      </c>
      <c r="J92" t="s">
        <v>293</v>
      </c>
      <c r="K92" t="s">
        <v>227</v>
      </c>
      <c r="L92">
        <v>1368</v>
      </c>
      <c r="N92">
        <v>1011</v>
      </c>
      <c r="O92" t="s">
        <v>294</v>
      </c>
      <c r="P92" t="s">
        <v>294</v>
      </c>
      <c r="Q92">
        <v>1</v>
      </c>
      <c r="X92">
        <v>1.42</v>
      </c>
      <c r="Y92">
        <v>0</v>
      </c>
      <c r="Z92">
        <v>89.99</v>
      </c>
      <c r="AA92">
        <v>10.06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1.42</v>
      </c>
      <c r="AH92">
        <v>2</v>
      </c>
      <c r="AI92">
        <v>22714471</v>
      </c>
      <c r="AJ92">
        <v>83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ROW(Source!A73)</f>
        <v>73</v>
      </c>
      <c r="B93">
        <v>22714477</v>
      </c>
      <c r="C93">
        <v>22714468</v>
      </c>
      <c r="D93">
        <v>16710410</v>
      </c>
      <c r="E93">
        <v>1</v>
      </c>
      <c r="F93">
        <v>1</v>
      </c>
      <c r="G93">
        <v>1</v>
      </c>
      <c r="H93">
        <v>3</v>
      </c>
      <c r="I93" t="s">
        <v>416</v>
      </c>
      <c r="J93" t="s">
        <v>417</v>
      </c>
      <c r="K93" t="s">
        <v>418</v>
      </c>
      <c r="L93">
        <v>1355</v>
      </c>
      <c r="N93">
        <v>1010</v>
      </c>
      <c r="O93" t="s">
        <v>284</v>
      </c>
      <c r="P93" t="s">
        <v>284</v>
      </c>
      <c r="Q93">
        <v>100</v>
      </c>
      <c r="X93">
        <v>0.04</v>
      </c>
      <c r="Y93">
        <v>86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0.04</v>
      </c>
      <c r="AH93">
        <v>2</v>
      </c>
      <c r="AI93">
        <v>22714472</v>
      </c>
      <c r="AJ93">
        <v>84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ROW(Source!A73)</f>
        <v>73</v>
      </c>
      <c r="B94">
        <v>22714478</v>
      </c>
      <c r="C94">
        <v>22714468</v>
      </c>
      <c r="D94">
        <v>16745434</v>
      </c>
      <c r="E94">
        <v>1</v>
      </c>
      <c r="F94">
        <v>1</v>
      </c>
      <c r="G94">
        <v>1</v>
      </c>
      <c r="H94">
        <v>3</v>
      </c>
      <c r="I94" t="s">
        <v>419</v>
      </c>
      <c r="J94" t="s">
        <v>420</v>
      </c>
      <c r="K94" t="s">
        <v>421</v>
      </c>
      <c r="L94">
        <v>11612290</v>
      </c>
      <c r="N94">
        <v>1009</v>
      </c>
      <c r="O94" t="s">
        <v>233</v>
      </c>
      <c r="P94" t="s">
        <v>422</v>
      </c>
      <c r="Q94">
        <v>1000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0</v>
      </c>
      <c r="AE94">
        <v>0</v>
      </c>
      <c r="AF94" t="s">
        <v>3</v>
      </c>
      <c r="AG94">
        <v>0</v>
      </c>
      <c r="AH94">
        <v>2</v>
      </c>
      <c r="AI94">
        <v>22714473</v>
      </c>
      <c r="AJ94">
        <v>85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ROW(Source!A74)</f>
        <v>74</v>
      </c>
      <c r="B95">
        <v>22714485</v>
      </c>
      <c r="C95">
        <v>22714479</v>
      </c>
      <c r="D95">
        <v>11610937</v>
      </c>
      <c r="E95">
        <v>1</v>
      </c>
      <c r="F95">
        <v>1</v>
      </c>
      <c r="G95">
        <v>1</v>
      </c>
      <c r="H95">
        <v>1</v>
      </c>
      <c r="I95" t="s">
        <v>295</v>
      </c>
      <c r="J95" t="s">
        <v>3</v>
      </c>
      <c r="K95" t="s">
        <v>296</v>
      </c>
      <c r="L95">
        <v>1369</v>
      </c>
      <c r="N95">
        <v>1013</v>
      </c>
      <c r="O95" t="s">
        <v>222</v>
      </c>
      <c r="P95" t="s">
        <v>222</v>
      </c>
      <c r="Q95">
        <v>1</v>
      </c>
      <c r="X95">
        <v>5.15</v>
      </c>
      <c r="Y95">
        <v>0</v>
      </c>
      <c r="Z95">
        <v>0</v>
      </c>
      <c r="AA95">
        <v>0</v>
      </c>
      <c r="AB95">
        <v>9.6199999999999992</v>
      </c>
      <c r="AC95">
        <v>0</v>
      </c>
      <c r="AD95">
        <v>1</v>
      </c>
      <c r="AE95">
        <v>1</v>
      </c>
      <c r="AF95" t="s">
        <v>3</v>
      </c>
      <c r="AG95">
        <v>5.15</v>
      </c>
      <c r="AH95">
        <v>2</v>
      </c>
      <c r="AI95">
        <v>22714480</v>
      </c>
      <c r="AJ95">
        <v>86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ROW(Source!A74)</f>
        <v>74</v>
      </c>
      <c r="B96">
        <v>22714486</v>
      </c>
      <c r="C96">
        <v>22714479</v>
      </c>
      <c r="D96">
        <v>16707310</v>
      </c>
      <c r="E96">
        <v>1</v>
      </c>
      <c r="F96">
        <v>1</v>
      </c>
      <c r="G96">
        <v>1</v>
      </c>
      <c r="H96">
        <v>3</v>
      </c>
      <c r="I96" t="s">
        <v>423</v>
      </c>
      <c r="J96" t="s">
        <v>424</v>
      </c>
      <c r="K96" t="s">
        <v>425</v>
      </c>
      <c r="L96">
        <v>1348</v>
      </c>
      <c r="N96">
        <v>1009</v>
      </c>
      <c r="O96" t="s">
        <v>233</v>
      </c>
      <c r="P96" t="s">
        <v>233</v>
      </c>
      <c r="Q96">
        <v>1000</v>
      </c>
      <c r="X96">
        <v>1.7000000000000001E-4</v>
      </c>
      <c r="Y96">
        <v>5850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1.7000000000000001E-4</v>
      </c>
      <c r="AH96">
        <v>2</v>
      </c>
      <c r="AI96">
        <v>22714481</v>
      </c>
      <c r="AJ96">
        <v>87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ROW(Source!A74)</f>
        <v>74</v>
      </c>
      <c r="B97">
        <v>22714487</v>
      </c>
      <c r="C97">
        <v>22714479</v>
      </c>
      <c r="D97">
        <v>16708795</v>
      </c>
      <c r="E97">
        <v>1</v>
      </c>
      <c r="F97">
        <v>1</v>
      </c>
      <c r="G97">
        <v>1</v>
      </c>
      <c r="H97">
        <v>3</v>
      </c>
      <c r="I97" t="s">
        <v>426</v>
      </c>
      <c r="J97" t="s">
        <v>427</v>
      </c>
      <c r="K97" t="s">
        <v>428</v>
      </c>
      <c r="L97">
        <v>1348</v>
      </c>
      <c r="N97">
        <v>1009</v>
      </c>
      <c r="O97" t="s">
        <v>233</v>
      </c>
      <c r="P97" t="s">
        <v>233</v>
      </c>
      <c r="Q97">
        <v>1000</v>
      </c>
      <c r="X97">
        <v>4.7999999999999996E-3</v>
      </c>
      <c r="Y97">
        <v>6720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4.7999999999999996E-3</v>
      </c>
      <c r="AH97">
        <v>2</v>
      </c>
      <c r="AI97">
        <v>22714482</v>
      </c>
      <c r="AJ97">
        <v>88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ROW(Source!A74)</f>
        <v>74</v>
      </c>
      <c r="B98">
        <v>22714488</v>
      </c>
      <c r="C98">
        <v>22714479</v>
      </c>
      <c r="D98">
        <v>16739091</v>
      </c>
      <c r="E98">
        <v>1</v>
      </c>
      <c r="F98">
        <v>1</v>
      </c>
      <c r="G98">
        <v>1</v>
      </c>
      <c r="H98">
        <v>3</v>
      </c>
      <c r="I98" t="s">
        <v>429</v>
      </c>
      <c r="J98" t="s">
        <v>430</v>
      </c>
      <c r="K98" t="s">
        <v>431</v>
      </c>
      <c r="L98">
        <v>1346</v>
      </c>
      <c r="N98">
        <v>1009</v>
      </c>
      <c r="O98" t="s">
        <v>243</v>
      </c>
      <c r="P98" t="s">
        <v>243</v>
      </c>
      <c r="Q98">
        <v>1</v>
      </c>
      <c r="X98">
        <v>14.4</v>
      </c>
      <c r="Y98">
        <v>4.16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14.4</v>
      </c>
      <c r="AH98">
        <v>2</v>
      </c>
      <c r="AI98">
        <v>22714483</v>
      </c>
      <c r="AJ98">
        <v>89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ROW(Source!A74)</f>
        <v>74</v>
      </c>
      <c r="B99">
        <v>22714489</v>
      </c>
      <c r="C99">
        <v>22714479</v>
      </c>
      <c r="D99">
        <v>16745360</v>
      </c>
      <c r="E99">
        <v>1</v>
      </c>
      <c r="F99">
        <v>1</v>
      </c>
      <c r="G99">
        <v>1</v>
      </c>
      <c r="H99">
        <v>3</v>
      </c>
      <c r="I99" t="s">
        <v>432</v>
      </c>
      <c r="J99" t="s">
        <v>433</v>
      </c>
      <c r="K99" t="s">
        <v>434</v>
      </c>
      <c r="L99">
        <v>1348</v>
      </c>
      <c r="N99">
        <v>1009</v>
      </c>
      <c r="O99" t="s">
        <v>233</v>
      </c>
      <c r="P99" t="s">
        <v>233</v>
      </c>
      <c r="Q99">
        <v>1000</v>
      </c>
      <c r="X99">
        <v>5.0000000000000002E-5</v>
      </c>
      <c r="Y99">
        <v>41210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5.0000000000000002E-5</v>
      </c>
      <c r="AH99">
        <v>2</v>
      </c>
      <c r="AI99">
        <v>22714484</v>
      </c>
      <c r="AJ99">
        <v>90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ROW(Source!A74)</f>
        <v>74</v>
      </c>
      <c r="B100">
        <v>22714490</v>
      </c>
      <c r="C100">
        <v>22714479</v>
      </c>
      <c r="D100">
        <v>16745434</v>
      </c>
      <c r="E100">
        <v>1</v>
      </c>
      <c r="F100">
        <v>1</v>
      </c>
      <c r="G100">
        <v>1</v>
      </c>
      <c r="H100">
        <v>3</v>
      </c>
      <c r="I100" t="s">
        <v>419</v>
      </c>
      <c r="J100" t="s">
        <v>420</v>
      </c>
      <c r="K100" t="s">
        <v>421</v>
      </c>
      <c r="L100">
        <v>11612290</v>
      </c>
      <c r="N100">
        <v>1009</v>
      </c>
      <c r="O100" t="s">
        <v>233</v>
      </c>
      <c r="P100" t="s">
        <v>422</v>
      </c>
      <c r="Q100">
        <v>1000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</v>
      </c>
      <c r="AD100">
        <v>0</v>
      </c>
      <c r="AE100">
        <v>0</v>
      </c>
      <c r="AF100" t="s">
        <v>3</v>
      </c>
      <c r="AG100">
        <v>0</v>
      </c>
      <c r="AH100">
        <v>3</v>
      </c>
      <c r="AI100">
        <v>-1</v>
      </c>
      <c r="AJ100" t="s">
        <v>3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ROW(Source!A97)</f>
        <v>97</v>
      </c>
      <c r="B101">
        <v>22714494</v>
      </c>
      <c r="C101">
        <v>22714491</v>
      </c>
      <c r="D101">
        <v>11611066</v>
      </c>
      <c r="E101">
        <v>1</v>
      </c>
      <c r="F101">
        <v>1</v>
      </c>
      <c r="G101">
        <v>1</v>
      </c>
      <c r="H101">
        <v>1</v>
      </c>
      <c r="I101" t="s">
        <v>435</v>
      </c>
      <c r="J101" t="s">
        <v>3</v>
      </c>
      <c r="K101" t="s">
        <v>436</v>
      </c>
      <c r="L101">
        <v>1369</v>
      </c>
      <c r="N101">
        <v>1013</v>
      </c>
      <c r="O101" t="s">
        <v>222</v>
      </c>
      <c r="P101" t="s">
        <v>222</v>
      </c>
      <c r="Q101">
        <v>1</v>
      </c>
      <c r="X101">
        <v>0.9</v>
      </c>
      <c r="Y101">
        <v>0</v>
      </c>
      <c r="Z101">
        <v>0</v>
      </c>
      <c r="AA101">
        <v>0</v>
      </c>
      <c r="AB101">
        <v>12.69</v>
      </c>
      <c r="AC101">
        <v>0</v>
      </c>
      <c r="AD101">
        <v>1</v>
      </c>
      <c r="AE101">
        <v>1</v>
      </c>
      <c r="AF101" t="s">
        <v>167</v>
      </c>
      <c r="AG101">
        <v>0.72000000000000008</v>
      </c>
      <c r="AH101">
        <v>2</v>
      </c>
      <c r="AI101">
        <v>22714492</v>
      </c>
      <c r="AJ101">
        <v>91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ROW(Source!A97)</f>
        <v>97</v>
      </c>
      <c r="B102">
        <v>22714495</v>
      </c>
      <c r="C102">
        <v>22714491</v>
      </c>
      <c r="D102">
        <v>11611078</v>
      </c>
      <c r="E102">
        <v>1</v>
      </c>
      <c r="F102">
        <v>1</v>
      </c>
      <c r="G102">
        <v>1</v>
      </c>
      <c r="H102">
        <v>1</v>
      </c>
      <c r="I102" t="s">
        <v>437</v>
      </c>
      <c r="J102" t="s">
        <v>3</v>
      </c>
      <c r="K102" t="s">
        <v>438</v>
      </c>
      <c r="L102">
        <v>1369</v>
      </c>
      <c r="N102">
        <v>1013</v>
      </c>
      <c r="O102" t="s">
        <v>222</v>
      </c>
      <c r="P102" t="s">
        <v>222</v>
      </c>
      <c r="Q102">
        <v>1</v>
      </c>
      <c r="X102">
        <v>0.6</v>
      </c>
      <c r="Y102">
        <v>0</v>
      </c>
      <c r="Z102">
        <v>0</v>
      </c>
      <c r="AA102">
        <v>0</v>
      </c>
      <c r="AB102">
        <v>10.210000000000001</v>
      </c>
      <c r="AC102">
        <v>0</v>
      </c>
      <c r="AD102">
        <v>1</v>
      </c>
      <c r="AE102">
        <v>1</v>
      </c>
      <c r="AF102" t="s">
        <v>167</v>
      </c>
      <c r="AG102">
        <v>0.48</v>
      </c>
      <c r="AH102">
        <v>2</v>
      </c>
      <c r="AI102">
        <v>22714493</v>
      </c>
      <c r="AJ102">
        <v>92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ROW(Source!A98)</f>
        <v>98</v>
      </c>
      <c r="B103">
        <v>22714499</v>
      </c>
      <c r="C103">
        <v>22714496</v>
      </c>
      <c r="D103">
        <v>11611066</v>
      </c>
      <c r="E103">
        <v>1</v>
      </c>
      <c r="F103">
        <v>1</v>
      </c>
      <c r="G103">
        <v>1</v>
      </c>
      <c r="H103">
        <v>1</v>
      </c>
      <c r="I103" t="s">
        <v>435</v>
      </c>
      <c r="J103" t="s">
        <v>3</v>
      </c>
      <c r="K103" t="s">
        <v>436</v>
      </c>
      <c r="L103">
        <v>1369</v>
      </c>
      <c r="N103">
        <v>1013</v>
      </c>
      <c r="O103" t="s">
        <v>222</v>
      </c>
      <c r="P103" t="s">
        <v>222</v>
      </c>
      <c r="Q103">
        <v>1</v>
      </c>
      <c r="X103">
        <v>17.399999999999999</v>
      </c>
      <c r="Y103">
        <v>0</v>
      </c>
      <c r="Z103">
        <v>0</v>
      </c>
      <c r="AA103">
        <v>0</v>
      </c>
      <c r="AB103">
        <v>12.69</v>
      </c>
      <c r="AC103">
        <v>0</v>
      </c>
      <c r="AD103">
        <v>1</v>
      </c>
      <c r="AE103">
        <v>1</v>
      </c>
      <c r="AF103" t="s">
        <v>167</v>
      </c>
      <c r="AG103">
        <v>13.92</v>
      </c>
      <c r="AH103">
        <v>2</v>
      </c>
      <c r="AI103">
        <v>22714497</v>
      </c>
      <c r="AJ103">
        <v>93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ROW(Source!A98)</f>
        <v>98</v>
      </c>
      <c r="B104">
        <v>22714500</v>
      </c>
      <c r="C104">
        <v>22714496</v>
      </c>
      <c r="D104">
        <v>11611078</v>
      </c>
      <c r="E104">
        <v>1</v>
      </c>
      <c r="F104">
        <v>1</v>
      </c>
      <c r="G104">
        <v>1</v>
      </c>
      <c r="H104">
        <v>1</v>
      </c>
      <c r="I104" t="s">
        <v>437</v>
      </c>
      <c r="J104" t="s">
        <v>3</v>
      </c>
      <c r="K104" t="s">
        <v>438</v>
      </c>
      <c r="L104">
        <v>1369</v>
      </c>
      <c r="N104">
        <v>1013</v>
      </c>
      <c r="O104" t="s">
        <v>222</v>
      </c>
      <c r="P104" t="s">
        <v>222</v>
      </c>
      <c r="Q104">
        <v>1</v>
      </c>
      <c r="X104">
        <v>11.6</v>
      </c>
      <c r="Y104">
        <v>0</v>
      </c>
      <c r="Z104">
        <v>0</v>
      </c>
      <c r="AA104">
        <v>0</v>
      </c>
      <c r="AB104">
        <v>10.210000000000001</v>
      </c>
      <c r="AC104">
        <v>0</v>
      </c>
      <c r="AD104">
        <v>1</v>
      </c>
      <c r="AE104">
        <v>1</v>
      </c>
      <c r="AF104" t="s">
        <v>167</v>
      </c>
      <c r="AG104">
        <v>9.2799999999999994</v>
      </c>
      <c r="AH104">
        <v>2</v>
      </c>
      <c r="AI104">
        <v>22714498</v>
      </c>
      <c r="AJ104">
        <v>94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Макет формы-3</vt:lpstr>
      <vt:lpstr>Акт КС-2 для ТЕР МО (индекс </vt:lpstr>
      <vt:lpstr>Локальная смета 12 гр. Для Т</vt:lpstr>
      <vt:lpstr>Source</vt:lpstr>
      <vt:lpstr>SmtRes</vt:lpstr>
      <vt:lpstr>EtalonRes</vt:lpstr>
      <vt:lpstr>ClcRes</vt:lpstr>
      <vt:lpstr>'Акт КС-2 для ТЕР МО (индекс '!Заголовки_для_печати</vt:lpstr>
      <vt:lpstr>'Локальная смета 12 гр. Для Т'!Заголовки_для_печати</vt:lpstr>
      <vt:lpstr>'Акт КС-2 для ТЕР МО (индекс '!Область_печати</vt:lpstr>
      <vt:lpstr>'Локальная смета 12 гр. Для 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2012-03-11T06:34:32Z</cp:lastPrinted>
  <dcterms:created xsi:type="dcterms:W3CDTF">2012-03-07T10:12:29Z</dcterms:created>
  <dcterms:modified xsi:type="dcterms:W3CDTF">2012-03-11T06:46:48Z</dcterms:modified>
</cp:coreProperties>
</file>