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85" yWindow="120" windowWidth="13245" windowHeight="7515" activeTab="1"/>
  </bookViews>
  <sheets>
    <sheet name="Форма по МДС 81-35.2004" sheetId="1" r:id="rId1"/>
    <sheet name="Ресурсы" sheetId="2" r:id="rId2"/>
    <sheet name="Базовые цены за единицу" sheetId="3" r:id="rId3"/>
    <sheet name="Текущие цены за единицу" sheetId="4" r:id="rId4"/>
    <sheet name="Базовые цены с учетом расхода" sheetId="5" r:id="rId5"/>
    <sheet name="Текущие цены с учетом расхода" sheetId="6" r:id="rId6"/>
    <sheet name="Начисления" sheetId="7" r:id="rId7"/>
    <sheet name="Определители" sheetId="8" r:id="rId8"/>
    <sheet name="Базовые концовки" sheetId="9" r:id="rId9"/>
    <sheet name="Текущие концовки" sheetId="10" r:id="rId10"/>
  </sheets>
  <calcPr calcId="144525"/>
</workbook>
</file>

<file path=xl/calcChain.xml><?xml version="1.0" encoding="utf-8"?>
<calcChain xmlns="http://schemas.openxmlformats.org/spreadsheetml/2006/main">
  <c r="D201" i="1" l="1"/>
  <c r="D222" i="1"/>
  <c r="D262" i="1"/>
  <c r="D260" i="1"/>
  <c r="D257" i="1"/>
  <c r="D254" i="1"/>
  <c r="D252" i="1"/>
  <c r="D250" i="1"/>
  <c r="D248" i="1"/>
  <c r="D246" i="1"/>
  <c r="D243" i="1"/>
  <c r="D291" i="1"/>
  <c r="D331" i="1"/>
  <c r="D352" i="1"/>
  <c r="D381" i="1"/>
  <c r="D379" i="1"/>
  <c r="D377" i="1"/>
  <c r="D374" i="1"/>
  <c r="D410" i="1"/>
  <c r="D407" i="1"/>
  <c r="D456" i="1"/>
  <c r="D453" i="1"/>
  <c r="I494" i="1"/>
  <c r="C11" i="6"/>
  <c r="D11" i="6"/>
  <c r="F11" i="6"/>
  <c r="C7" i="6"/>
  <c r="D7" i="6"/>
  <c r="F7" i="6"/>
  <c r="C7" i="5"/>
  <c r="D7" i="5"/>
  <c r="F7" i="5"/>
  <c r="C8" i="5"/>
  <c r="B8" i="5"/>
  <c r="AD8" i="5" s="1"/>
  <c r="D8" i="5"/>
  <c r="F8" i="5"/>
  <c r="C8" i="6"/>
  <c r="D8" i="6"/>
  <c r="F8" i="6"/>
  <c r="B8" i="6"/>
  <c r="C9" i="5"/>
  <c r="D9" i="5"/>
  <c r="F9" i="5"/>
  <c r="C9" i="6"/>
  <c r="D9" i="6"/>
  <c r="F9" i="6"/>
  <c r="B9" i="6"/>
  <c r="C6" i="5"/>
  <c r="D6" i="5"/>
  <c r="F6" i="5"/>
  <c r="B6" i="5"/>
  <c r="C6" i="6"/>
  <c r="D6" i="6"/>
  <c r="F6" i="6"/>
  <c r="E6" i="5"/>
  <c r="N6" i="5"/>
  <c r="F37" i="9" s="1"/>
  <c r="E6" i="6"/>
  <c r="N6" i="6"/>
  <c r="P6" i="5"/>
  <c r="P6" i="6"/>
  <c r="Q6" i="5"/>
  <c r="Q6" i="6"/>
  <c r="O6" i="6"/>
  <c r="R6" i="5"/>
  <c r="R6" i="6"/>
  <c r="S6" i="5"/>
  <c r="S6" i="6"/>
  <c r="F8" i="9"/>
  <c r="G8" i="9"/>
  <c r="H8" i="9"/>
  <c r="I8" i="9"/>
  <c r="J8" i="9"/>
  <c r="K8" i="9"/>
  <c r="L8" i="9"/>
  <c r="F18" i="9"/>
  <c r="G18" i="9"/>
  <c r="H18" i="9"/>
  <c r="I18" i="9"/>
  <c r="J18" i="9"/>
  <c r="K18" i="9"/>
  <c r="L18" i="9"/>
  <c r="G20" i="9"/>
  <c r="F21" i="9"/>
  <c r="F23" i="9"/>
  <c r="F24" i="9"/>
  <c r="F25" i="9"/>
  <c r="C10" i="5"/>
  <c r="O10" i="5"/>
  <c r="D10" i="5"/>
  <c r="F10" i="5"/>
  <c r="C11" i="5"/>
  <c r="D11" i="5"/>
  <c r="F11" i="5"/>
  <c r="C12" i="5"/>
  <c r="D12" i="5"/>
  <c r="F12" i="5"/>
  <c r="B13" i="5"/>
  <c r="G494" i="1"/>
  <c r="C14" i="5"/>
  <c r="C26" i="5"/>
  <c r="O26" i="5"/>
  <c r="C27" i="5"/>
  <c r="D13" i="5"/>
  <c r="E7" i="5"/>
  <c r="E8" i="5"/>
  <c r="O8" i="5"/>
  <c r="E9" i="5"/>
  <c r="E10" i="5"/>
  <c r="E11" i="5"/>
  <c r="E12" i="5"/>
  <c r="E13" i="5"/>
  <c r="D180" i="1"/>
  <c r="E26" i="5"/>
  <c r="E27" i="5"/>
  <c r="N27" i="5"/>
  <c r="H504" i="1"/>
  <c r="F13" i="5"/>
  <c r="F14" i="5"/>
  <c r="F15" i="5"/>
  <c r="F16" i="5"/>
  <c r="F20" i="5"/>
  <c r="F25" i="5"/>
  <c r="F26" i="5"/>
  <c r="F27" i="5"/>
  <c r="H7" i="5"/>
  <c r="H8" i="5"/>
  <c r="H9" i="5"/>
  <c r="H10" i="5"/>
  <c r="H11" i="5"/>
  <c r="H12" i="5"/>
  <c r="H13" i="5"/>
  <c r="H14" i="5"/>
  <c r="H15" i="5"/>
  <c r="H16" i="5"/>
  <c r="H17" i="5"/>
  <c r="H18" i="5"/>
  <c r="H20" i="5"/>
  <c r="H21" i="5"/>
  <c r="H22" i="5"/>
  <c r="H23" i="5"/>
  <c r="H25" i="5"/>
  <c r="H26" i="5"/>
  <c r="H27" i="5"/>
  <c r="F31" i="9"/>
  <c r="N7" i="5"/>
  <c r="N8" i="5"/>
  <c r="N9" i="5"/>
  <c r="N10" i="5"/>
  <c r="N11" i="5"/>
  <c r="N12" i="5"/>
  <c r="N13" i="5"/>
  <c r="N26" i="5"/>
  <c r="O7" i="5"/>
  <c r="O9" i="5"/>
  <c r="O11" i="5"/>
  <c r="O12" i="5"/>
  <c r="O13" i="5"/>
  <c r="O27" i="5"/>
  <c r="C19" i="5"/>
  <c r="C24" i="5"/>
  <c r="G35" i="9"/>
  <c r="D19" i="5"/>
  <c r="D24" i="5"/>
  <c r="H35" i="9"/>
  <c r="E19" i="5"/>
  <c r="E24" i="5"/>
  <c r="H6" i="5"/>
  <c r="H19" i="5"/>
  <c r="H24" i="5"/>
  <c r="N19" i="5"/>
  <c r="O19" i="5"/>
  <c r="F40" i="9"/>
  <c r="G40" i="9"/>
  <c r="H40" i="9"/>
  <c r="I40" i="9"/>
  <c r="J40" i="9"/>
  <c r="K40" i="9"/>
  <c r="L40" i="9"/>
  <c r="F43" i="9"/>
  <c r="F44" i="9"/>
  <c r="F45" i="9"/>
  <c r="F47" i="9"/>
  <c r="F48" i="9"/>
  <c r="G48" i="9"/>
  <c r="H48" i="9"/>
  <c r="I48" i="9"/>
  <c r="J48" i="9"/>
  <c r="K48" i="9"/>
  <c r="L48" i="9"/>
  <c r="F49" i="9"/>
  <c r="F50" i="9"/>
  <c r="F51" i="9"/>
  <c r="F53" i="9"/>
  <c r="G53" i="9"/>
  <c r="H53" i="9"/>
  <c r="I53" i="9"/>
  <c r="J53" i="9"/>
  <c r="K53" i="9"/>
  <c r="L53" i="9"/>
  <c r="F54" i="9"/>
  <c r="F55" i="9"/>
  <c r="F56" i="9"/>
  <c r="F57" i="9"/>
  <c r="F58" i="9"/>
  <c r="G58" i="9"/>
  <c r="H58" i="9"/>
  <c r="I58" i="9"/>
  <c r="J58" i="9"/>
  <c r="K58" i="9"/>
  <c r="L58" i="9"/>
  <c r="F61" i="9"/>
  <c r="F62" i="9"/>
  <c r="F63" i="9"/>
  <c r="F65" i="9"/>
  <c r="G65" i="9"/>
  <c r="H65" i="9"/>
  <c r="I65" i="9"/>
  <c r="J65" i="9"/>
  <c r="K65" i="9"/>
  <c r="L65" i="9"/>
  <c r="F66" i="9"/>
  <c r="F67" i="9"/>
  <c r="F68" i="9"/>
  <c r="F69" i="9"/>
  <c r="G69" i="9"/>
  <c r="H69" i="9"/>
  <c r="I69" i="9"/>
  <c r="J69" i="9"/>
  <c r="K69" i="9"/>
  <c r="L69" i="9"/>
  <c r="F70" i="9"/>
  <c r="F71" i="9"/>
  <c r="F72" i="9"/>
  <c r="F74" i="9"/>
  <c r="G74" i="9"/>
  <c r="G76" i="9"/>
  <c r="H74" i="9"/>
  <c r="H76" i="9"/>
  <c r="I74" i="9"/>
  <c r="J74" i="9"/>
  <c r="K74" i="9"/>
  <c r="L74" i="9"/>
  <c r="L76" i="9"/>
  <c r="F75" i="9"/>
  <c r="I76" i="9"/>
  <c r="J76" i="9"/>
  <c r="K76" i="9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G493" i="1"/>
  <c r="A6" i="5"/>
  <c r="G6" i="5"/>
  <c r="L6" i="5"/>
  <c r="M6" i="5"/>
  <c r="T6" i="5"/>
  <c r="U6" i="5"/>
  <c r="V6" i="5"/>
  <c r="X6" i="5"/>
  <c r="Y6" i="5"/>
  <c r="Z6" i="5"/>
  <c r="AA6" i="5"/>
  <c r="AB6" i="5"/>
  <c r="AC6" i="5"/>
  <c r="AD6" i="5"/>
  <c r="AE6" i="5"/>
  <c r="A7" i="5"/>
  <c r="G7" i="5"/>
  <c r="L7" i="5"/>
  <c r="M7" i="5"/>
  <c r="P7" i="5"/>
  <c r="Q7" i="5"/>
  <c r="R7" i="5"/>
  <c r="S7" i="5"/>
  <c r="T7" i="5"/>
  <c r="U7" i="5"/>
  <c r="V7" i="5"/>
  <c r="X7" i="5"/>
  <c r="Y7" i="5"/>
  <c r="Z7" i="5"/>
  <c r="AA7" i="5"/>
  <c r="AB7" i="5"/>
  <c r="AE7" i="5"/>
  <c r="A8" i="5"/>
  <c r="G8" i="5"/>
  <c r="L8" i="5"/>
  <c r="M8" i="5"/>
  <c r="P8" i="5"/>
  <c r="Q8" i="5"/>
  <c r="R8" i="5"/>
  <c r="S8" i="5"/>
  <c r="T8" i="5"/>
  <c r="U8" i="5"/>
  <c r="V8" i="5"/>
  <c r="X8" i="5"/>
  <c r="Y8" i="5"/>
  <c r="Z8" i="5"/>
  <c r="AA8" i="5"/>
  <c r="AB8" i="5"/>
  <c r="AE8" i="5"/>
  <c r="A9" i="5"/>
  <c r="G9" i="5"/>
  <c r="L9" i="5"/>
  <c r="M9" i="5"/>
  <c r="P9" i="5"/>
  <c r="Q9" i="5"/>
  <c r="R9" i="5"/>
  <c r="S9" i="5"/>
  <c r="T9" i="5"/>
  <c r="U9" i="5"/>
  <c r="V9" i="5"/>
  <c r="X9" i="5"/>
  <c r="Y9" i="5"/>
  <c r="Z9" i="5"/>
  <c r="AA9" i="5"/>
  <c r="AB9" i="5"/>
  <c r="AE9" i="5"/>
  <c r="A10" i="5"/>
  <c r="G10" i="5"/>
  <c r="L10" i="5"/>
  <c r="M10" i="5"/>
  <c r="P10" i="5"/>
  <c r="Q10" i="5"/>
  <c r="R10" i="5"/>
  <c r="S10" i="5"/>
  <c r="T10" i="5"/>
  <c r="U10" i="5"/>
  <c r="V10" i="5"/>
  <c r="X10" i="5"/>
  <c r="Y10" i="5"/>
  <c r="Z10" i="5"/>
  <c r="AA10" i="5"/>
  <c r="AB10" i="5"/>
  <c r="AE10" i="5"/>
  <c r="A11" i="5"/>
  <c r="G11" i="5"/>
  <c r="L11" i="5"/>
  <c r="M11" i="5"/>
  <c r="P11" i="5"/>
  <c r="Q11" i="5"/>
  <c r="R11" i="5"/>
  <c r="S11" i="5"/>
  <c r="T11" i="5"/>
  <c r="U11" i="5"/>
  <c r="V11" i="5"/>
  <c r="X11" i="5"/>
  <c r="Y11" i="5"/>
  <c r="Z11" i="5"/>
  <c r="AA11" i="5"/>
  <c r="AB11" i="5"/>
  <c r="AE11" i="5"/>
  <c r="A12" i="5"/>
  <c r="G12" i="5"/>
  <c r="L12" i="5"/>
  <c r="M12" i="5"/>
  <c r="P12" i="5"/>
  <c r="Q12" i="5"/>
  <c r="R12" i="5"/>
  <c r="S12" i="5"/>
  <c r="T12" i="5"/>
  <c r="U12" i="5"/>
  <c r="V12" i="5"/>
  <c r="X12" i="5"/>
  <c r="Y12" i="5"/>
  <c r="Z12" i="5"/>
  <c r="AA12" i="5"/>
  <c r="AB12" i="5"/>
  <c r="AC12" i="5"/>
  <c r="AD12" i="5"/>
  <c r="AE12" i="5"/>
  <c r="A13" i="5"/>
  <c r="G13" i="5"/>
  <c r="L13" i="5"/>
  <c r="M13" i="5"/>
  <c r="P13" i="5"/>
  <c r="Q13" i="5"/>
  <c r="R13" i="5"/>
  <c r="S13" i="5"/>
  <c r="T13" i="5"/>
  <c r="U13" i="5"/>
  <c r="V13" i="5"/>
  <c r="X13" i="5"/>
  <c r="Y13" i="5"/>
  <c r="Z13" i="5"/>
  <c r="AA13" i="5"/>
  <c r="AB13" i="5"/>
  <c r="AC13" i="5"/>
  <c r="AD13" i="5"/>
  <c r="AE13" i="5"/>
  <c r="A14" i="5"/>
  <c r="G14" i="5"/>
  <c r="L14" i="5"/>
  <c r="M14" i="5"/>
  <c r="P14" i="5"/>
  <c r="Q14" i="5"/>
  <c r="R14" i="5"/>
  <c r="S14" i="5"/>
  <c r="T14" i="5"/>
  <c r="U14" i="5"/>
  <c r="V14" i="5"/>
  <c r="X14" i="5"/>
  <c r="AE14" i="5"/>
  <c r="A15" i="5"/>
  <c r="G15" i="5"/>
  <c r="L15" i="5"/>
  <c r="M15" i="5"/>
  <c r="P15" i="5"/>
  <c r="Q15" i="5"/>
  <c r="R15" i="5"/>
  <c r="S15" i="5"/>
  <c r="T15" i="5"/>
  <c r="U15" i="5"/>
  <c r="V15" i="5"/>
  <c r="X15" i="5"/>
  <c r="AE15" i="5"/>
  <c r="A16" i="5"/>
  <c r="G16" i="5"/>
  <c r="L16" i="5"/>
  <c r="M16" i="5"/>
  <c r="P16" i="5"/>
  <c r="Q16" i="5"/>
  <c r="R16" i="5"/>
  <c r="S16" i="5"/>
  <c r="T16" i="5"/>
  <c r="U16" i="5"/>
  <c r="V16" i="5"/>
  <c r="X16" i="5"/>
  <c r="AE16" i="5"/>
  <c r="A17" i="5"/>
  <c r="G17" i="5"/>
  <c r="L17" i="5"/>
  <c r="M17" i="5"/>
  <c r="P17" i="5"/>
  <c r="Q17" i="5"/>
  <c r="R17" i="5"/>
  <c r="S17" i="5"/>
  <c r="T17" i="5"/>
  <c r="U17" i="5"/>
  <c r="V17" i="5"/>
  <c r="X17" i="5"/>
  <c r="AE17" i="5"/>
  <c r="A18" i="5"/>
  <c r="G18" i="5"/>
  <c r="L18" i="5"/>
  <c r="M18" i="5"/>
  <c r="P18" i="5"/>
  <c r="Q18" i="5"/>
  <c r="R18" i="5"/>
  <c r="S18" i="5"/>
  <c r="T18" i="5"/>
  <c r="U18" i="5"/>
  <c r="V18" i="5"/>
  <c r="X18" i="5"/>
  <c r="AE18" i="5"/>
  <c r="A19" i="5"/>
  <c r="G19" i="5"/>
  <c r="L19" i="5"/>
  <c r="M19" i="5"/>
  <c r="P19" i="5"/>
  <c r="Q19" i="5"/>
  <c r="R19" i="5"/>
  <c r="S19" i="5"/>
  <c r="T19" i="5"/>
  <c r="U19" i="5"/>
  <c r="V19" i="5"/>
  <c r="X19" i="5"/>
  <c r="Y19" i="5"/>
  <c r="Z19" i="5"/>
  <c r="AA19" i="5"/>
  <c r="AB19" i="5"/>
  <c r="AE19" i="5"/>
  <c r="A20" i="5"/>
  <c r="G20" i="5"/>
  <c r="L20" i="5"/>
  <c r="M20" i="5"/>
  <c r="P20" i="5"/>
  <c r="Q20" i="5"/>
  <c r="R20" i="5"/>
  <c r="S20" i="5"/>
  <c r="T20" i="5"/>
  <c r="U20" i="5"/>
  <c r="V20" i="5"/>
  <c r="X20" i="5"/>
  <c r="AE20" i="5"/>
  <c r="A21" i="5"/>
  <c r="G21" i="5"/>
  <c r="L21" i="5"/>
  <c r="M21" i="5"/>
  <c r="P21" i="5"/>
  <c r="Q21" i="5"/>
  <c r="R21" i="5"/>
  <c r="S21" i="5"/>
  <c r="T21" i="5"/>
  <c r="U21" i="5"/>
  <c r="V21" i="5"/>
  <c r="X21" i="5"/>
  <c r="AE21" i="5"/>
  <c r="A22" i="5"/>
  <c r="G22" i="5"/>
  <c r="L22" i="5"/>
  <c r="M22" i="5"/>
  <c r="P22" i="5"/>
  <c r="Q22" i="5"/>
  <c r="R22" i="5"/>
  <c r="S22" i="5"/>
  <c r="T22" i="5"/>
  <c r="U22" i="5"/>
  <c r="V22" i="5"/>
  <c r="X22" i="5"/>
  <c r="AE22" i="5"/>
  <c r="A23" i="5"/>
  <c r="G23" i="5"/>
  <c r="L23" i="5"/>
  <c r="M23" i="5"/>
  <c r="P23" i="5"/>
  <c r="Q23" i="5"/>
  <c r="R23" i="5"/>
  <c r="S23" i="5"/>
  <c r="T23" i="5"/>
  <c r="U23" i="5"/>
  <c r="V23" i="5"/>
  <c r="X23" i="5"/>
  <c r="AE23" i="5"/>
  <c r="A24" i="5"/>
  <c r="G24" i="5"/>
  <c r="L24" i="5"/>
  <c r="M24" i="5"/>
  <c r="P24" i="5"/>
  <c r="Q24" i="5"/>
  <c r="R24" i="5"/>
  <c r="S24" i="5"/>
  <c r="T24" i="5"/>
  <c r="U24" i="5"/>
  <c r="V24" i="5"/>
  <c r="X24" i="5"/>
  <c r="Y24" i="5"/>
  <c r="Z24" i="5"/>
  <c r="AA24" i="5"/>
  <c r="AB24" i="5"/>
  <c r="AE24" i="5"/>
  <c r="A25" i="5"/>
  <c r="G25" i="5"/>
  <c r="L25" i="5"/>
  <c r="M25" i="5"/>
  <c r="P25" i="5"/>
  <c r="Q25" i="5"/>
  <c r="R25" i="5"/>
  <c r="S25" i="5"/>
  <c r="T25" i="5"/>
  <c r="U25" i="5"/>
  <c r="V25" i="5"/>
  <c r="X25" i="5"/>
  <c r="AE25" i="5"/>
  <c r="A26" i="5"/>
  <c r="G26" i="5"/>
  <c r="L26" i="5"/>
  <c r="M26" i="5"/>
  <c r="P26" i="5"/>
  <c r="Q26" i="5"/>
  <c r="R26" i="5"/>
  <c r="S26" i="5"/>
  <c r="T26" i="5"/>
  <c r="U26" i="5"/>
  <c r="V26" i="5"/>
  <c r="X26" i="5"/>
  <c r="Y26" i="5"/>
  <c r="Z26" i="5"/>
  <c r="AA26" i="5"/>
  <c r="AB26" i="5"/>
  <c r="AE26" i="5"/>
  <c r="A27" i="5"/>
  <c r="G27" i="5"/>
  <c r="L27" i="5"/>
  <c r="M27" i="5"/>
  <c r="P27" i="5"/>
  <c r="Q27" i="5"/>
  <c r="R27" i="5"/>
  <c r="S27" i="5"/>
  <c r="T27" i="5"/>
  <c r="U27" i="5"/>
  <c r="V27" i="5"/>
  <c r="X27" i="5"/>
  <c r="Y27" i="5"/>
  <c r="Z27" i="5"/>
  <c r="AA27" i="5"/>
  <c r="AB27" i="5"/>
  <c r="AE27" i="5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F8" i="10"/>
  <c r="G8" i="10"/>
  <c r="H8" i="10"/>
  <c r="I8" i="10"/>
  <c r="J8" i="10"/>
  <c r="K8" i="10"/>
  <c r="L8" i="10"/>
  <c r="F18" i="10"/>
  <c r="G18" i="10"/>
  <c r="H18" i="10"/>
  <c r="I18" i="10"/>
  <c r="J18" i="10"/>
  <c r="K18" i="10"/>
  <c r="L18" i="10"/>
  <c r="G20" i="10"/>
  <c r="F21" i="10"/>
  <c r="F23" i="10"/>
  <c r="F24" i="10"/>
  <c r="F25" i="10"/>
  <c r="F27" i="10"/>
  <c r="J536" i="1" s="1"/>
  <c r="C10" i="6"/>
  <c r="D10" i="6"/>
  <c r="F10" i="6"/>
  <c r="C12" i="6"/>
  <c r="D12" i="6"/>
  <c r="F12" i="6"/>
  <c r="B13" i="6"/>
  <c r="C14" i="6"/>
  <c r="C26" i="6"/>
  <c r="C27" i="6"/>
  <c r="O27" i="6"/>
  <c r="J507" i="1"/>
  <c r="D13" i="6"/>
  <c r="E7" i="6"/>
  <c r="N7" i="6"/>
  <c r="E8" i="6"/>
  <c r="E9" i="6"/>
  <c r="O9" i="6"/>
  <c r="E10" i="6"/>
  <c r="E11" i="6"/>
  <c r="O11" i="6"/>
  <c r="E12" i="6"/>
  <c r="E13" i="6"/>
  <c r="E26" i="6"/>
  <c r="E27" i="6"/>
  <c r="F13" i="6"/>
  <c r="F14" i="6"/>
  <c r="F15" i="6"/>
  <c r="F16" i="6"/>
  <c r="F20" i="6"/>
  <c r="F25" i="6"/>
  <c r="F26" i="6"/>
  <c r="F27" i="6"/>
  <c r="H7" i="6"/>
  <c r="H8" i="6"/>
  <c r="H9" i="6"/>
  <c r="H10" i="6"/>
  <c r="H11" i="6"/>
  <c r="H12" i="6"/>
  <c r="H13" i="6"/>
  <c r="H14" i="6"/>
  <c r="H15" i="6"/>
  <c r="H16" i="6"/>
  <c r="H17" i="6"/>
  <c r="H18" i="6"/>
  <c r="H20" i="6"/>
  <c r="H21" i="6"/>
  <c r="H22" i="6"/>
  <c r="H23" i="6"/>
  <c r="H25" i="6"/>
  <c r="H26" i="6"/>
  <c r="H27" i="6"/>
  <c r="F31" i="10"/>
  <c r="N8" i="6"/>
  <c r="N9" i="6"/>
  <c r="N10" i="6"/>
  <c r="N11" i="6"/>
  <c r="N12" i="6"/>
  <c r="N13" i="6"/>
  <c r="N26" i="6"/>
  <c r="N27" i="6"/>
  <c r="O8" i="6"/>
  <c r="O10" i="6"/>
  <c r="O12" i="6"/>
  <c r="O13" i="6"/>
  <c r="O26" i="6"/>
  <c r="C19" i="6"/>
  <c r="N19" i="6"/>
  <c r="C24" i="6"/>
  <c r="D19" i="6"/>
  <c r="D24" i="6"/>
  <c r="E19" i="6"/>
  <c r="E24" i="6"/>
  <c r="H6" i="6"/>
  <c r="H19" i="6"/>
  <c r="H24" i="6"/>
  <c r="O19" i="6"/>
  <c r="F40" i="10"/>
  <c r="G40" i="10"/>
  <c r="H40" i="10"/>
  <c r="I40" i="10"/>
  <c r="J40" i="10"/>
  <c r="K40" i="10"/>
  <c r="L40" i="10"/>
  <c r="F43" i="10"/>
  <c r="F44" i="10"/>
  <c r="F45" i="10"/>
  <c r="F47" i="10"/>
  <c r="F48" i="10"/>
  <c r="G48" i="10"/>
  <c r="H48" i="10"/>
  <c r="I48" i="10"/>
  <c r="J48" i="10"/>
  <c r="K48" i="10"/>
  <c r="L48" i="10"/>
  <c r="F49" i="10"/>
  <c r="F50" i="10"/>
  <c r="F51" i="10"/>
  <c r="F53" i="10"/>
  <c r="G53" i="10"/>
  <c r="H53" i="10"/>
  <c r="I53" i="10"/>
  <c r="J53" i="10"/>
  <c r="K53" i="10"/>
  <c r="L53" i="10"/>
  <c r="F54" i="10"/>
  <c r="F55" i="10"/>
  <c r="F56" i="10"/>
  <c r="F57" i="10"/>
  <c r="F58" i="10"/>
  <c r="G58" i="10"/>
  <c r="H58" i="10"/>
  <c r="I58" i="10"/>
  <c r="J58" i="10"/>
  <c r="K58" i="10"/>
  <c r="L58" i="10"/>
  <c r="F61" i="10"/>
  <c r="F62" i="10"/>
  <c r="F63" i="10"/>
  <c r="F65" i="10"/>
  <c r="G65" i="10"/>
  <c r="H65" i="10"/>
  <c r="I65" i="10"/>
  <c r="J65" i="10"/>
  <c r="K65" i="10"/>
  <c r="L65" i="10"/>
  <c r="F66" i="10"/>
  <c r="F67" i="10"/>
  <c r="F68" i="10"/>
  <c r="F69" i="10"/>
  <c r="G69" i="10"/>
  <c r="H69" i="10"/>
  <c r="I69" i="10"/>
  <c r="J69" i="10"/>
  <c r="K69" i="10"/>
  <c r="L69" i="10"/>
  <c r="F70" i="10"/>
  <c r="F71" i="10"/>
  <c r="F72" i="10"/>
  <c r="F73" i="10"/>
  <c r="F74" i="10"/>
  <c r="G74" i="10"/>
  <c r="G76" i="10"/>
  <c r="H74" i="10"/>
  <c r="H76" i="10"/>
  <c r="I74" i="10"/>
  <c r="J74" i="10"/>
  <c r="K74" i="10"/>
  <c r="L74" i="10"/>
  <c r="L76" i="10"/>
  <c r="F75" i="10"/>
  <c r="I76" i="10"/>
  <c r="J76" i="10"/>
  <c r="K76" i="10"/>
  <c r="A6" i="4"/>
  <c r="A7" i="4"/>
  <c r="A8" i="4"/>
  <c r="A9" i="4"/>
  <c r="A10" i="4"/>
  <c r="A11" i="4"/>
  <c r="A12" i="4"/>
  <c r="A13" i="4"/>
  <c r="B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I493" i="1"/>
  <c r="A6" i="6"/>
  <c r="G6" i="6"/>
  <c r="L6" i="6"/>
  <c r="M6" i="6"/>
  <c r="T6" i="6"/>
  <c r="U6" i="6"/>
  <c r="V6" i="6"/>
  <c r="X6" i="6"/>
  <c r="L84" i="10"/>
  <c r="Y6" i="6"/>
  <c r="Z6" i="6"/>
  <c r="AA6" i="6"/>
  <c r="AB6" i="6"/>
  <c r="AE6" i="6"/>
  <c r="A7" i="6"/>
  <c r="G7" i="6"/>
  <c r="L7" i="6"/>
  <c r="M7" i="6"/>
  <c r="P7" i="6"/>
  <c r="Q7" i="6"/>
  <c r="R7" i="6"/>
  <c r="S7" i="6"/>
  <c r="T7" i="6"/>
  <c r="U7" i="6"/>
  <c r="V7" i="6"/>
  <c r="X7" i="6"/>
  <c r="Y7" i="6"/>
  <c r="Z7" i="6"/>
  <c r="AA7" i="6"/>
  <c r="AB7" i="6"/>
  <c r="AE7" i="6"/>
  <c r="A8" i="6"/>
  <c r="G8" i="6"/>
  <c r="L8" i="6"/>
  <c r="M8" i="6"/>
  <c r="P8" i="6"/>
  <c r="Q8" i="6"/>
  <c r="R8" i="6"/>
  <c r="S8" i="6"/>
  <c r="T8" i="6"/>
  <c r="U8" i="6"/>
  <c r="V8" i="6"/>
  <c r="X8" i="6"/>
  <c r="Y8" i="6"/>
  <c r="Z8" i="6"/>
  <c r="AA8" i="6"/>
  <c r="AB8" i="6"/>
  <c r="AE8" i="6"/>
  <c r="A9" i="6"/>
  <c r="G9" i="6"/>
  <c r="L9" i="6"/>
  <c r="M9" i="6"/>
  <c r="P9" i="6"/>
  <c r="Q9" i="6"/>
  <c r="R9" i="6"/>
  <c r="S9" i="6"/>
  <c r="T9" i="6"/>
  <c r="U9" i="6"/>
  <c r="V9" i="6"/>
  <c r="X9" i="6"/>
  <c r="Y9" i="6"/>
  <c r="Z9" i="6"/>
  <c r="AA9" i="6"/>
  <c r="AB9" i="6"/>
  <c r="AC9" i="6"/>
  <c r="AD9" i="6"/>
  <c r="AE9" i="6"/>
  <c r="A10" i="6"/>
  <c r="G10" i="6"/>
  <c r="L10" i="6"/>
  <c r="M10" i="6"/>
  <c r="P10" i="6"/>
  <c r="Q10" i="6"/>
  <c r="R10" i="6"/>
  <c r="S10" i="6"/>
  <c r="T10" i="6"/>
  <c r="U10" i="6"/>
  <c r="V10" i="6"/>
  <c r="X10" i="6"/>
  <c r="Y10" i="6"/>
  <c r="Z10" i="6"/>
  <c r="AA10" i="6"/>
  <c r="AB10" i="6"/>
  <c r="AE10" i="6"/>
  <c r="A11" i="6"/>
  <c r="G11" i="6"/>
  <c r="L11" i="6"/>
  <c r="M11" i="6"/>
  <c r="P11" i="6"/>
  <c r="Q11" i="6"/>
  <c r="R11" i="6"/>
  <c r="S11" i="6"/>
  <c r="T11" i="6"/>
  <c r="U11" i="6"/>
  <c r="V11" i="6"/>
  <c r="X11" i="6"/>
  <c r="Y11" i="6"/>
  <c r="Z11" i="6"/>
  <c r="AA11" i="6"/>
  <c r="AB11" i="6"/>
  <c r="AE11" i="6"/>
  <c r="A12" i="6"/>
  <c r="G12" i="6"/>
  <c r="L12" i="6"/>
  <c r="M12" i="6"/>
  <c r="P12" i="6"/>
  <c r="Q12" i="6"/>
  <c r="R12" i="6"/>
  <c r="S12" i="6"/>
  <c r="T12" i="6"/>
  <c r="U12" i="6"/>
  <c r="V12" i="6"/>
  <c r="X12" i="6"/>
  <c r="Y12" i="6"/>
  <c r="Z12" i="6"/>
  <c r="AA12" i="6"/>
  <c r="AB12" i="6"/>
  <c r="AC12" i="6"/>
  <c r="AD12" i="6"/>
  <c r="AE12" i="6"/>
  <c r="A13" i="6"/>
  <c r="G13" i="6"/>
  <c r="L13" i="6"/>
  <c r="M13" i="6"/>
  <c r="P13" i="6"/>
  <c r="Q13" i="6"/>
  <c r="R13" i="6"/>
  <c r="S13" i="6"/>
  <c r="T13" i="6"/>
  <c r="U13" i="6"/>
  <c r="V13" i="6"/>
  <c r="X13" i="6"/>
  <c r="Y13" i="6"/>
  <c r="Z13" i="6"/>
  <c r="AA13" i="6"/>
  <c r="AB13" i="6"/>
  <c r="AC13" i="6"/>
  <c r="AD13" i="6"/>
  <c r="AE13" i="6"/>
  <c r="A14" i="6"/>
  <c r="G14" i="6"/>
  <c r="L14" i="6"/>
  <c r="M14" i="6"/>
  <c r="P14" i="6"/>
  <c r="Q14" i="6"/>
  <c r="R14" i="6"/>
  <c r="S14" i="6"/>
  <c r="T14" i="6"/>
  <c r="U14" i="6"/>
  <c r="V14" i="6"/>
  <c r="X14" i="6"/>
  <c r="AE14" i="6"/>
  <c r="A15" i="6"/>
  <c r="G15" i="6"/>
  <c r="L15" i="6"/>
  <c r="M15" i="6"/>
  <c r="P15" i="6"/>
  <c r="Q15" i="6"/>
  <c r="R15" i="6"/>
  <c r="S15" i="6"/>
  <c r="T15" i="6"/>
  <c r="U15" i="6"/>
  <c r="V15" i="6"/>
  <c r="X15" i="6"/>
  <c r="AE15" i="6"/>
  <c r="A16" i="6"/>
  <c r="G16" i="6"/>
  <c r="L16" i="6"/>
  <c r="M16" i="6"/>
  <c r="P16" i="6"/>
  <c r="Q16" i="6"/>
  <c r="R16" i="6"/>
  <c r="S16" i="6"/>
  <c r="T16" i="6"/>
  <c r="U16" i="6"/>
  <c r="V16" i="6"/>
  <c r="X16" i="6"/>
  <c r="AE16" i="6"/>
  <c r="A17" i="6"/>
  <c r="G17" i="6"/>
  <c r="L17" i="6"/>
  <c r="M17" i="6"/>
  <c r="P17" i="6"/>
  <c r="Q17" i="6"/>
  <c r="R17" i="6"/>
  <c r="S17" i="6"/>
  <c r="T17" i="6"/>
  <c r="U17" i="6"/>
  <c r="V17" i="6"/>
  <c r="X17" i="6"/>
  <c r="AE17" i="6"/>
  <c r="A18" i="6"/>
  <c r="G18" i="6"/>
  <c r="L18" i="6"/>
  <c r="M18" i="6"/>
  <c r="P18" i="6"/>
  <c r="Q18" i="6"/>
  <c r="R18" i="6"/>
  <c r="S18" i="6"/>
  <c r="T18" i="6"/>
  <c r="U18" i="6"/>
  <c r="V18" i="6"/>
  <c r="X18" i="6"/>
  <c r="AE18" i="6"/>
  <c r="A19" i="6"/>
  <c r="G19" i="6"/>
  <c r="L19" i="6"/>
  <c r="M19" i="6"/>
  <c r="P19" i="6"/>
  <c r="Q19" i="6"/>
  <c r="R19" i="6"/>
  <c r="S19" i="6"/>
  <c r="T19" i="6"/>
  <c r="U19" i="6"/>
  <c r="V19" i="6"/>
  <c r="X19" i="6"/>
  <c r="Y19" i="6"/>
  <c r="Z19" i="6"/>
  <c r="AA19" i="6"/>
  <c r="AB19" i="6"/>
  <c r="AE19" i="6"/>
  <c r="A20" i="6"/>
  <c r="G20" i="6"/>
  <c r="L20" i="6"/>
  <c r="M20" i="6"/>
  <c r="P20" i="6"/>
  <c r="Q20" i="6"/>
  <c r="R20" i="6"/>
  <c r="S20" i="6"/>
  <c r="T20" i="6"/>
  <c r="U20" i="6"/>
  <c r="V20" i="6"/>
  <c r="X20" i="6"/>
  <c r="AE20" i="6"/>
  <c r="A21" i="6"/>
  <c r="G21" i="6"/>
  <c r="L21" i="6"/>
  <c r="M21" i="6"/>
  <c r="P21" i="6"/>
  <c r="Q21" i="6"/>
  <c r="R21" i="6"/>
  <c r="S21" i="6"/>
  <c r="T21" i="6"/>
  <c r="U21" i="6"/>
  <c r="V21" i="6"/>
  <c r="X21" i="6"/>
  <c r="AE21" i="6"/>
  <c r="A22" i="6"/>
  <c r="G22" i="6"/>
  <c r="L22" i="6"/>
  <c r="M22" i="6"/>
  <c r="P22" i="6"/>
  <c r="Q22" i="6"/>
  <c r="R22" i="6"/>
  <c r="S22" i="6"/>
  <c r="T22" i="6"/>
  <c r="U22" i="6"/>
  <c r="V22" i="6"/>
  <c r="X22" i="6"/>
  <c r="AE22" i="6"/>
  <c r="A23" i="6"/>
  <c r="G23" i="6"/>
  <c r="L23" i="6"/>
  <c r="M23" i="6"/>
  <c r="P23" i="6"/>
  <c r="Q23" i="6"/>
  <c r="R23" i="6"/>
  <c r="S23" i="6"/>
  <c r="T23" i="6"/>
  <c r="U23" i="6"/>
  <c r="V23" i="6"/>
  <c r="X23" i="6"/>
  <c r="AE23" i="6"/>
  <c r="A24" i="6"/>
  <c r="G24" i="6"/>
  <c r="L24" i="6"/>
  <c r="M24" i="6"/>
  <c r="P24" i="6"/>
  <c r="Q24" i="6"/>
  <c r="R24" i="6"/>
  <c r="S24" i="6"/>
  <c r="T24" i="6"/>
  <c r="U24" i="6"/>
  <c r="V24" i="6"/>
  <c r="X24" i="6"/>
  <c r="Y24" i="6"/>
  <c r="Z24" i="6"/>
  <c r="AA24" i="6"/>
  <c r="AB24" i="6"/>
  <c r="AE24" i="6"/>
  <c r="A25" i="6"/>
  <c r="G25" i="6"/>
  <c r="L25" i="6"/>
  <c r="M25" i="6"/>
  <c r="P25" i="6"/>
  <c r="Q25" i="6"/>
  <c r="R25" i="6"/>
  <c r="S25" i="6"/>
  <c r="T25" i="6"/>
  <c r="U25" i="6"/>
  <c r="V25" i="6"/>
  <c r="X25" i="6"/>
  <c r="AE25" i="6"/>
  <c r="A26" i="6"/>
  <c r="G26" i="6"/>
  <c r="L26" i="6"/>
  <c r="M26" i="6"/>
  <c r="P26" i="6"/>
  <c r="Q26" i="6"/>
  <c r="R26" i="6"/>
  <c r="S26" i="6"/>
  <c r="T26" i="6"/>
  <c r="U26" i="6"/>
  <c r="V26" i="6"/>
  <c r="X26" i="6"/>
  <c r="Y26" i="6"/>
  <c r="Z26" i="6"/>
  <c r="AA26" i="6"/>
  <c r="AB26" i="6"/>
  <c r="AE26" i="6"/>
  <c r="A27" i="6"/>
  <c r="G27" i="6"/>
  <c r="L27" i="6"/>
  <c r="M27" i="6"/>
  <c r="P27" i="6"/>
  <c r="J505" i="1"/>
  <c r="Q27" i="6"/>
  <c r="R27" i="6"/>
  <c r="J508" i="1"/>
  <c r="S27" i="6"/>
  <c r="T27" i="6"/>
  <c r="U27" i="6"/>
  <c r="V27" i="6"/>
  <c r="X27" i="6"/>
  <c r="Y27" i="6"/>
  <c r="Z27" i="6"/>
  <c r="AA27" i="6"/>
  <c r="AB27" i="6"/>
  <c r="AE27" i="6"/>
  <c r="C162" i="1"/>
  <c r="C179" i="1"/>
  <c r="C198" i="1"/>
  <c r="C200" i="1"/>
  <c r="C219" i="1"/>
  <c r="C221" i="1"/>
  <c r="C240" i="1"/>
  <c r="C242" i="1"/>
  <c r="C244" i="1"/>
  <c r="C245" i="1"/>
  <c r="C247" i="1"/>
  <c r="C249" i="1"/>
  <c r="C251" i="1"/>
  <c r="C253" i="1"/>
  <c r="C255" i="1"/>
  <c r="C256" i="1"/>
  <c r="C258" i="1"/>
  <c r="C259" i="1"/>
  <c r="C261" i="1"/>
  <c r="C263" i="1"/>
  <c r="C264" i="1"/>
  <c r="C265" i="1"/>
  <c r="C266" i="1"/>
  <c r="C267" i="1"/>
  <c r="C268" i="1"/>
  <c r="C269" i="1"/>
  <c r="C270" i="1"/>
  <c r="C288" i="1"/>
  <c r="C290" i="1"/>
  <c r="C311" i="1"/>
  <c r="C328" i="1"/>
  <c r="C330" i="1"/>
  <c r="C349" i="1"/>
  <c r="C351" i="1"/>
  <c r="C353" i="1"/>
  <c r="C371" i="1"/>
  <c r="C373" i="1"/>
  <c r="C375" i="1"/>
  <c r="C376" i="1"/>
  <c r="C378" i="1"/>
  <c r="C380" i="1"/>
  <c r="C382" i="1"/>
  <c r="C383" i="1"/>
  <c r="C384" i="1"/>
  <c r="C385" i="1"/>
  <c r="C386" i="1"/>
  <c r="C404" i="1"/>
  <c r="C406" i="1"/>
  <c r="C408" i="1"/>
  <c r="C409" i="1"/>
  <c r="C412" i="1"/>
  <c r="C413" i="1"/>
  <c r="C414" i="1"/>
  <c r="C433" i="1"/>
  <c r="C450" i="1"/>
  <c r="C452" i="1"/>
  <c r="C454" i="1"/>
  <c r="C455" i="1"/>
  <c r="C475" i="1"/>
  <c r="K493" i="1"/>
  <c r="C494" i="1"/>
  <c r="J504" i="1"/>
  <c r="H505" i="1"/>
  <c r="H506" i="1"/>
  <c r="J506" i="1"/>
  <c r="H507" i="1"/>
  <c r="H508" i="1"/>
  <c r="H509" i="1"/>
  <c r="J509" i="1"/>
  <c r="H517" i="1"/>
  <c r="J517" i="1"/>
  <c r="K517" i="1"/>
  <c r="H527" i="1"/>
  <c r="J527" i="1"/>
  <c r="K527" i="1"/>
  <c r="K528" i="1"/>
  <c r="H529" i="1"/>
  <c r="J529" i="1"/>
  <c r="H530" i="1"/>
  <c r="J530" i="1"/>
  <c r="H532" i="1"/>
  <c r="J532" i="1"/>
  <c r="H533" i="1"/>
  <c r="K533" i="1"/>
  <c r="J533" i="1"/>
  <c r="H534" i="1"/>
  <c r="J534" i="1"/>
  <c r="L84" i="9"/>
  <c r="AC8" i="5"/>
  <c r="F36" i="10"/>
  <c r="F77" i="10"/>
  <c r="K534" i="1"/>
  <c r="K529" i="1"/>
  <c r="F64" i="10"/>
  <c r="H35" i="10"/>
  <c r="G35" i="10"/>
  <c r="O7" i="6"/>
  <c r="F64" i="9"/>
  <c r="N24" i="5"/>
  <c r="F36" i="9"/>
  <c r="F77" i="9"/>
  <c r="F27" i="9"/>
  <c r="H536" i="1"/>
  <c r="K536" i="1" s="1"/>
  <c r="O6" i="5"/>
  <c r="B9" i="5"/>
  <c r="AC9" i="5"/>
  <c r="AD9" i="5"/>
  <c r="B12" i="6"/>
  <c r="B12" i="5"/>
  <c r="B10" i="5"/>
  <c r="AC10" i="5" s="1"/>
  <c r="B7" i="6"/>
  <c r="K532" i="1"/>
  <c r="K530" i="1"/>
  <c r="F52" i="10"/>
  <c r="O24" i="6"/>
  <c r="F38" i="10"/>
  <c r="N24" i="6"/>
  <c r="F37" i="10"/>
  <c r="I35" i="10"/>
  <c r="B10" i="6"/>
  <c r="AD10" i="6" s="1"/>
  <c r="F73" i="9"/>
  <c r="F52" i="9"/>
  <c r="I35" i="9"/>
  <c r="B11" i="5"/>
  <c r="AD11" i="5" s="1"/>
  <c r="B6" i="6"/>
  <c r="B7" i="5"/>
  <c r="AD7" i="5" s="1"/>
  <c r="B11" i="6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E14" i="6"/>
  <c r="J35" i="10"/>
  <c r="J28" i="10"/>
  <c r="B27" i="3"/>
  <c r="B26" i="3"/>
  <c r="B23" i="3"/>
  <c r="B21" i="3"/>
  <c r="B18" i="3"/>
  <c r="B16" i="3"/>
  <c r="B14" i="3"/>
  <c r="B13" i="3"/>
  <c r="F19" i="6"/>
  <c r="J35" i="9"/>
  <c r="B24" i="5"/>
  <c r="F22" i="6"/>
  <c r="F17" i="6"/>
  <c r="J28" i="9"/>
  <c r="D26" i="6"/>
  <c r="D14" i="6"/>
  <c r="C13" i="6"/>
  <c r="B26" i="5"/>
  <c r="AC26" i="5" s="1"/>
  <c r="B22" i="5"/>
  <c r="B20" i="5"/>
  <c r="AD20" i="5" s="1"/>
  <c r="B18" i="5"/>
  <c r="B17" i="5"/>
  <c r="AD17" i="5" s="1"/>
  <c r="B27" i="6"/>
  <c r="B26" i="6"/>
  <c r="AD26" i="6" s="1"/>
  <c r="D25" i="6"/>
  <c r="B25" i="6"/>
  <c r="AD25" i="6" s="1"/>
  <c r="C23" i="6"/>
  <c r="E23" i="6"/>
  <c r="N23" i="6" s="1"/>
  <c r="C22" i="6"/>
  <c r="E22" i="6"/>
  <c r="Z22" i="6" s="1"/>
  <c r="C21" i="6"/>
  <c r="E21" i="6"/>
  <c r="N21" i="6" s="1"/>
  <c r="C20" i="6"/>
  <c r="E20" i="6"/>
  <c r="F86" i="10" s="1"/>
  <c r="F87" i="10" s="1"/>
  <c r="B19" i="6"/>
  <c r="D18" i="6"/>
  <c r="B18" i="6"/>
  <c r="C17" i="6"/>
  <c r="O17" i="6" s="1"/>
  <c r="E17" i="6"/>
  <c r="C16" i="6"/>
  <c r="O16" i="6" s="1"/>
  <c r="E16" i="6"/>
  <c r="D15" i="6"/>
  <c r="B15" i="6"/>
  <c r="B25" i="3"/>
  <c r="B24" i="3"/>
  <c r="B22" i="3"/>
  <c r="B20" i="3"/>
  <c r="B19" i="3"/>
  <c r="B17" i="3"/>
  <c r="B15" i="3"/>
  <c r="F24" i="6"/>
  <c r="B19" i="5"/>
  <c r="F23" i="6"/>
  <c r="L28" i="10" s="1"/>
  <c r="F21" i="6"/>
  <c r="F18" i="6"/>
  <c r="E25" i="5"/>
  <c r="E23" i="5"/>
  <c r="E22" i="5"/>
  <c r="E21" i="5"/>
  <c r="E20" i="5"/>
  <c r="E18" i="5"/>
  <c r="E17" i="5"/>
  <c r="E16" i="5"/>
  <c r="E15" i="5"/>
  <c r="E14" i="5"/>
  <c r="I28" i="9" s="1"/>
  <c r="B27" i="5"/>
  <c r="B25" i="5"/>
  <c r="AD25" i="5" s="1"/>
  <c r="B23" i="5"/>
  <c r="B21" i="5"/>
  <c r="AD21" i="5" s="1"/>
  <c r="B16" i="5"/>
  <c r="B15" i="5"/>
  <c r="AD15" i="5" s="1"/>
  <c r="B14" i="5"/>
  <c r="C25" i="6"/>
  <c r="N25" i="6" s="1"/>
  <c r="E25" i="6"/>
  <c r="I28" i="10"/>
  <c r="B24" i="6"/>
  <c r="D23" i="6"/>
  <c r="B23" i="6"/>
  <c r="D22" i="6"/>
  <c r="B22" i="6"/>
  <c r="D21" i="6"/>
  <c r="B21" i="6"/>
  <c r="D20" i="6"/>
  <c r="B20" i="6"/>
  <c r="C18" i="6"/>
  <c r="AB18" i="6" s="1"/>
  <c r="E18" i="6"/>
  <c r="D17" i="6"/>
  <c r="B17" i="6"/>
  <c r="D16" i="6"/>
  <c r="B16" i="6"/>
  <c r="C15" i="6"/>
  <c r="O15" i="6" s="1"/>
  <c r="E15" i="6"/>
  <c r="B14" i="6"/>
  <c r="AC14" i="6" s="1"/>
  <c r="AC11" i="5"/>
  <c r="AC7" i="5"/>
  <c r="AD10" i="5"/>
  <c r="O24" i="5"/>
  <c r="F38" i="9" s="1"/>
  <c r="AC10" i="6"/>
  <c r="L35" i="10"/>
  <c r="AD11" i="6"/>
  <c r="AC11" i="6"/>
  <c r="AC6" i="6"/>
  <c r="AD6" i="6"/>
  <c r="AD7" i="6"/>
  <c r="AC7" i="6"/>
  <c r="N15" i="6"/>
  <c r="Z15" i="6"/>
  <c r="Y15" i="6"/>
  <c r="N18" i="6"/>
  <c r="Z18" i="6"/>
  <c r="Y18" i="6"/>
  <c r="AD20" i="6"/>
  <c r="AC20" i="6"/>
  <c r="D20" i="5"/>
  <c r="AD21" i="6"/>
  <c r="AC21" i="6"/>
  <c r="D21" i="5"/>
  <c r="AD22" i="6"/>
  <c r="AC22" i="6"/>
  <c r="D22" i="5"/>
  <c r="AD23" i="6"/>
  <c r="AC23" i="6"/>
  <c r="D23" i="5"/>
  <c r="AD24" i="6"/>
  <c r="AC24" i="6"/>
  <c r="C25" i="5"/>
  <c r="Y25" i="5" s="1"/>
  <c r="AC15" i="5"/>
  <c r="AC21" i="5"/>
  <c r="AC25" i="5"/>
  <c r="AD27" i="5"/>
  <c r="AC27" i="5"/>
  <c r="AB14" i="5"/>
  <c r="O14" i="5"/>
  <c r="Y14" i="5"/>
  <c r="I7" i="9"/>
  <c r="F18" i="5"/>
  <c r="F21" i="5"/>
  <c r="F23" i="5"/>
  <c r="AD19" i="5"/>
  <c r="F35" i="9"/>
  <c r="AC19" i="5"/>
  <c r="F24" i="5"/>
  <c r="AD15" i="6"/>
  <c r="AC15" i="6"/>
  <c r="C16" i="5"/>
  <c r="N16" i="6"/>
  <c r="Z16" i="6"/>
  <c r="Y16" i="6"/>
  <c r="C17" i="5"/>
  <c r="F85" i="9" s="1"/>
  <c r="F35" i="10"/>
  <c r="F39" i="10"/>
  <c r="AD19" i="6"/>
  <c r="AC19" i="6"/>
  <c r="C20" i="5"/>
  <c r="C21" i="5"/>
  <c r="AB21" i="5" s="1"/>
  <c r="O21" i="6"/>
  <c r="AB21" i="6"/>
  <c r="AA21" i="6"/>
  <c r="C22" i="5"/>
  <c r="C23" i="5"/>
  <c r="AB23" i="5" s="1"/>
  <c r="O23" i="6"/>
  <c r="AB23" i="6"/>
  <c r="AA23" i="6"/>
  <c r="D25" i="5"/>
  <c r="AD27" i="6"/>
  <c r="AC27" i="6"/>
  <c r="AD18" i="5"/>
  <c r="AC18" i="5"/>
  <c r="AD22" i="5"/>
  <c r="AC22" i="5"/>
  <c r="AD26" i="5"/>
  <c r="G28" i="10"/>
  <c r="F85" i="10"/>
  <c r="C13" i="5"/>
  <c r="D14" i="5"/>
  <c r="D26" i="5"/>
  <c r="F17" i="5"/>
  <c r="L7" i="9" s="1"/>
  <c r="F22" i="5"/>
  <c r="AD24" i="5"/>
  <c r="AC24" i="5"/>
  <c r="F19" i="5"/>
  <c r="L35" i="9" s="1"/>
  <c r="N14" i="6"/>
  <c r="Z14" i="6"/>
  <c r="AB14" i="6"/>
  <c r="I7" i="10"/>
  <c r="O14" i="6"/>
  <c r="Y14" i="6"/>
  <c r="AA14" i="6"/>
  <c r="AD14" i="6"/>
  <c r="F7" i="10"/>
  <c r="C15" i="5"/>
  <c r="AD16" i="6"/>
  <c r="AC16" i="6"/>
  <c r="D16" i="5"/>
  <c r="AD17" i="6"/>
  <c r="AC17" i="6"/>
  <c r="D17" i="5"/>
  <c r="C18" i="5"/>
  <c r="AB18" i="5" s="1"/>
  <c r="O25" i="6"/>
  <c r="AB25" i="6"/>
  <c r="AA25" i="6"/>
  <c r="AD14" i="5"/>
  <c r="AC14" i="5"/>
  <c r="F7" i="9"/>
  <c r="AD16" i="5"/>
  <c r="AC16" i="5"/>
  <c r="AD23" i="5"/>
  <c r="AC23" i="5"/>
  <c r="D15" i="5"/>
  <c r="N17" i="6"/>
  <c r="Z17" i="6"/>
  <c r="Y17" i="6"/>
  <c r="AD18" i="6"/>
  <c r="AC18" i="6"/>
  <c r="D18" i="5"/>
  <c r="O20" i="6"/>
  <c r="AB20" i="6"/>
  <c r="AA20" i="6"/>
  <c r="O22" i="6"/>
  <c r="AB22" i="6"/>
  <c r="AA22" i="6"/>
  <c r="AC25" i="6"/>
  <c r="AC26" i="6"/>
  <c r="AC17" i="5"/>
  <c r="AC20" i="5"/>
  <c r="L7" i="10"/>
  <c r="Z18" i="5"/>
  <c r="N18" i="5"/>
  <c r="Y18" i="5"/>
  <c r="N15" i="5"/>
  <c r="O15" i="5"/>
  <c r="Z15" i="5"/>
  <c r="AB15" i="5"/>
  <c r="Y15" i="5"/>
  <c r="AA15" i="5"/>
  <c r="L28" i="9"/>
  <c r="G7" i="9"/>
  <c r="O17" i="5"/>
  <c r="AB17" i="5"/>
  <c r="AA17" i="5"/>
  <c r="Z16" i="5"/>
  <c r="AB16" i="5"/>
  <c r="N16" i="5"/>
  <c r="O16" i="5"/>
  <c r="Y16" i="5"/>
  <c r="AA16" i="5"/>
  <c r="Z23" i="5"/>
  <c r="N23" i="5"/>
  <c r="Y23" i="5"/>
  <c r="N22" i="5"/>
  <c r="O22" i="5"/>
  <c r="Z22" i="5"/>
  <c r="AB22" i="5"/>
  <c r="Y22" i="5"/>
  <c r="AA22" i="5"/>
  <c r="Z21" i="5"/>
  <c r="N21" i="5"/>
  <c r="Y21" i="5"/>
  <c r="N20" i="5"/>
  <c r="O20" i="5"/>
  <c r="Z20" i="5"/>
  <c r="AB20" i="5"/>
  <c r="Y20" i="5"/>
  <c r="AA20" i="5"/>
  <c r="N25" i="5"/>
  <c r="O25" i="5"/>
  <c r="AB25" i="5"/>
  <c r="AA25" i="5"/>
  <c r="J516" i="1"/>
  <c r="J537" i="1"/>
  <c r="J538" i="1" s="1"/>
  <c r="J540" i="1"/>
  <c r="K516" i="1"/>
  <c r="D7" i="3"/>
  <c r="C8" i="4"/>
  <c r="C9" i="4"/>
  <c r="F9" i="9"/>
  <c r="F46" i="9"/>
  <c r="I10" i="5"/>
  <c r="K8" i="5"/>
  <c r="I19" i="5"/>
  <c r="E8" i="3"/>
  <c r="C10" i="3"/>
  <c r="E11" i="3"/>
  <c r="I12" i="3"/>
  <c r="D14" i="3"/>
  <c r="I15" i="3"/>
  <c r="E17" i="3"/>
  <c r="C19" i="3"/>
  <c r="E20" i="3"/>
  <c r="C22" i="3"/>
  <c r="F23" i="3"/>
  <c r="C25" i="3"/>
  <c r="E26" i="3"/>
  <c r="I27" i="3"/>
  <c r="J9" i="5"/>
  <c r="J13" i="5"/>
  <c r="J17" i="5"/>
  <c r="J21" i="5"/>
  <c r="J25" i="5"/>
  <c r="F12" i="10"/>
  <c r="F7" i="3"/>
  <c r="D8" i="4"/>
  <c r="F6" i="3"/>
  <c r="F12" i="9"/>
  <c r="I9" i="5"/>
  <c r="K9" i="5"/>
  <c r="F30" i="9"/>
  <c r="K24" i="5"/>
  <c r="E7" i="3"/>
  <c r="D10" i="3"/>
  <c r="F11" i="3"/>
  <c r="K12" i="3"/>
  <c r="C14" i="3"/>
  <c r="F15" i="3"/>
  <c r="D17" i="3"/>
  <c r="I18" i="3"/>
  <c r="D20" i="3"/>
  <c r="I21" i="3"/>
  <c r="E23" i="3"/>
  <c r="I24" i="3"/>
  <c r="F26" i="3"/>
  <c r="K27" i="3"/>
  <c r="F15" i="10"/>
  <c r="I9" i="6"/>
  <c r="K9" i="6"/>
  <c r="F30" i="10"/>
  <c r="K24" i="6"/>
  <c r="E7" i="4"/>
  <c r="D10" i="4"/>
  <c r="F11" i="4"/>
  <c r="K12" i="4"/>
  <c r="D14" i="4"/>
  <c r="E15" i="4"/>
  <c r="I16" i="4"/>
  <c r="D18" i="4"/>
  <c r="E19" i="4"/>
  <c r="I20" i="4"/>
  <c r="D22" i="4"/>
  <c r="E23" i="4"/>
  <c r="I24" i="4"/>
  <c r="D26" i="4"/>
  <c r="E27" i="4"/>
  <c r="J8" i="6"/>
  <c r="J12" i="6"/>
  <c r="J16" i="6"/>
  <c r="J20" i="6"/>
  <c r="J24" i="6"/>
  <c r="I11" i="1"/>
  <c r="B200" i="1"/>
  <c r="B242" i="1"/>
  <c r="B264" i="1"/>
  <c r="B371" i="1"/>
  <c r="B385" i="1"/>
  <c r="B412" i="1"/>
  <c r="B452" i="1"/>
  <c r="I10" i="6"/>
  <c r="K8" i="6"/>
  <c r="I19" i="6"/>
  <c r="E8" i="4"/>
  <c r="C10" i="4"/>
  <c r="E11" i="4"/>
  <c r="I12" i="4"/>
  <c r="C14" i="4"/>
  <c r="C16" i="4"/>
  <c r="C18" i="4"/>
  <c r="K19" i="4"/>
  <c r="F21" i="4"/>
  <c r="F23" i="4"/>
  <c r="C25" i="4"/>
  <c r="K26" i="4"/>
  <c r="I12" i="1"/>
  <c r="B249" i="1"/>
  <c r="B259" i="1"/>
  <c r="B267" i="1"/>
  <c r="B311" i="1"/>
  <c r="B351" i="1"/>
  <c r="B380" i="1"/>
  <c r="B409" i="1"/>
  <c r="C8" i="3"/>
  <c r="C9" i="3"/>
  <c r="D6" i="3"/>
  <c r="F13" i="9"/>
  <c r="F494" i="1"/>
  <c r="I14" i="5"/>
  <c r="K12" i="5"/>
  <c r="I6" i="3"/>
  <c r="E9" i="3"/>
  <c r="I10" i="3"/>
  <c r="C12" i="3"/>
  <c r="E13" i="3"/>
  <c r="C15" i="3"/>
  <c r="F16" i="3"/>
  <c r="D18" i="3"/>
  <c r="K19" i="3"/>
  <c r="D21" i="3"/>
  <c r="I22" i="3"/>
  <c r="F24" i="3"/>
  <c r="I25" i="3"/>
  <c r="D27" i="3"/>
  <c r="J7" i="5"/>
  <c r="J11" i="5"/>
  <c r="J15" i="5"/>
  <c r="J19" i="5"/>
  <c r="J23" i="5"/>
  <c r="J27" i="5"/>
  <c r="F26" i="10"/>
  <c r="F7" i="4"/>
  <c r="D9" i="4"/>
  <c r="F6" i="4"/>
  <c r="F26" i="9"/>
  <c r="I27" i="5"/>
  <c r="K13" i="5"/>
  <c r="I24" i="5"/>
  <c r="E6" i="3"/>
  <c r="I8" i="3"/>
  <c r="K10" i="3"/>
  <c r="D12" i="3"/>
  <c r="F13" i="3"/>
  <c r="I14" i="3"/>
  <c r="E16" i="3"/>
  <c r="C18" i="3"/>
  <c r="E19" i="3"/>
  <c r="C21" i="3"/>
  <c r="F22" i="3"/>
  <c r="D24" i="3"/>
  <c r="F25" i="3"/>
  <c r="C27" i="3"/>
  <c r="F11" i="10"/>
  <c r="F22" i="10"/>
  <c r="I27" i="6"/>
  <c r="K13" i="6"/>
  <c r="I24" i="6"/>
  <c r="E6" i="4"/>
  <c r="I8" i="4"/>
  <c r="K10" i="4"/>
  <c r="D12" i="4"/>
  <c r="E13" i="4"/>
  <c r="I14" i="4"/>
  <c r="D16" i="4"/>
  <c r="E17" i="4"/>
  <c r="I18" i="4"/>
  <c r="D20" i="4"/>
  <c r="E21" i="4"/>
  <c r="I22" i="4"/>
  <c r="D24" i="4"/>
  <c r="E25" i="4"/>
  <c r="I26" i="4"/>
  <c r="J6" i="6"/>
  <c r="J10" i="6"/>
  <c r="J14" i="6"/>
  <c r="J18" i="6"/>
  <c r="J22" i="6"/>
  <c r="J26" i="6"/>
  <c r="B179" i="1"/>
  <c r="B221" i="1"/>
  <c r="B256" i="1"/>
  <c r="B268" i="1"/>
  <c r="B375" i="1"/>
  <c r="B406" i="1"/>
  <c r="B433" i="1"/>
  <c r="B475" i="1"/>
  <c r="I14" i="6"/>
  <c r="K12" i="6"/>
  <c r="I6" i="4"/>
  <c r="E9" i="4"/>
  <c r="I10" i="4"/>
  <c r="C12" i="4"/>
  <c r="F13" i="4"/>
  <c r="C15" i="4"/>
  <c r="C17" i="4"/>
  <c r="C19" i="4"/>
  <c r="F20" i="4"/>
  <c r="F22" i="4"/>
  <c r="F24" i="4"/>
  <c r="C26" i="4"/>
  <c r="F27" i="4"/>
  <c r="B245" i="1"/>
  <c r="B253" i="1"/>
  <c r="B263" i="1"/>
  <c r="B288" i="1"/>
  <c r="B330" i="1"/>
  <c r="B376" i="1"/>
  <c r="B384" i="1"/>
  <c r="B455" i="1"/>
  <c r="K22" i="4"/>
  <c r="I13" i="5"/>
  <c r="I22" i="5"/>
  <c r="I17" i="5"/>
  <c r="K21" i="4"/>
  <c r="K25" i="5"/>
  <c r="K15" i="5"/>
  <c r="F8" i="3"/>
  <c r="D6" i="4"/>
  <c r="I8" i="5"/>
  <c r="K26" i="5"/>
  <c r="K9" i="3"/>
  <c r="F12" i="3"/>
  <c r="E15" i="3"/>
  <c r="F18" i="3"/>
  <c r="F21" i="3"/>
  <c r="K24" i="3"/>
  <c r="E27" i="3"/>
  <c r="J12" i="5"/>
  <c r="J20" i="5"/>
  <c r="F10" i="10"/>
  <c r="D8" i="3"/>
  <c r="F10" i="9"/>
  <c r="K7" i="5"/>
  <c r="K6" i="5"/>
  <c r="I9" i="3"/>
  <c r="E12" i="3"/>
  <c r="D15" i="3"/>
  <c r="E18" i="3"/>
  <c r="E21" i="3"/>
  <c r="E24" i="3"/>
  <c r="F27" i="3"/>
  <c r="I7" i="6"/>
  <c r="K27" i="6"/>
  <c r="K6" i="4"/>
  <c r="C11" i="4"/>
  <c r="I13" i="4"/>
  <c r="E16" i="4"/>
  <c r="D19" i="4"/>
  <c r="I21" i="4"/>
  <c r="E24" i="4"/>
  <c r="D27" i="4"/>
  <c r="J11" i="6"/>
  <c r="J19" i="6"/>
  <c r="J27" i="6"/>
  <c r="B240" i="1"/>
  <c r="B270" i="1"/>
  <c r="B408" i="1"/>
  <c r="I8" i="6"/>
  <c r="K26" i="6"/>
  <c r="K9" i="4"/>
  <c r="F12" i="4"/>
  <c r="F15" i="4"/>
  <c r="F19" i="4"/>
  <c r="C23" i="4"/>
  <c r="F26" i="4"/>
  <c r="B247" i="1"/>
  <c r="B265" i="1"/>
  <c r="B349" i="1"/>
  <c r="B386" i="1"/>
  <c r="K25" i="3"/>
  <c r="I13" i="6"/>
  <c r="I21" i="6"/>
  <c r="K23" i="3"/>
  <c r="K22" i="5"/>
  <c r="I18" i="5"/>
  <c r="K20" i="4"/>
  <c r="I20" i="6"/>
  <c r="K18" i="3"/>
  <c r="K23" i="5"/>
  <c r="K21" i="6"/>
  <c r="K17" i="6"/>
  <c r="K14" i="5"/>
  <c r="I15" i="5"/>
  <c r="F8" i="4"/>
  <c r="F11" i="9"/>
  <c r="I12" i="5"/>
  <c r="K19" i="5"/>
  <c r="F10" i="3"/>
  <c r="D13" i="3"/>
  <c r="D16" i="3"/>
  <c r="F19" i="3"/>
  <c r="E22" i="3"/>
  <c r="E25" i="3"/>
  <c r="J6" i="5"/>
  <c r="J14" i="5"/>
  <c r="J22" i="5"/>
  <c r="F14" i="10"/>
  <c r="D9" i="3"/>
  <c r="F14" i="9"/>
  <c r="K11" i="5"/>
  <c r="F60" i="9"/>
  <c r="E10" i="3"/>
  <c r="C13" i="3"/>
  <c r="C16" i="3"/>
  <c r="D19" i="3"/>
  <c r="D22" i="3"/>
  <c r="D25" i="3"/>
  <c r="F9" i="10"/>
  <c r="I11" i="6"/>
  <c r="I6" i="6"/>
  <c r="K7" i="4"/>
  <c r="I11" i="4"/>
  <c r="E14" i="4"/>
  <c r="D17" i="4"/>
  <c r="I19" i="4"/>
  <c r="E22" i="4"/>
  <c r="D25" i="4"/>
  <c r="I27" i="4"/>
  <c r="J13" i="6"/>
  <c r="J21" i="6"/>
  <c r="I13" i="1"/>
  <c r="B244" i="1"/>
  <c r="B373" i="1"/>
  <c r="B414" i="1"/>
  <c r="I12" i="6"/>
  <c r="K19" i="6"/>
  <c r="F10" i="4"/>
  <c r="C13" i="4"/>
  <c r="F16" i="4"/>
  <c r="C20" i="4"/>
  <c r="C24" i="4"/>
  <c r="C27" i="4"/>
  <c r="B251" i="1"/>
  <c r="B269" i="1"/>
  <c r="B353" i="1"/>
  <c r="B413" i="1"/>
  <c r="K20" i="3"/>
  <c r="I23" i="5"/>
  <c r="I20" i="5"/>
  <c r="K18" i="4"/>
  <c r="K20" i="5"/>
  <c r="I15" i="6"/>
  <c r="K17" i="3"/>
  <c r="I17" i="6"/>
  <c r="K16" i="4"/>
  <c r="K23" i="6"/>
  <c r="K20" i="6"/>
  <c r="K16" i="5"/>
  <c r="K14" i="6"/>
  <c r="F9" i="3"/>
  <c r="F15" i="9"/>
  <c r="I26" i="5"/>
  <c r="I7" i="3"/>
  <c r="D11" i="3"/>
  <c r="I13" i="3"/>
  <c r="C17" i="3"/>
  <c r="C20" i="3"/>
  <c r="D23" i="3"/>
  <c r="D26" i="3"/>
  <c r="J8" i="5"/>
  <c r="J16" i="5"/>
  <c r="J24" i="5"/>
  <c r="C7" i="3"/>
  <c r="C6" i="3"/>
  <c r="I7" i="5"/>
  <c r="K27" i="5"/>
  <c r="K6" i="3"/>
  <c r="C11" i="3"/>
  <c r="K13" i="3"/>
  <c r="I16" i="3"/>
  <c r="I19" i="3"/>
  <c r="C23" i="3"/>
  <c r="C26" i="3"/>
  <c r="F13" i="10"/>
  <c r="K7" i="6"/>
  <c r="K6" i="6"/>
  <c r="I9" i="4"/>
  <c r="E12" i="4"/>
  <c r="D15" i="4"/>
  <c r="I17" i="4"/>
  <c r="E20" i="4"/>
  <c r="D23" i="4"/>
  <c r="I25" i="4"/>
  <c r="J7" i="6"/>
  <c r="J15" i="6"/>
  <c r="J23" i="6"/>
  <c r="B198" i="1"/>
  <c r="B258" i="1"/>
  <c r="B383" i="1"/>
  <c r="B450" i="1"/>
  <c r="I26" i="6"/>
  <c r="I7" i="4"/>
  <c r="D11" i="4"/>
  <c r="K13" i="4"/>
  <c r="F17" i="4"/>
  <c r="C21" i="4"/>
  <c r="K24" i="4"/>
  <c r="K27" i="4"/>
  <c r="B255" i="1"/>
  <c r="B290" i="1"/>
  <c r="B378" i="1"/>
  <c r="B494" i="1"/>
  <c r="K17" i="4"/>
  <c r="I23" i="6"/>
  <c r="I16" i="5"/>
  <c r="K16" i="3"/>
  <c r="K17" i="5"/>
  <c r="K25" i="4"/>
  <c r="K15" i="4"/>
  <c r="K23" i="4"/>
  <c r="K14" i="3"/>
  <c r="K22" i="6"/>
  <c r="K18" i="5"/>
  <c r="K16" i="6"/>
  <c r="I25" i="6"/>
  <c r="D7" i="4"/>
  <c r="F9" i="4"/>
  <c r="F22" i="9"/>
  <c r="K10" i="5"/>
  <c r="K8" i="3"/>
  <c r="K11" i="3"/>
  <c r="F14" i="3"/>
  <c r="I17" i="3"/>
  <c r="I20" i="3"/>
  <c r="C24" i="3"/>
  <c r="I26" i="3"/>
  <c r="J10" i="5"/>
  <c r="J18" i="5"/>
  <c r="J26" i="5"/>
  <c r="C7" i="4"/>
  <c r="C6" i="4"/>
  <c r="I11" i="5"/>
  <c r="I6" i="5"/>
  <c r="K7" i="3"/>
  <c r="I11" i="3"/>
  <c r="E14" i="3"/>
  <c r="F17" i="3"/>
  <c r="F20" i="3"/>
  <c r="I23" i="3"/>
  <c r="K26" i="3"/>
  <c r="F46" i="10"/>
  <c r="K11" i="6"/>
  <c r="F60" i="10"/>
  <c r="E10" i="4"/>
  <c r="D13" i="4"/>
  <c r="I15" i="4"/>
  <c r="E18" i="4"/>
  <c r="D21" i="4"/>
  <c r="I23" i="4"/>
  <c r="E26" i="4"/>
  <c r="J9" i="6"/>
  <c r="J17" i="6"/>
  <c r="J25" i="6"/>
  <c r="B219" i="1"/>
  <c r="B266" i="1"/>
  <c r="B404" i="1"/>
  <c r="B454" i="1"/>
  <c r="K10" i="6"/>
  <c r="K8" i="4"/>
  <c r="K11" i="4"/>
  <c r="F14" i="4"/>
  <c r="F18" i="4"/>
  <c r="C22" i="4"/>
  <c r="F25" i="4"/>
  <c r="B162" i="1"/>
  <c r="B261" i="1"/>
  <c r="B328" i="1"/>
  <c r="B382" i="1"/>
  <c r="K15" i="3"/>
  <c r="I21" i="5"/>
  <c r="I16" i="6"/>
  <c r="K14" i="4"/>
  <c r="I25" i="5"/>
  <c r="K22" i="3"/>
  <c r="I22" i="6"/>
  <c r="K21" i="3"/>
  <c r="K25" i="6"/>
  <c r="K21" i="5"/>
  <c r="K18" i="6"/>
  <c r="K15" i="6"/>
  <c r="I18" i="6"/>
  <c r="F88" i="9" l="1"/>
  <c r="J7" i="9"/>
  <c r="J88" i="9"/>
  <c r="J90" i="9" s="1"/>
  <c r="F90" i="9" s="1"/>
  <c r="B6" i="4"/>
  <c r="B7" i="4"/>
  <c r="H531" i="1"/>
  <c r="K35" i="10"/>
  <c r="K7" i="10"/>
  <c r="F89" i="10"/>
  <c r="K89" i="10"/>
  <c r="K90" i="10" s="1"/>
  <c r="K28" i="10"/>
  <c r="J522" i="1"/>
  <c r="B11" i="3"/>
  <c r="B6" i="3"/>
  <c r="B7" i="3"/>
  <c r="H524" i="1"/>
  <c r="F16" i="9"/>
  <c r="H525" i="1" s="1"/>
  <c r="J88" i="10"/>
  <c r="J90" i="10" s="1"/>
  <c r="F90" i="10" s="1"/>
  <c r="F88" i="10"/>
  <c r="J7" i="10"/>
  <c r="J518" i="1"/>
  <c r="H523" i="1"/>
  <c r="J523" i="1"/>
  <c r="H520" i="1"/>
  <c r="B11" i="4"/>
  <c r="K35" i="9"/>
  <c r="K7" i="9"/>
  <c r="K89" i="9"/>
  <c r="K90" i="9" s="1"/>
  <c r="F89" i="9"/>
  <c r="K28" i="9"/>
  <c r="H519" i="1"/>
  <c r="J519" i="1"/>
  <c r="B12" i="4"/>
  <c r="J531" i="1"/>
  <c r="J520" i="1"/>
  <c r="H535" i="1"/>
  <c r="J535" i="1"/>
  <c r="B12" i="3"/>
  <c r="J494" i="1"/>
  <c r="D27" i="6" s="1"/>
  <c r="H7" i="10" s="1"/>
  <c r="H494" i="1"/>
  <c r="H522" i="1"/>
  <c r="B9" i="3"/>
  <c r="B8" i="3"/>
  <c r="B10" i="4"/>
  <c r="F16" i="10"/>
  <c r="J525" i="1" s="1"/>
  <c r="J524" i="1"/>
  <c r="H521" i="1"/>
  <c r="J521" i="1"/>
  <c r="B10" i="3"/>
  <c r="H518" i="1"/>
  <c r="B9" i="4"/>
  <c r="B8" i="4"/>
  <c r="F39" i="9"/>
  <c r="F32" i="9"/>
  <c r="F78" i="9" s="1"/>
  <c r="F80" i="9" s="1"/>
  <c r="AD8" i="6"/>
  <c r="F28" i="10"/>
  <c r="Z25" i="5"/>
  <c r="O21" i="5"/>
  <c r="O23" i="5"/>
  <c r="Z17" i="5"/>
  <c r="G28" i="9"/>
  <c r="O18" i="5"/>
  <c r="F33" i="9" s="1"/>
  <c r="F79" i="9" s="1"/>
  <c r="F82" i="9" s="1"/>
  <c r="Y22" i="6"/>
  <c r="N22" i="6"/>
  <c r="Z20" i="6"/>
  <c r="AB17" i="6"/>
  <c r="Z25" i="6"/>
  <c r="Z23" i="6"/>
  <c r="Z21" i="6"/>
  <c r="AB16" i="6"/>
  <c r="AA14" i="5"/>
  <c r="N14" i="5"/>
  <c r="AA18" i="6"/>
  <c r="O18" i="6"/>
  <c r="F33" i="10" s="1"/>
  <c r="F79" i="10" s="1"/>
  <c r="F82" i="10" s="1"/>
  <c r="F83" i="10" s="1"/>
  <c r="AB15" i="6"/>
  <c r="F28" i="9"/>
  <c r="AA21" i="5"/>
  <c r="AA23" i="5"/>
  <c r="Y17" i="5"/>
  <c r="N17" i="5"/>
  <c r="AA18" i="5"/>
  <c r="Y20" i="6"/>
  <c r="N20" i="6"/>
  <c r="F32" i="10" s="1"/>
  <c r="F78" i="10" s="1"/>
  <c r="F80" i="10" s="1"/>
  <c r="F81" i="10" s="1"/>
  <c r="AA17" i="6"/>
  <c r="Y25" i="6"/>
  <c r="G7" i="10"/>
  <c r="Y23" i="6"/>
  <c r="Y21" i="6"/>
  <c r="AA16" i="6"/>
  <c r="F86" i="9"/>
  <c r="F87" i="9" s="1"/>
  <c r="Z14" i="5"/>
  <c r="AA15" i="6"/>
  <c r="AC8" i="6"/>
  <c r="K524" i="1" l="1"/>
  <c r="K535" i="1"/>
  <c r="F17" i="10"/>
  <c r="J526" i="1" s="1"/>
  <c r="K525" i="1"/>
  <c r="K518" i="1"/>
  <c r="K521" i="1"/>
  <c r="K519" i="1"/>
  <c r="F17" i="9"/>
  <c r="H526" i="1" s="1"/>
  <c r="F81" i="9"/>
  <c r="F34" i="9"/>
  <c r="F34" i="10"/>
  <c r="H28" i="10"/>
  <c r="K522" i="1"/>
  <c r="K531" i="1"/>
  <c r="F83" i="9"/>
  <c r="K523" i="1"/>
  <c r="D27" i="5"/>
  <c r="K494" i="1"/>
  <c r="K520" i="1"/>
  <c r="F76" i="9" l="1"/>
  <c r="F91" i="9" s="1"/>
  <c r="F92" i="9" s="1"/>
  <c r="F93" i="9" s="1"/>
  <c r="F94" i="9" s="1"/>
  <c r="F95" i="9" s="1"/>
  <c r="F76" i="10"/>
  <c r="F91" i="10" s="1"/>
  <c r="F92" i="10" s="1"/>
  <c r="F93" i="10" s="1"/>
  <c r="F94" i="10" s="1"/>
  <c r="F95" i="10" s="1"/>
  <c r="H7" i="9"/>
  <c r="H28" i="9"/>
  <c r="K526" i="1"/>
</calcChain>
</file>

<file path=xl/sharedStrings.xml><?xml version="1.0" encoding="utf-8"?>
<sst xmlns="http://schemas.openxmlformats.org/spreadsheetml/2006/main" count="2215" uniqueCount="582">
  <si>
    <t>&lt; 495 * 1 * 2-2 &gt;</t>
  </si>
  <si>
    <t>ПК РИК (вер.1.3.100208) тел./факс (495) 347-33-01</t>
  </si>
  <si>
    <t>Форма по МДС 81-35.2004</t>
  </si>
  <si>
    <t xml:space="preserve">Номер договора: </t>
  </si>
  <si>
    <t>02-05/10</t>
  </si>
  <si>
    <t xml:space="preserve">Дата договора: </t>
  </si>
  <si>
    <t>30.05.2010</t>
  </si>
  <si>
    <t xml:space="preserve">Стройка: </t>
  </si>
  <si>
    <t xml:space="preserve">Объект: </t>
  </si>
  <si>
    <t>Строительство монолитного жилого дома</t>
  </si>
  <si>
    <t>ЛОКАЛЬНАЯ СМЕТА № 2-2</t>
  </si>
  <si>
    <t>(Локальный сметный расчет)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</si>
  <si>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</si>
  <si>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</si>
  <si>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</si>
  <si>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</si>
  <si>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</si>
  <si>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Составлена в базисных ценах на 01.2000 г. и текущих ценах на 04.2011 г.</t>
  </si>
  <si>
    <t>№ поз</t>
  </si>
  <si>
    <t>Шифр, номер норматива, код ресурса</t>
  </si>
  <si>
    <t>Наименование работ и затрат, характеристика оборудования, масса</t>
  </si>
  <si>
    <t>Единица измерения</t>
  </si>
  <si>
    <t>Количество</t>
  </si>
  <si>
    <t>Сметная стоимость в базисных ценах</t>
  </si>
  <si>
    <t>Сметная стоимость в текущих ценах</t>
  </si>
  <si>
    <t>Индекс</t>
  </si>
  <si>
    <t>Кол-во механиза-торов</t>
  </si>
  <si>
    <t>на единицу измерения</t>
  </si>
  <si>
    <t>по проектным данным</t>
  </si>
  <si>
    <t>общая</t>
  </si>
  <si>
    <t>1.</t>
  </si>
  <si>
    <t>ЕНир35 п35-15.</t>
  </si>
  <si>
    <t>***Монтаж крана из отдельных элементов</t>
  </si>
  <si>
    <t>шт.</t>
  </si>
  <si>
    <t>sum</t>
  </si>
  <si>
    <t>1. 0.</t>
  </si>
  <si>
    <t>З1000-0001</t>
  </si>
  <si>
    <t>Затраты труда машинистов</t>
  </si>
  <si>
    <t>чел.ч</t>
  </si>
  <si>
    <t>Ж</t>
  </si>
  <si>
    <t>Зарплата рабочих</t>
  </si>
  <si>
    <t>Эксплуатация машин</t>
  </si>
  <si>
    <t>в т.ч. зарплата машинистов</t>
  </si>
  <si>
    <t>Материалы</t>
  </si>
  <si>
    <t>в т.ч. Вспомогательные материалы от стоимости материалов</t>
  </si>
  <si>
    <t>в т.ч. Вспомогательные ненормируемые материалы</t>
  </si>
  <si>
    <t>NenormMatOtZPR</t>
  </si>
  <si>
    <t>в т.ч. Ненормированная з.п. рабочих</t>
  </si>
  <si>
    <t>в т.ч. Ненормированная стоимость эксплуатации машин</t>
  </si>
  <si>
    <t>в т.ч. Ненормированная оплата механизаторов</t>
  </si>
  <si>
    <t>Накладные расходы</t>
  </si>
  <si>
    <t>Nakl</t>
  </si>
  <si>
    <t>НР от ЗПР</t>
  </si>
  <si>
    <t>Nakl_ZPR</t>
  </si>
  <si>
    <t>НР от ЗПМ</t>
  </si>
  <si>
    <t>Nakl_ZPM</t>
  </si>
  <si>
    <t>Плановые накопления / Сметная прибыль</t>
  </si>
  <si>
    <t>Plan</t>
  </si>
  <si>
    <t>СП от ЗПР</t>
  </si>
  <si>
    <t>Plan_ZPR</t>
  </si>
  <si>
    <t>СП от ЗПМ</t>
  </si>
  <si>
    <t>Plan_ZPM</t>
  </si>
  <si>
    <t>2.</t>
  </si>
  <si>
    <t>ЕНир35 п35-16.</t>
  </si>
  <si>
    <t>Демонтаж крана из отдельных элементов</t>
  </si>
  <si>
    <t>2. 0.</t>
  </si>
  <si>
    <t>3.</t>
  </si>
  <si>
    <t>ЕНир35 п35-25.</t>
  </si>
  <si>
    <t>Монтаж промежуточной и второй секций</t>
  </si>
  <si>
    <t>3. 0.</t>
  </si>
  <si>
    <t>4.</t>
  </si>
  <si>
    <t>ЕНир35 п35-26.</t>
  </si>
  <si>
    <t>Демонтаж промежуточной и второй секций</t>
  </si>
  <si>
    <t>4. 0.</t>
  </si>
  <si>
    <t>5.</t>
  </si>
  <si>
    <t>Монтаж промежуточной и последующей секций</t>
  </si>
  <si>
    <t>5. 0.</t>
  </si>
  <si>
    <t>6.</t>
  </si>
  <si>
    <t>Демонтаж промежуточной и последующей секций</t>
  </si>
  <si>
    <t>6. 0.</t>
  </si>
  <si>
    <t>7.</t>
  </si>
  <si>
    <t>****Затраты труда машинистов башенного крана во время монтажа и испытаний (4 смены)</t>
  </si>
  <si>
    <t>чел.-ч</t>
  </si>
  <si>
    <t>7. 0.</t>
  </si>
  <si>
    <t>8.</t>
  </si>
  <si>
    <t>З000-1003-2</t>
  </si>
  <si>
    <t>Рабочие-строители (средний разряд 3.2)(электромонтажник по факту)</t>
  </si>
  <si>
    <t>8. 0.</t>
  </si>
  <si>
    <t>8. 1.</t>
  </si>
  <si>
    <t>s</t>
  </si>
  <si>
    <t>Г</t>
  </si>
  <si>
    <t>9.</t>
  </si>
  <si>
    <t>Х02-1140</t>
  </si>
  <si>
    <t>Краны на автомобильном ходу при работе на других видах строительства (кроме магистральных трубопроводов) 6,3 т (учтено, что кран работает с бригадой  6 человек все время монтажа и демонтажа= 370час/6=62час)</t>
  </si>
  <si>
    <t>маш.-ч</t>
  </si>
  <si>
    <t>'(1)</t>
  </si>
  <si>
    <t>9. 1.</t>
  </si>
  <si>
    <t>9. 2.</t>
  </si>
  <si>
    <t>IsMash</t>
  </si>
  <si>
    <t>mWithZTM</t>
  </si>
  <si>
    <t>mWithZPM</t>
  </si>
  <si>
    <t>Всего с НР и СП</t>
  </si>
  <si>
    <t>10.</t>
  </si>
  <si>
    <t>Е311-01-135-1</t>
  </si>
  <si>
    <t>Погрузка. Металлические части крана с применением автомобильных кранов</t>
  </si>
  <si>
    <t>т</t>
  </si>
  <si>
    <t>10. 1.</t>
  </si>
  <si>
    <t>10. 2.</t>
  </si>
  <si>
    <t>10. 3.</t>
  </si>
  <si>
    <t>11.</t>
  </si>
  <si>
    <t>Е311-01-135-2</t>
  </si>
  <si>
    <t>Разгрузка. Металлические части крана с применением автомобильных кранов</t>
  </si>
  <si>
    <t>11. 1.</t>
  </si>
  <si>
    <t>11. 2.</t>
  </si>
  <si>
    <t>11. 3.</t>
  </si>
  <si>
    <t>12.</t>
  </si>
  <si>
    <t>Е21-03-001-7</t>
  </si>
  <si>
    <t>Устройство и разборка подкрановых путей для башенных кранов из инвентарных звеньев на деревянных полушпалах длиной 12,5 м в две нити с рельсами типа Р50 шириной колеи до 4500 мм на песчаном балласте</t>
  </si>
  <si>
    <t>звено (12,5 м)</t>
  </si>
  <si>
    <t>12. 1.</t>
  </si>
  <si>
    <t>12. 2.</t>
  </si>
  <si>
    <t>12. 3.</t>
  </si>
  <si>
    <t>12. 4.</t>
  </si>
  <si>
    <t>12. 5.</t>
  </si>
  <si>
    <t>12. 6.</t>
  </si>
  <si>
    <t>12. 7.</t>
  </si>
  <si>
    <t>12. 8.</t>
  </si>
  <si>
    <t>12. 9.</t>
  </si>
  <si>
    <t>12. 10.</t>
  </si>
  <si>
    <t>12. 11.</t>
  </si>
  <si>
    <t>12. 12.</t>
  </si>
  <si>
    <t>12. 13.</t>
  </si>
  <si>
    <t>12. 14.</t>
  </si>
  <si>
    <t>12. 15.</t>
  </si>
  <si>
    <t>12. 16.</t>
  </si>
  <si>
    <t>IsMater</t>
  </si>
  <si>
    <t>12. 17.</t>
  </si>
  <si>
    <t>12. 18.</t>
  </si>
  <si>
    <t>12. 19.</t>
  </si>
  <si>
    <t>12. 20.</t>
  </si>
  <si>
    <t>12. 21.</t>
  </si>
  <si>
    <t>м3</t>
  </si>
  <si>
    <t>12. 22.</t>
  </si>
  <si>
    <t>13.</t>
  </si>
  <si>
    <t>Е21-03-005-1</t>
  </si>
  <si>
    <t>Установка тупиковых упоров на подкрановых путях для башенных кранов</t>
  </si>
  <si>
    <t>путь</t>
  </si>
  <si>
    <t>13. 1.</t>
  </si>
  <si>
    <t>13. 2.</t>
  </si>
  <si>
    <t>13. 3.</t>
  </si>
  <si>
    <t>13. 4.</t>
  </si>
  <si>
    <t>с201-0630-Ф</t>
  </si>
  <si>
    <t>Упоры тупиков</t>
  </si>
  <si>
    <t>14.</t>
  </si>
  <si>
    <t>С202-0013</t>
  </si>
  <si>
    <t>Пути крановые из рельсов железнодорожных на бетонном основании, марка стали С 255. Крепления и упоры</t>
  </si>
  <si>
    <t>14. 0.</t>
  </si>
  <si>
    <t>14. 1.</t>
  </si>
  <si>
    <t>15.</t>
  </si>
  <si>
    <t>Демонтаж тупиковых упоров на подкрановых путях для башенных кранов</t>
  </si>
  <si>
    <t>15. 1.</t>
  </si>
  <si>
    <t>15. 2.</t>
  </si>
  <si>
    <t>15. 3.</t>
  </si>
  <si>
    <t>16.</t>
  </si>
  <si>
    <t>Е21-03-006-6</t>
  </si>
  <si>
    <t>Испытание башенного крана перед сдачей в эксплуатацию грузоподъемностью более 25 т</t>
  </si>
  <si>
    <t>кран</t>
  </si>
  <si>
    <t>16. 1.</t>
  </si>
  <si>
    <t>16. 2.</t>
  </si>
  <si>
    <t>16. 3.</t>
  </si>
  <si>
    <t>16. 4.</t>
  </si>
  <si>
    <t>кВт-ч</t>
  </si>
  <si>
    <t>17.</t>
  </si>
  <si>
    <t>Е21-03-007-7</t>
  </si>
  <si>
    <t>Устройство заземления рельсового пути для башенных кранов в грунтах 2 группы при количестве очагов заземления три</t>
  </si>
  <si>
    <t>заземление</t>
  </si>
  <si>
    <t>17. 1.</t>
  </si>
  <si>
    <t>17. 2.</t>
  </si>
  <si>
    <t>17. 3.</t>
  </si>
  <si>
    <t>17. 4.</t>
  </si>
  <si>
    <t>17. 5.</t>
  </si>
  <si>
    <t>17. 6.</t>
  </si>
  <si>
    <t>17. 7.</t>
  </si>
  <si>
    <t>17. 8.</t>
  </si>
  <si>
    <t>17. 9.</t>
  </si>
  <si>
    <t>17. 10.</t>
  </si>
  <si>
    <t>17. 11.</t>
  </si>
  <si>
    <t>17. 12.</t>
  </si>
  <si>
    <t>кг</t>
  </si>
  <si>
    <t>18.</t>
  </si>
  <si>
    <t>Е21-03-003-1</t>
  </si>
  <si>
    <t>Устройство выключающей линейки на подкрановых путях для башенных кранов весом до 5 кг</t>
  </si>
  <si>
    <t>18. 1.</t>
  </si>
  <si>
    <t>18. 2.</t>
  </si>
  <si>
    <t>18. 3.</t>
  </si>
  <si>
    <t>18. 4.</t>
  </si>
  <si>
    <t>18. 5.</t>
  </si>
  <si>
    <t>18. 6.</t>
  </si>
  <si>
    <t>с201-9408-Ф</t>
  </si>
  <si>
    <t>Конструкции стальные индивидуальные решетчатые сварные массой до 0,1 т</t>
  </si>
  <si>
    <t>18. 7.</t>
  </si>
  <si>
    <t>18. 8.</t>
  </si>
  <si>
    <t>18. 9.</t>
  </si>
  <si>
    <t>19.</t>
  </si>
  <si>
    <t>С201-9408</t>
  </si>
  <si>
    <t>19. 0.</t>
  </si>
  <si>
    <t>19. 1.</t>
  </si>
  <si>
    <t>20.</t>
  </si>
  <si>
    <t>Демонтаж выключающей линейки на подкрановых путях для башенных кранов весом до 5 кг</t>
  </si>
  <si>
    <t>20. 1.</t>
  </si>
  <si>
    <t>20. 2.</t>
  </si>
  <si>
    <t>20. 3.</t>
  </si>
  <si>
    <t>20. 4.</t>
  </si>
  <si>
    <t>20. 5.</t>
  </si>
  <si>
    <t>21.</t>
  </si>
  <si>
    <t>Х310-5025-2</t>
  </si>
  <si>
    <t>Провозная плата за перевозки грузов тракторами с прицепами на расстояние до 25 км (класс груза 2)</t>
  </si>
  <si>
    <t>21. 0.</t>
  </si>
  <si>
    <t>21. 1.</t>
  </si>
  <si>
    <t>22.</t>
  </si>
  <si>
    <t>Х310-5026-2</t>
  </si>
  <si>
    <t>Провозная плата за перевозки грузов тракторами с прицепами на расстояние сверх 25 за каждый 1 км добавлять (класс груза 2)(ДО 250 КМ)</t>
  </si>
  <si>
    <t>Объем: 68*225</t>
  </si>
  <si>
    <t>22. 0.</t>
  </si>
  <si>
    <t>22. 1.</t>
  </si>
  <si>
    <t>***Раздел 40 "Сметные цены на эксплуатацию автотранспорных средств" - %НР и СП</t>
  </si>
  <si>
    <t>****Енир сборник 35 п.3</t>
  </si>
  <si>
    <t>.    ИТОГО  ПО  СМЕТЕ</t>
  </si>
  <si>
    <t>СТОИМОСТЬ ОБОРУДОВАНИЯ -</t>
  </si>
  <si>
    <t>.   ЗАПАСНЫЕ ЧАСТИ -</t>
  </si>
  <si>
    <t>.   ТАРА И УПАКОВКА -</t>
  </si>
  <si>
    <t>.   ТРАНСПОРТНЫЕ РАСХОДЫ -</t>
  </si>
  <si>
    <t>.   КОМПЛЕКТАЦИЯ -</t>
  </si>
  <si>
    <t>.   НАЦЕНКА СНАБА -</t>
  </si>
  <si>
    <t>.   ЗАГОТОВИТЕЛЬНО-СКЛАДСКИЕ РАСХОДЫ -</t>
  </si>
  <si>
    <t>. ШЕФМОНТАЖ ПО ОБОРУДОВАНИЮ -</t>
  </si>
  <si>
    <t>. ШЕФМОНТАЖ -</t>
  </si>
  <si>
    <t>ВСЕГО, СТОИМОСТЬ ОБОРУДОВАНИЯ -</t>
  </si>
  <si>
    <t>СТОИМОСТЬ МОНТАЖНЫХ РАБОТ -</t>
  </si>
  <si>
    <t>.     В ТОМ ЧИСЛЕ:</t>
  </si>
  <si>
    <t>. ОТКЛОНЕНИЕ ПО ЗАРАБОТНОЙ ПЛАТЕ -</t>
  </si>
  <si>
    <t>. КОСВЕННЫЕ РАСХОДЫ -</t>
  </si>
  <si>
    <t>. МАТЕР.РЕСУРСЫ НЕ УЧТЕННЫЕ В РАСЦЕНКАХ -</t>
  </si>
  <si>
    <t>.   СТОИМОСТЬ ВОЗВРАЩАЕМЫХ МАТЕРИАЛОВ -</t>
  </si>
  <si>
    <t>.   НАКЛАДНЫЕ РАСХОДЫ -</t>
  </si>
  <si>
    <t>.   СМЕТНАЯ ПРИБЫЛЬ -</t>
  </si>
  <si>
    <t>ВСЕГО, СТОИМОСТЬ МОНТАЖНЫХ РАБОТ -</t>
  </si>
  <si>
    <t>СТОИМОСТЬ ОБЩЕСТРОИТЕЛЬНЫХ РАБОТ -</t>
  </si>
  <si>
    <t>.       МАТЕРИАЛОВ -</t>
  </si>
  <si>
    <t>ВСЕГО, СТОИМОСТЬ ОБЩЕСТРОИТЕЛЬНЫХ РАБОТ -</t>
  </si>
  <si>
    <t>СТОИМОСТЬ МЕТАЛЛОМОНТАЖНЫХ РАБОТ -</t>
  </si>
  <si>
    <t>ВСЕГО, СТОИМОСТЬ МЕТАЛЛОМОНТАЖНЫХ РАБОТ -</t>
  </si>
  <si>
    <t>СТОИМОСТЬ САНТЕХНИЧЕСКИХ РАБОТ -</t>
  </si>
  <si>
    <t>. СДАЧА И ИСПЫТАНИЕ -</t>
  </si>
  <si>
    <t>ВСЕГО, СТОИМОСТЬ САНТЕХНИЧЕСКИХ РАБОТ -</t>
  </si>
  <si>
    <t>СТОИМОСТЬ БУРО-ВЗРЫВНЫХ РАБОТ -</t>
  </si>
  <si>
    <t>ВСЕГО, СТОИМОСТЬ БУРО-ВЗРЫВНЫХ РАБОТ -</t>
  </si>
  <si>
    <t>СТОИМОСТЬ ГОРНОПРОХОДЧЕСКИХ РАБОТ -</t>
  </si>
  <si>
    <t>ВСЕГО, СТОИМОСТЬ ГОРНОПРОХОДЧЕСКИХ РАБОТ -</t>
  </si>
  <si>
    <t>СТОИМОСТЬ PЕСТАВPАЦИОННЫХ PАБОТ -</t>
  </si>
  <si>
    <t>. МАТЕPИАЛЫ -</t>
  </si>
  <si>
    <t>.   НАКЛАДНЫЕ PАСХОДЫ -</t>
  </si>
  <si>
    <t>ВСЕГО, СТОИМОСТЬ PЕСТАВPАЦИОННЫХ PАБОТ -</t>
  </si>
  <si>
    <t>СТОИМОСТЬ ПУСКОНАЛАДОЧНЫХ PАБОТ -</t>
  </si>
  <si>
    <t>ВСЕГО, СТОИМОСТЬ ПУСКОНАЛАДОЧНЫХ PАБОТ -</t>
  </si>
  <si>
    <t>СТОИМОСТЬ ПРОЧИХ PАБОТ (С НАКЛ. И ПЛАН.) -</t>
  </si>
  <si>
    <t>ВСЕГО, СТОИМОСТЬ ПPОЧИХ PАБОТ (С НАКЛ. И ПЛАН.) -</t>
  </si>
  <si>
    <t>ВСЕГО, СТОИМОСТЬ ПPОЧИХ PАБОТ (БЕЗ НАКЛ. И ПЛАН.) -</t>
  </si>
  <si>
    <t>. ВСЕГО  ПО  СМЕТЕ</t>
  </si>
  <si>
    <t>ВСЕГО СТОИМОСТЬ ВОЗВРАЩАЕМЫХ МАТЕРИАЛОВ -</t>
  </si>
  <si>
    <t>ВСЕГО НАКЛАДНЫЕ РАСХОДЫ</t>
  </si>
  <si>
    <t>ВСЕГО СМЕТНАЯ ПРИБЫЛЬ</t>
  </si>
  <si>
    <t>Общий процент накладных расходов</t>
  </si>
  <si>
    <t>Общий процент сметной прибыли</t>
  </si>
  <si>
    <t>в т.ч. Вспомогательные материалы на монтаж</t>
  </si>
  <si>
    <t>Оплата основных рабочих</t>
  </si>
  <si>
    <t>Оплата механизаторов</t>
  </si>
  <si>
    <t>Фонд оплаты труда</t>
  </si>
  <si>
    <t>Трудозатраты осн. рабочих</t>
  </si>
  <si>
    <t>Трудозатраты механизаторов</t>
  </si>
  <si>
    <t>Нормативная трудоемкость</t>
  </si>
  <si>
    <t>ПСД</t>
  </si>
  <si>
    <t>Итого с ПСД</t>
  </si>
  <si>
    <t>Рынок</t>
  </si>
  <si>
    <t>НДС</t>
  </si>
  <si>
    <t>Всего по объекту</t>
  </si>
  <si>
    <t>Составил:</t>
  </si>
  <si>
    <t>(должность, подпись, Ф.И.О)</t>
  </si>
  <si>
    <t>Проверил:</t>
  </si>
  <si>
    <t>Шифр</t>
  </si>
  <si>
    <t>Наименование</t>
  </si>
  <si>
    <t>Цена за единицу</t>
  </si>
  <si>
    <t>В том числе</t>
  </si>
  <si>
    <t>Кол-во механизаторов</t>
  </si>
  <si>
    <t>Tag</t>
  </si>
  <si>
    <t>базовая</t>
  </si>
  <si>
    <t>текущая</t>
  </si>
  <si>
    <t>З000-1002-0Ф</t>
  </si>
  <si>
    <t>Рабочие-строители (средний разряд 2.0)</t>
  </si>
  <si>
    <t>0</t>
  </si>
  <si>
    <t>З000-1002-9Ф</t>
  </si>
  <si>
    <t>Рабочие-строители (средний разряд 2.9)</t>
  </si>
  <si>
    <t>З000-1003-2Ф</t>
  </si>
  <si>
    <t>Рабочие-строители (средний разряд 3.2)</t>
  </si>
  <si>
    <t>З000-1003-4Ф</t>
  </si>
  <si>
    <t>Рабочие-строители (средний разряд 3.4)</t>
  </si>
  <si>
    <t>З000-1003-7Ф</t>
  </si>
  <si>
    <t>Рабочие-строители (средний разряд 3.7)</t>
  </si>
  <si>
    <t>З000-1004-7Ф</t>
  </si>
  <si>
    <t>Рабочие-строители (средний разряд 4.7)</t>
  </si>
  <si>
    <t>С101-1627-Ф</t>
  </si>
  <si>
    <t>Сталь углеродистая обыкновенного качества, марка стали ВСт3пс5, листовая толщиной 4-6 мм</t>
  </si>
  <si>
    <t>С101-1638-Ф</t>
  </si>
  <si>
    <t>Сталь полосовая, марка стали ВСт3кп, размером 5х40 мм</t>
  </si>
  <si>
    <t>С101-1642-Ф</t>
  </si>
  <si>
    <t>Сталь угловая, равнополочная, марка стали ВСт3кп2 размером 100х100х10 мм</t>
  </si>
  <si>
    <t>С101-1786-Ф</t>
  </si>
  <si>
    <t>Лак битумный БТ-123</t>
  </si>
  <si>
    <t>С101-1924-Ф</t>
  </si>
  <si>
    <t>Электроды диаметром 4 мм Э42А</t>
  </si>
  <si>
    <t>С101-1977-Ф</t>
  </si>
  <si>
    <t>Болты строительные с гайками и шайбами</t>
  </si>
  <si>
    <t>С101-1994-Ф</t>
  </si>
  <si>
    <t>Краски маркировочные МКЭ-4</t>
  </si>
  <si>
    <t>С105-0001-Ф</t>
  </si>
  <si>
    <t>Болты путевые с гайками для скрепления рельсов диаметром 22 мм</t>
  </si>
  <si>
    <t>С105-0018-Ф</t>
  </si>
  <si>
    <t>Шайбы пружинные путевые исполнение 1, диаметр 22 мм</t>
  </si>
  <si>
    <t>С105-0032-Ф</t>
  </si>
  <si>
    <t>Накладки двухголовые стыковые для рельсов Р-75, Р-65, Р-50, Р-43</t>
  </si>
  <si>
    <t>С105-5002-Ф</t>
  </si>
  <si>
    <t>Секции инвентарные с рельсами типа Р50 на деревянных полушпалах</t>
  </si>
  <si>
    <t>С201-0774-Ф</t>
  </si>
  <si>
    <t>Конструктивные элементы вспомогательного назначения массой не более 50 кг с преобладанием толстолистовой стали собираемые из двух и более деталей, с отверстиями и без отверстий, соединяемые на сварке</t>
  </si>
  <si>
    <t>С408-0122-Ф</t>
  </si>
  <si>
    <t>Песок природный для строительных работ средний</t>
  </si>
  <si>
    <t>С411-0001-Ф</t>
  </si>
  <si>
    <t>Вода</t>
  </si>
  <si>
    <t>С411-0041-Ф</t>
  </si>
  <si>
    <t>Электроэнергия</t>
  </si>
  <si>
    <t>Х02-0120-Ф</t>
  </si>
  <si>
    <t>Краны башенные при работе на гидроэнергетическом строительстве 16-50 т</t>
  </si>
  <si>
    <t>Х02-1102-Ф</t>
  </si>
  <si>
    <t>Краны на автомобильном ходу при работе на монтаже технологического оборудования 10 т</t>
  </si>
  <si>
    <t>Х02-1140-Ф</t>
  </si>
  <si>
    <t>Краны на автомобильном ходу при работе на других видах строительства (кроме магистральных трубопроводов) 6,3 т</t>
  </si>
  <si>
    <t>Х02-1141-Ф</t>
  </si>
  <si>
    <t>Краны на автомобильном ходу при работе на других видах строительства (кроме магистральных трубопроводов) 10 т</t>
  </si>
  <si>
    <t>Х03-0202-Ф</t>
  </si>
  <si>
    <t>Домкраты гидравлические грузоподъемностью до 25 т</t>
  </si>
  <si>
    <t>Х03-1811-Ф</t>
  </si>
  <si>
    <t>Погрузчики одноковшовые универсальные фронтальные пневмоколесные 2 т</t>
  </si>
  <si>
    <t>Х04-0502-Ф</t>
  </si>
  <si>
    <t>Установки для сварки ручной дуговой (постоянного тока)</t>
  </si>
  <si>
    <t>Х06-0337-Ф</t>
  </si>
  <si>
    <t>Экскаваторы одноковшовые дизельные на пневмоколесном ходу при работе на других видах строительства 0,25 м3</t>
  </si>
  <si>
    <t>Х07-0148-Ф</t>
  </si>
  <si>
    <t>Бульдозеры при работе на других видах строительства 59 (80) кВт (л.с.)</t>
  </si>
  <si>
    <t>Х12-0907-Ф</t>
  </si>
  <si>
    <t>Катки дорожные самоходные гладкие 13 т</t>
  </si>
  <si>
    <t>Х12-1601-Ф</t>
  </si>
  <si>
    <t>Машины поливомоечные 6000 л</t>
  </si>
  <si>
    <t>Х13-4101-Ф</t>
  </si>
  <si>
    <t>Шпалоподбойки</t>
  </si>
  <si>
    <t>Х15-2304-Ф</t>
  </si>
  <si>
    <t>Тракторы на пневмоколесном ходу 108 кВт (145 л.с.)</t>
  </si>
  <si>
    <t>Х16-0402-Ф</t>
  </si>
  <si>
    <t>Машины бурильно-крановые на автомобиле глубиной бурения 3,5 м</t>
  </si>
  <si>
    <t>Х35-0155-Ф</t>
  </si>
  <si>
    <t>Гайковерты электрические</t>
  </si>
  <si>
    <t>Х40-0001-Ф</t>
  </si>
  <si>
    <t>Автомобили бортовые грузоподъемностью до 5 т</t>
  </si>
  <si>
    <t>Х40-0002-Ф</t>
  </si>
  <si>
    <t>Автомобили бортовые грузоподъемностью до 8 т</t>
  </si>
  <si>
    <t>Х40-0101-Ф</t>
  </si>
  <si>
    <t>Тягачи седельные грузоподъемностью 12 т</t>
  </si>
  <si>
    <t>Х40-0111-Ф</t>
  </si>
  <si>
    <t>Полуприцепы общего назначения грузоподъемностью 12 т</t>
  </si>
  <si>
    <t>C1</t>
  </si>
  <si>
    <t>C2</t>
  </si>
  <si>
    <t>C3</t>
  </si>
  <si>
    <t>C4</t>
  </si>
  <si>
    <t>C5</t>
  </si>
  <si>
    <t>C6</t>
  </si>
  <si>
    <t>VOZVR</t>
  </si>
  <si>
    <t>C8</t>
  </si>
  <si>
    <t>C9</t>
  </si>
  <si>
    <t>C10</t>
  </si>
  <si>
    <t>C11</t>
  </si>
  <si>
    <t>C12</t>
  </si>
  <si>
    <t>NAKL</t>
  </si>
  <si>
    <t>PLAN</t>
  </si>
  <si>
    <t>NAKL_ZPR</t>
  </si>
  <si>
    <t>NAKL_ZPM</t>
  </si>
  <si>
    <t>PLAN_ZPR</t>
  </si>
  <si>
    <t>PLAN_ZPM</t>
  </si>
  <si>
    <t>RN11</t>
  </si>
  <si>
    <t>RN12</t>
  </si>
  <si>
    <t>RN13</t>
  </si>
  <si>
    <t>OBORUD_VSPOMOG</t>
  </si>
  <si>
    <t>NAKL_PN</t>
  </si>
  <si>
    <t>NAKL_VX</t>
  </si>
  <si>
    <t>PLAN_PN</t>
  </si>
  <si>
    <t>PLAN_VX</t>
  </si>
  <si>
    <t>VTCH_PN</t>
  </si>
  <si>
    <t>VTCH_VX</t>
  </si>
  <si>
    <t>MR_BY_ZPR_VSPOMOG</t>
  </si>
  <si>
    <t>N = &lt; 495 * 1 * 2-2 &gt;</t>
  </si>
  <si>
    <t xml:space="preserve">          Монтаж крана КБМ-401.П мой вариант</t>
  </si>
  <si>
    <t>Н1</t>
  </si>
  <si>
    <t>Н2</t>
  </si>
  <si>
    <t>Н3</t>
  </si>
  <si>
    <t>Н4</t>
  </si>
  <si>
    <t>Н5</t>
  </si>
  <si>
    <t>Н6</t>
  </si>
  <si>
    <t>Н7</t>
  </si>
  <si>
    <t>Н8</t>
  </si>
  <si>
    <t>Н9</t>
  </si>
  <si>
    <t>Н10</t>
  </si>
  <si>
    <t>Н11</t>
  </si>
  <si>
    <t>Н12</t>
  </si>
  <si>
    <t>Н13</t>
  </si>
  <si>
    <t>Н14</t>
  </si>
  <si>
    <t>Н15</t>
  </si>
  <si>
    <t>Н16</t>
  </si>
  <si>
    <t>Н17</t>
  </si>
  <si>
    <t>Н18</t>
  </si>
  <si>
    <t>Н19</t>
  </si>
  <si>
    <t>Н20</t>
  </si>
  <si>
    <t>Н21</t>
  </si>
  <si>
    <t>Н22</t>
  </si>
  <si>
    <t>Н23</t>
  </si>
  <si>
    <t>Н24</t>
  </si>
  <si>
    <t>Н25</t>
  </si>
  <si>
    <t>Н26</t>
  </si>
  <si>
    <t>Н27</t>
  </si>
  <si>
    <t>Н28</t>
  </si>
  <si>
    <t>Н29</t>
  </si>
  <si>
    <t>Н30</t>
  </si>
  <si>
    <t>Н31</t>
  </si>
  <si>
    <t>Н32</t>
  </si>
  <si>
    <t>Н33</t>
  </si>
  <si>
    <t>Н34</t>
  </si>
  <si>
    <t>Н35</t>
  </si>
  <si>
    <t>Н36</t>
  </si>
  <si>
    <t>Н37</t>
  </si>
  <si>
    <t>Н38</t>
  </si>
  <si>
    <t>Н39</t>
  </si>
  <si>
    <t>Н40</t>
  </si>
  <si>
    <t>Н41</t>
  </si>
  <si>
    <t>Н42</t>
  </si>
  <si>
    <t>Н43</t>
  </si>
  <si>
    <t>Н44</t>
  </si>
  <si>
    <t>Н45</t>
  </si>
  <si>
    <t>Н46</t>
  </si>
  <si>
    <t>Н47</t>
  </si>
  <si>
    <t>Н48</t>
  </si>
  <si>
    <t>Н49</t>
  </si>
  <si>
    <t>О0</t>
  </si>
  <si>
    <t>О1</t>
  </si>
  <si>
    <t>О2</t>
  </si>
  <si>
    <t>О3</t>
  </si>
  <si>
    <t>О4</t>
  </si>
  <si>
    <t>О5</t>
  </si>
  <si>
    <t>О6</t>
  </si>
  <si>
    <t>О7</t>
  </si>
  <si>
    <t>О8</t>
  </si>
  <si>
    <t>1</t>
  </si>
  <si>
    <t xml:space="preserve"> </t>
  </si>
  <si>
    <t>3</t>
  </si>
  <si>
    <t>2</t>
  </si>
  <si>
    <t>Вид</t>
  </si>
  <si>
    <t>Значение</t>
  </si>
  <si>
    <t>ЕИ</t>
  </si>
  <si>
    <t>Z1</t>
  </si>
  <si>
    <t>Z2</t>
  </si>
  <si>
    <t>Z3</t>
  </si>
  <si>
    <t>Z4</t>
  </si>
  <si>
    <t>Z5</t>
  </si>
  <si>
    <t>Z6</t>
  </si>
  <si>
    <t>Z7</t>
  </si>
  <si>
    <t>Z8</t>
  </si>
  <si>
    <t>А</t>
  </si>
  <si>
    <t>Б</t>
  </si>
  <si>
    <t>4</t>
  </si>
  <si>
    <t>5</t>
  </si>
  <si>
    <t>6</t>
  </si>
  <si>
    <t>7</t>
  </si>
  <si>
    <t>8</t>
  </si>
  <si>
    <t>9</t>
  </si>
  <si>
    <t>!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</si>
  <si>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</si>
  <si>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</si>
  <si>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</si>
  <si>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</si>
  <si>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</si>
  <si>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</si>
  <si>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</si>
  <si>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</si>
  <si>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</si>
  <si>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</si>
  <si>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</si>
  <si>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</si>
  <si>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</si>
  <si>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</si>
  <si>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</si>
  <si>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</si>
  <si>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</si>
  <si>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</si>
  <si>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</si>
  <si>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</si>
  <si>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</si>
  <si>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</si>
  <si>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</si>
  <si>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</si>
  <si>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</si>
  <si>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</si>
  <si>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</si>
  <si>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</si>
  <si>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</si>
  <si>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</si>
  <si>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</si>
  <si>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</si>
  <si>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</si>
  <si>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</si>
  <si>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</si>
  <si>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</si>
  <si>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</si>
  <si>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</si>
  <si>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</si>
  <si>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</si>
  <si>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</si>
  <si>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</si>
  <si>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</si>
  <si>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</si>
  <si>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</si>
  <si>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</si>
  <si>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</si>
  <si>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</si>
  <si>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</si>
  <si>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</si>
  <si>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</si>
  <si>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</si>
  <si>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</si>
  <si>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</si>
  <si>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</si>
  <si>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</si>
  <si>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</si>
  <si>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</si>
  <si>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</si>
  <si>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</si>
  <si>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</si>
  <si>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</si>
  <si>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</si>
  <si>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</si>
  <si>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k</t>
  </si>
  <si>
    <t>74</t>
  </si>
  <si>
    <t>d</t>
  </si>
  <si>
    <t>75</t>
  </si>
  <si>
    <t>76</t>
  </si>
  <si>
    <t>77</t>
  </si>
  <si>
    <t>h</t>
  </si>
  <si>
    <t>78</t>
  </si>
  <si>
    <t>79</t>
  </si>
  <si>
    <t>80</t>
  </si>
  <si>
    <t>81</t>
  </si>
  <si>
    <t>82</t>
  </si>
  <si>
    <t>83</t>
  </si>
  <si>
    <t>84</t>
  </si>
  <si>
    <t>%</t>
  </si>
  <si>
    <t>85</t>
  </si>
  <si>
    <t>86</t>
  </si>
  <si>
    <t>87</t>
  </si>
  <si>
    <t>88</t>
  </si>
  <si>
    <t>89</t>
  </si>
  <si>
    <t>Сметная прибыль</t>
  </si>
  <si>
    <t xml:space="preserve">Всего </t>
  </si>
  <si>
    <t xml:space="preserve">Стоимость организации перевозки тяжеловесных, крупногабаритных и опасных грузов </t>
  </si>
  <si>
    <t xml:space="preserve">на Монтаж башенного крана КБМ-401.П </t>
  </si>
  <si>
    <t>Заработная плата в текущих ценах ( п.1): 149,7*18000/165,6 =16272</t>
  </si>
  <si>
    <t>Накладные расходы: 90%*0,94 *16272 = 13766</t>
  </si>
  <si>
    <t>Сметная прибыль:  85%*16272=13831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</si>
</sst>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General;\-General;"/>
    <numFmt numFmtId="165" formatCode="##0"/>
    <numFmt numFmtId="166" formatCode="#,##0.##;\-#,##0.##;"/>
    <numFmt numFmtId="167" formatCode="#,##0;\-#,##0;"/>
    <numFmt numFmtId="168" formatCode="#,##0.###;\-#,##0.###;"/>
    <numFmt numFmtId="169" formatCode="#,##0;\-#,##0;#,##0"/>
    <numFmt numFmtId="170" formatCode="#,##0.00;\-#,##0.00;#,##0.00"/>
    <numFmt numFmtId="171" formatCode="#,##0.00######################"/>
    <numFmt numFmtId="172" formatCode="#,##0.00;\-#,##0.00;"/>
  </numFmts>
  <fonts count="7" x14ac:knownFonts="1">
    <font>
      <sz val="8"/>
      <name val="Verdana"/>
      <charset val="204"/>
    </font>
    <font>
      <sz val="8"/>
      <color indexed="8"/>
      <name val="Verdana"/>
      <charset val="204"/>
    </font>
    <font>
      <b/>
      <sz val="8"/>
      <name val="Verdana"/>
      <charset val="204"/>
    </font>
    <font>
      <i/>
      <sz val="8"/>
      <name val="Verdana"/>
      <charset val="204"/>
    </font>
    <font>
      <sz val="8"/>
      <color indexed="9"/>
      <name val="Verdana"/>
      <charset val="204"/>
    </font>
    <font>
      <u/>
      <sz val="8"/>
      <name val="Verdana"/>
      <charset val="204"/>
    </font>
    <font>
      <sz val="1"/>
      <name val="Verdana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top"/>
      <protection locked="0"/>
    </xf>
  </cellStyleXfs>
  <cellXfs count="86">
    <xf numFmtId="0" fontId="0" fillId="0" borderId="0" xfId="0" applyAlignment="1" applyProtection="1"/>
    <xf numFmtId="164" fontId="0" fillId="0" borderId="0" xfId="0" applyNumberFormat="1" applyFont="1" applyAlignment="1">
      <alignment horizontal="right" vertical="top" wrapText="1"/>
      <protection locked="0"/>
    </xf>
    <xf numFmtId="49" fontId="1" fillId="0" borderId="0" xfId="0" applyNumberFormat="1" applyFont="1" applyAlignment="1">
      <alignment horizontal="left" vertical="top"/>
      <protection locked="0"/>
    </xf>
    <xf numFmtId="49" fontId="1" fillId="0" borderId="0" xfId="0" applyNumberFormat="1" applyFont="1" applyAlignment="1">
      <alignment horizontal="right" vertical="top"/>
      <protection locked="0"/>
    </xf>
    <xf numFmtId="49" fontId="0" fillId="0" borderId="0" xfId="0" applyNumberFormat="1" applyFont="1" applyAlignment="1">
      <alignment horizontal="right" vertical="top"/>
      <protection locked="0"/>
    </xf>
    <xf numFmtId="49" fontId="0" fillId="0" borderId="0" xfId="0" applyNumberFormat="1" applyFont="1" applyAlignment="1">
      <alignment horizontal="left" vertical="top"/>
      <protection locked="0"/>
    </xf>
    <xf numFmtId="49" fontId="2" fillId="0" borderId="0" xfId="0" applyNumberFormat="1" applyFont="1" applyAlignment="1">
      <alignment horizontal="left" vertical="top"/>
      <protection locked="0"/>
    </xf>
    <xf numFmtId="49" fontId="0" fillId="0" borderId="1" xfId="0" applyNumberFormat="1" applyFont="1" applyBorder="1" applyAlignment="1">
      <alignment horizontal="center" vertical="center" wrapText="1"/>
      <protection locked="0"/>
    </xf>
    <xf numFmtId="165" fontId="0" fillId="0" borderId="2" xfId="0" applyNumberFormat="1" applyFont="1" applyBorder="1" applyAlignment="1">
      <alignment horizontal="center" vertical="top" wrapText="1"/>
      <protection locked="0"/>
    </xf>
    <xf numFmtId="49" fontId="2" fillId="0" borderId="0" xfId="0" applyNumberFormat="1" applyFont="1" applyAlignment="1">
      <alignment horizontal="left" vertical="top" wrapText="1"/>
      <protection locked="0"/>
    </xf>
    <xf numFmtId="49" fontId="2" fillId="0" borderId="0" xfId="0" applyNumberFormat="1" applyFont="1" applyAlignment="1">
      <alignment horizontal="right" vertical="top" wrapText="1"/>
      <protection locked="0"/>
    </xf>
    <xf numFmtId="164" fontId="2" fillId="0" borderId="0" xfId="0" applyNumberFormat="1" applyFont="1" applyAlignment="1">
      <alignment horizontal="right" vertical="top" wrapText="1"/>
      <protection locked="0"/>
    </xf>
    <xf numFmtId="167" fontId="2" fillId="0" borderId="0" xfId="0" applyNumberFormat="1" applyFont="1" applyAlignment="1">
      <alignment horizontal="right" vertical="top" wrapText="1"/>
      <protection locked="0"/>
    </xf>
    <xf numFmtId="168" fontId="2" fillId="0" borderId="0" xfId="0" applyNumberFormat="1" applyFont="1" applyAlignment="1">
      <alignment horizontal="right" vertical="top" wrapText="1"/>
      <protection locked="0"/>
    </xf>
    <xf numFmtId="49" fontId="0" fillId="0" borderId="0" xfId="0" applyNumberFormat="1" applyFont="1" applyAlignment="1">
      <alignment horizontal="left" vertical="top" wrapText="1"/>
      <protection locked="0"/>
    </xf>
    <xf numFmtId="49" fontId="0" fillId="0" borderId="0" xfId="0" applyNumberFormat="1" applyFont="1" applyAlignment="1">
      <alignment horizontal="right" vertical="top" wrapText="1"/>
      <protection locked="0"/>
    </xf>
    <xf numFmtId="166" fontId="0" fillId="0" borderId="0" xfId="0" applyNumberFormat="1" applyFont="1" applyAlignment="1">
      <alignment horizontal="right" vertical="top" wrapText="1"/>
      <protection locked="0"/>
    </xf>
    <xf numFmtId="167" fontId="0" fillId="0" borderId="0" xfId="0" applyNumberFormat="1" applyFont="1" applyAlignment="1">
      <alignment horizontal="right" vertical="top" wrapText="1"/>
      <protection locked="0"/>
    </xf>
    <xf numFmtId="168" fontId="0" fillId="0" borderId="0" xfId="0" applyNumberFormat="1" applyFont="1" applyAlignment="1">
      <alignment horizontal="right" vertical="top" wrapText="1"/>
      <protection locked="0"/>
    </xf>
    <xf numFmtId="49" fontId="3" fillId="0" borderId="0" xfId="0" applyNumberFormat="1" applyFont="1" applyAlignment="1">
      <alignment horizontal="left" vertical="top" wrapText="1"/>
      <protection locked="0"/>
    </xf>
    <xf numFmtId="164" fontId="4" fillId="0" borderId="0" xfId="0" applyNumberFormat="1" applyFont="1" applyAlignment="1">
      <alignment horizontal="right" vertical="top" wrapText="1"/>
      <protection locked="0"/>
    </xf>
    <xf numFmtId="169" fontId="0" fillId="0" borderId="0" xfId="0" applyNumberFormat="1" applyFont="1" applyAlignment="1">
      <alignment horizontal="right" vertical="top" wrapText="1"/>
      <protection locked="0"/>
    </xf>
    <xf numFmtId="49" fontId="2" fillId="0" borderId="3" xfId="0" applyNumberFormat="1" applyFont="1" applyBorder="1" applyAlignment="1">
      <alignment horizontal="left" vertical="top" wrapText="1"/>
      <protection locked="0"/>
    </xf>
    <xf numFmtId="49" fontId="2" fillId="0" borderId="3" xfId="0" applyNumberFormat="1" applyFont="1" applyBorder="1" applyAlignment="1">
      <alignment horizontal="right" vertical="top" wrapText="1"/>
      <protection locked="0"/>
    </xf>
    <xf numFmtId="164" fontId="0" fillId="0" borderId="3" xfId="0" applyNumberFormat="1" applyFont="1" applyBorder="1" applyAlignment="1">
      <alignment horizontal="right" vertical="top" wrapText="1"/>
      <protection locked="0"/>
    </xf>
    <xf numFmtId="164" fontId="2" fillId="0" borderId="3" xfId="0" applyNumberFormat="1" applyFont="1" applyBorder="1" applyAlignment="1">
      <alignment horizontal="right" vertical="top" wrapText="1"/>
      <protection locked="0"/>
    </xf>
    <xf numFmtId="166" fontId="2" fillId="0" borderId="3" xfId="0" applyNumberFormat="1" applyFont="1" applyBorder="1" applyAlignment="1">
      <alignment horizontal="right" vertical="top" wrapText="1"/>
      <protection locked="0"/>
    </xf>
    <xf numFmtId="167" fontId="2" fillId="0" borderId="3" xfId="0" applyNumberFormat="1" applyFont="1" applyBorder="1" applyAlignment="1">
      <alignment horizontal="right" vertical="top" wrapText="1"/>
      <protection locked="0"/>
    </xf>
    <xf numFmtId="168" fontId="2" fillId="0" borderId="3" xfId="0" applyNumberFormat="1" applyFont="1" applyBorder="1" applyAlignment="1">
      <alignment horizontal="right" vertical="top" wrapText="1"/>
      <protection locked="0"/>
    </xf>
    <xf numFmtId="164" fontId="0" fillId="0" borderId="0" xfId="0" applyNumberFormat="1" applyFont="1" applyAlignment="1">
      <alignment horizontal="left" vertical="top" wrapText="1"/>
      <protection locked="0"/>
    </xf>
    <xf numFmtId="49" fontId="5" fillId="0" borderId="0" xfId="0" applyNumberFormat="1" applyFont="1" applyAlignment="1">
      <alignment horizontal="right" vertical="top" wrapText="1"/>
      <protection locked="0"/>
    </xf>
    <xf numFmtId="166" fontId="5" fillId="0" borderId="0" xfId="0" applyNumberFormat="1" applyFont="1" applyAlignment="1">
      <alignment horizontal="right" vertical="top" wrapText="1"/>
      <protection locked="0"/>
    </xf>
    <xf numFmtId="167" fontId="5" fillId="0" borderId="0" xfId="0" applyNumberFormat="1" applyFont="1" applyAlignment="1">
      <alignment horizontal="right" vertical="top" wrapText="1"/>
      <protection locked="0"/>
    </xf>
    <xf numFmtId="168" fontId="5" fillId="0" borderId="0" xfId="0" applyNumberFormat="1" applyFont="1" applyAlignment="1">
      <alignment horizontal="right" vertical="top" wrapText="1"/>
      <protection locked="0"/>
    </xf>
    <xf numFmtId="49" fontId="2" fillId="0" borderId="0" xfId="0" applyNumberFormat="1" applyFont="1" applyAlignment="1">
      <alignment horizontal="right" vertical="top"/>
      <protection locked="0"/>
    </xf>
    <xf numFmtId="49" fontId="3" fillId="0" borderId="3" xfId="0" applyNumberFormat="1" applyFont="1" applyBorder="1" applyAlignment="1">
      <alignment horizontal="left" vertical="top"/>
      <protection locked="0"/>
    </xf>
    <xf numFmtId="49" fontId="3" fillId="0" borderId="0" xfId="0" applyNumberFormat="1" applyFont="1" applyAlignment="1">
      <alignment horizontal="left" vertical="top"/>
      <protection locked="0"/>
    </xf>
    <xf numFmtId="167" fontId="2" fillId="0" borderId="0" xfId="0" applyNumberFormat="1" applyFont="1" applyAlignment="1">
      <alignment horizontal="right" vertical="top"/>
      <protection locked="0"/>
    </xf>
    <xf numFmtId="170" fontId="2" fillId="0" borderId="0" xfId="0" applyNumberFormat="1" applyFont="1" applyAlignment="1">
      <alignment horizontal="right" vertical="top"/>
      <protection locked="0"/>
    </xf>
    <xf numFmtId="164" fontId="6" fillId="0" borderId="0" xfId="0" applyNumberFormat="1" applyFont="1" applyAlignment="1">
      <alignment horizontal="right" vertical="top" wrapText="1"/>
      <protection locked="0"/>
    </xf>
    <xf numFmtId="164" fontId="0" fillId="0" borderId="0" xfId="0" applyNumberFormat="1" applyFont="1" applyAlignment="1">
      <alignment horizontal="right" vertical="top"/>
      <protection locked="0"/>
    </xf>
    <xf numFmtId="49" fontId="2" fillId="0" borderId="0" xfId="0" applyNumberFormat="1" applyFont="1" applyAlignment="1">
      <alignment horizontal="center" vertical="center"/>
      <protection locked="0"/>
    </xf>
    <xf numFmtId="164" fontId="0" fillId="0" borderId="1" xfId="0" applyNumberFormat="1" applyFont="1" applyBorder="1" applyAlignment="1">
      <alignment horizontal="right" vertical="top"/>
      <protection locked="0"/>
    </xf>
    <xf numFmtId="166" fontId="0" fillId="0" borderId="0" xfId="0" applyNumberFormat="1" applyFont="1" applyAlignment="1">
      <alignment horizontal="right" vertical="top"/>
      <protection locked="0"/>
    </xf>
    <xf numFmtId="170" fontId="0" fillId="0" borderId="0" xfId="0" applyNumberFormat="1" applyFont="1" applyAlignment="1">
      <alignment horizontal="right" vertical="top"/>
      <protection locked="0"/>
    </xf>
    <xf numFmtId="164" fontId="2" fillId="0" borderId="0" xfId="0" applyNumberFormat="1" applyFont="1" applyAlignment="1">
      <alignment horizontal="center" vertical="center"/>
      <protection locked="0"/>
    </xf>
    <xf numFmtId="164" fontId="2" fillId="0" borderId="0" xfId="0" applyNumberFormat="1" applyFont="1" applyAlignment="1">
      <alignment horizontal="right" vertical="top"/>
      <protection locked="0"/>
    </xf>
    <xf numFmtId="164" fontId="0" fillId="2" borderId="0" xfId="0" applyNumberFormat="1" applyFont="1" applyFill="1" applyBorder="1" applyAlignment="1">
      <alignment horizontal="right" vertical="top"/>
      <protection locked="0"/>
    </xf>
    <xf numFmtId="169" fontId="0" fillId="0" borderId="0" xfId="0" applyNumberFormat="1" applyFont="1" applyAlignment="1">
      <alignment horizontal="right" vertical="top"/>
      <protection locked="0"/>
    </xf>
    <xf numFmtId="49" fontId="0" fillId="0" borderId="0" xfId="0" applyNumberFormat="1" applyFont="1" applyAlignment="1">
      <alignment horizontal="center" vertical="center"/>
      <protection locked="0"/>
    </xf>
    <xf numFmtId="164" fontId="0" fillId="0" borderId="0" xfId="0" applyNumberFormat="1" applyFont="1" applyAlignment="1">
      <alignment horizontal="right" vertical="center"/>
      <protection locked="0"/>
    </xf>
    <xf numFmtId="164" fontId="0" fillId="2" borderId="0" xfId="0" applyNumberFormat="1" applyFont="1" applyFill="1" applyBorder="1" applyAlignment="1">
      <alignment horizontal="right" vertical="center"/>
      <protection locked="0"/>
    </xf>
    <xf numFmtId="171" fontId="0" fillId="0" borderId="0" xfId="0" applyNumberFormat="1" applyFont="1" applyAlignment="1">
      <alignment horizontal="right" vertical="top"/>
      <protection locked="0"/>
    </xf>
    <xf numFmtId="164" fontId="0" fillId="0" borderId="0" xfId="0" applyNumberFormat="1" applyFont="1" applyBorder="1" applyAlignment="1">
      <alignment horizontal="right" vertical="top" wrapText="1"/>
      <protection locked="0"/>
    </xf>
    <xf numFmtId="172" fontId="2" fillId="0" borderId="3" xfId="0" applyNumberFormat="1" applyFont="1" applyBorder="1" applyAlignment="1">
      <alignment horizontal="right" vertical="top" wrapText="1"/>
      <protection locked="0"/>
    </xf>
    <xf numFmtId="3" fontId="0" fillId="0" borderId="3" xfId="0" applyNumberFormat="1" applyFont="1" applyBorder="1" applyAlignment="1">
      <alignment horizontal="right" vertical="top" wrapText="1"/>
      <protection locked="0"/>
    </xf>
    <xf numFmtId="172" fontId="2" fillId="0" borderId="0" xfId="0" applyNumberFormat="1" applyFont="1" applyAlignment="1">
      <alignment horizontal="right" vertical="top" wrapText="1"/>
      <protection locked="0"/>
    </xf>
    <xf numFmtId="169" fontId="0" fillId="0" borderId="0" xfId="0" applyNumberFormat="1" applyFont="1" applyBorder="1" applyAlignment="1">
      <alignment horizontal="right" vertical="top" wrapText="1"/>
      <protection locked="0"/>
    </xf>
    <xf numFmtId="9" fontId="2" fillId="0" borderId="0" xfId="0" applyNumberFormat="1" applyFont="1" applyAlignment="1">
      <alignment horizontal="right" vertical="top" wrapText="1"/>
      <protection locked="0"/>
    </xf>
    <xf numFmtId="49" fontId="0" fillId="0" borderId="8" xfId="0" applyNumberFormat="1" applyFont="1" applyBorder="1" applyAlignment="1">
      <alignment horizontal="left" vertical="top"/>
      <protection locked="0"/>
    </xf>
    <xf numFmtId="49" fontId="3" fillId="0" borderId="0" xfId="0" applyNumberFormat="1" applyFont="1" applyAlignment="1">
      <alignment horizontal="center" vertical="top"/>
      <protection locked="0"/>
    </xf>
    <xf numFmtId="164" fontId="0" fillId="0" borderId="0" xfId="0" applyNumberFormat="1" applyFont="1" applyAlignment="1">
      <alignment horizontal="right" vertical="top" wrapText="1"/>
      <protection locked="0"/>
    </xf>
    <xf numFmtId="49" fontId="0" fillId="0" borderId="0" xfId="0" applyNumberFormat="1" applyFont="1" applyAlignment="1">
      <alignment horizontal="left" vertical="top" wrapText="1"/>
      <protection locked="0"/>
    </xf>
    <xf numFmtId="164" fontId="0" fillId="0" borderId="0" xfId="0" applyNumberFormat="1" applyFont="1" applyAlignment="1">
      <alignment horizontal="left" vertical="top" wrapText="1"/>
      <protection locked="0"/>
    </xf>
    <xf numFmtId="49" fontId="0" fillId="0" borderId="6" xfId="0" applyNumberFormat="1" applyFont="1" applyBorder="1" applyAlignment="1">
      <alignment horizontal="center" vertical="center" wrapText="1"/>
      <protection locked="0"/>
    </xf>
    <xf numFmtId="49" fontId="0" fillId="0" borderId="7" xfId="0" applyNumberFormat="1" applyFont="1" applyBorder="1" applyAlignment="1">
      <alignment horizontal="center" vertical="center" wrapText="1"/>
      <protection locked="0"/>
    </xf>
    <xf numFmtId="49" fontId="0" fillId="0" borderId="4" xfId="0" applyNumberFormat="1" applyFont="1" applyBorder="1" applyAlignment="1">
      <alignment horizontal="center" vertical="center" wrapText="1"/>
      <protection locked="0"/>
    </xf>
    <xf numFmtId="49" fontId="0" fillId="0" borderId="5" xfId="0" applyNumberFormat="1" applyFont="1" applyBorder="1" applyAlignment="1">
      <alignment horizontal="center" vertical="center" wrapText="1"/>
      <protection locked="0"/>
    </xf>
    <xf numFmtId="49" fontId="2" fillId="0" borderId="0" xfId="0" applyNumberFormat="1" applyFont="1" applyAlignment="1">
      <alignment horizontal="center" vertical="top"/>
      <protection locked="0"/>
    </xf>
    <xf numFmtId="49" fontId="0" fillId="0" borderId="0" xfId="0" applyNumberFormat="1" applyFont="1" applyAlignment="1">
      <alignment horizontal="center" vertical="top"/>
      <protection locked="0"/>
    </xf>
    <xf numFmtId="49" fontId="0" fillId="0" borderId="0" xfId="0" applyNumberFormat="1" applyAlignment="1">
      <alignment horizontal="center" vertical="top"/>
      <protection locked="0"/>
    </xf>
    <xf numFmtId="49" fontId="0" fillId="0" borderId="0" xfId="0" applyNumberFormat="1" applyFont="1" applyAlignment="1">
      <alignment horizontal="left" vertical="top"/>
      <protection locked="0"/>
    </xf>
    <xf numFmtId="164" fontId="2" fillId="0" borderId="0" xfId="0" applyNumberFormat="1" applyFont="1" applyAlignment="1">
      <alignment horizontal="right" vertical="top"/>
      <protection locked="0"/>
    </xf>
    <xf numFmtId="49" fontId="2" fillId="0" borderId="6" xfId="0" applyNumberFormat="1" applyFont="1" applyBorder="1" applyAlignment="1">
      <alignment horizontal="center" vertical="center"/>
      <protection locked="0"/>
    </xf>
    <xf numFmtId="164" fontId="0" fillId="0" borderId="7" xfId="0" applyNumberFormat="1" applyFont="1" applyBorder="1" applyAlignment="1">
      <alignment horizontal="center" vertical="center"/>
      <protection locked="0"/>
    </xf>
    <xf numFmtId="164" fontId="0" fillId="0" borderId="7" xfId="0" applyNumberFormat="1" applyFont="1" applyBorder="1" applyAlignment="1">
      <alignment horizontal="right" vertical="top"/>
      <protection locked="0"/>
    </xf>
    <xf numFmtId="49" fontId="2" fillId="0" borderId="4" xfId="0" applyNumberFormat="1" applyFont="1" applyBorder="1" applyAlignment="1">
      <alignment horizontal="center" vertical="center"/>
      <protection locked="0"/>
    </xf>
    <xf numFmtId="49" fontId="2" fillId="0" borderId="5" xfId="0" applyNumberFormat="1" applyFont="1" applyBorder="1" applyAlignment="1">
      <alignment horizontal="center" vertical="center"/>
      <protection locked="0"/>
    </xf>
    <xf numFmtId="164" fontId="0" fillId="0" borderId="0" xfId="0" applyNumberFormat="1" applyFont="1" applyAlignment="1">
      <alignment horizontal="right" vertical="top"/>
      <protection locked="0"/>
    </xf>
    <xf numFmtId="170" fontId="0" fillId="0" borderId="0" xfId="0" applyNumberFormat="1" applyFont="1" applyAlignment="1">
      <alignment horizontal="right" vertical="top"/>
      <protection locked="0"/>
    </xf>
    <xf numFmtId="49" fontId="2" fillId="2" borderId="0" xfId="0" applyNumberFormat="1" applyFont="1" applyFill="1" applyBorder="1" applyAlignment="1">
      <alignment horizontal="left" vertical="top"/>
      <protection locked="0"/>
    </xf>
    <xf numFmtId="164" fontId="0" fillId="0" borderId="0" xfId="0" applyNumberFormat="1" applyFont="1" applyAlignment="1">
      <alignment horizontal="right" vertical="center"/>
      <protection locked="0"/>
    </xf>
    <xf numFmtId="49" fontId="0" fillId="0" borderId="0" xfId="0" applyNumberFormat="1" applyFont="1" applyAlignment="1">
      <alignment horizontal="center" vertical="center"/>
      <protection locked="0"/>
    </xf>
    <xf numFmtId="49" fontId="2" fillId="2" borderId="0" xfId="0" applyNumberFormat="1" applyFont="1" applyFill="1" applyBorder="1" applyAlignment="1">
      <alignment horizontal="left" vertical="center"/>
      <protection locked="0"/>
    </xf>
    <xf numFmtId="49" fontId="0" fillId="0" borderId="0" xfId="0" applyNumberFormat="1" applyFont="1" applyAlignment="1">
      <alignment horizontal="right" vertical="top"/>
      <protection locked="0"/>
    </xf>
    <xf numFmtId="171" fontId="0" fillId="0" borderId="0" xfId="0" applyNumberFormat="1" applyFont="1" applyAlignment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C0C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547"/>
  <sheetViews>
    <sheetView topLeftCell="A543" workbookViewId="0">
      <selection activeCell="F39" sqref="F39"/>
    </sheetView>
  </sheetViews>
  <sheetFormatPr defaultRowHeight="10.5" x14ac:dyDescent="0.15"/>
  <cols>
    <col min="1" max="1" width="7.85546875" style="1" customWidth="1"/>
    <col min="2" max="2" width="13.140625" style="1" customWidth="1"/>
    <col min="3" max="3" width="34" style="1" customWidth="1"/>
    <col min="4" max="4" width="10.5703125" style="1" customWidth="1"/>
    <col min="5" max="7" width="11.28515625" style="1" customWidth="1"/>
    <col min="8" max="8" width="15" style="1" customWidth="1"/>
    <col min="9" max="9" width="11.28515625" style="1" customWidth="1"/>
    <col min="10" max="10" width="15" style="1" customWidth="1"/>
    <col min="11" max="11" width="8.28515625" style="1" customWidth="1"/>
    <col min="12" max="15" width="9.140625" style="1" hidden="1" customWidth="1"/>
    <col min="16" max="16384" width="9.140625" style="1"/>
  </cols>
  <sheetData>
    <row r="1" spans="1:11" x14ac:dyDescent="0.15">
      <c r="A1" s="2" t="s">
        <v>0</v>
      </c>
      <c r="D1" s="2" t="s">
        <v>1</v>
      </c>
      <c r="K1" s="3" t="s">
        <v>2</v>
      </c>
    </row>
    <row r="2" spans="1:11" hidden="1" x14ac:dyDescent="0.15"/>
    <row r="3" spans="1:11" hidden="1" x14ac:dyDescent="0.15">
      <c r="B3" s="4" t="s">
        <v>3</v>
      </c>
      <c r="C3" s="5" t="s">
        <v>4</v>
      </c>
    </row>
    <row r="4" spans="1:11" hidden="1" x14ac:dyDescent="0.15">
      <c r="B4" s="4" t="s">
        <v>5</v>
      </c>
      <c r="C4" s="5" t="s">
        <v>6</v>
      </c>
    </row>
    <row r="6" spans="1:11" x14ac:dyDescent="0.15">
      <c r="B6" s="4" t="s">
        <v>7</v>
      </c>
      <c r="C6" s="5"/>
    </row>
    <row r="7" spans="1:11" x14ac:dyDescent="0.15">
      <c r="B7" s="4" t="s">
        <v>8</v>
      </c>
      <c r="C7" s="5" t="s">
        <v>9</v>
      </c>
    </row>
    <row r="8" spans="1:11" x14ac:dyDescent="0.15">
      <c r="A8" s="68" t="s">
        <v>10</v>
      </c>
      <c r="B8" s="68"/>
      <c r="C8" s="68"/>
      <c r="D8" s="68"/>
      <c r="E8" s="68"/>
      <c r="F8" s="68"/>
      <c r="G8" s="68"/>
      <c r="H8" s="68"/>
      <c r="I8" s="68"/>
      <c r="J8" s="68"/>
      <c r="K8" s="68"/>
    </row>
    <row r="9" spans="1:11" x14ac:dyDescent="0.15">
      <c r="A9" s="69" t="s">
        <v>11</v>
      </c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15">
      <c r="A10" s="70" t="s">
        <v>578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hidden="1" x14ac:dyDescent="0.15">
      <c r="H11" s="4" t="s">
        <v>12</v>
      </c>
      <c r="I11" s="72" t="e">
        <f ca="1">TEXT((#REF!)/1000,"# ##0"&amp;GetSeparator()&amp;"000")</f>
        <v>#REF!</v>
      </c>
      <c r="J11" s="72"/>
      <c r="K11" s="6" t="s">
        <v>13</v>
      </c>
    </row>
    <row r="12" spans="1:11" hidden="1" x14ac:dyDescent="0.15">
      <c r="H12" s="4" t="s">
        <v>14</v>
      </c>
      <c r="I12" s="72" t="e">
        <f ca="1">TEXT((#REF!)/1000,"# ##0"&amp;GetSeparator()&amp;"000")</f>
        <v>#REF!</v>
      </c>
      <c r="J12" s="72"/>
      <c r="K12" s="6" t="s">
        <v>15</v>
      </c>
    </row>
    <row r="13" spans="1:11" hidden="1" x14ac:dyDescent="0.15">
      <c r="H13" s="4" t="s">
        <v>16</v>
      </c>
      <c r="I13" s="72" t="e">
        <f ca="1">TEXT((#REF!)/1000,"# ##0"&amp;GetSeparator()&amp;"000")</f>
        <v>#REF!</v>
      </c>
      <c r="J13" s="72"/>
      <c r="K13" s="6" t="s">
        <v>13</v>
      </c>
    </row>
    <row r="14" spans="1:11" x14ac:dyDescent="0.15">
      <c r="A14" s="71" t="s">
        <v>17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</row>
    <row r="15" spans="1:11" ht="4.7" customHeight="1" x14ac:dyDescent="0.15"/>
    <row r="16" spans="1:11" ht="33" customHeight="1" x14ac:dyDescent="0.15">
      <c r="A16" s="64" t="s">
        <v>18</v>
      </c>
      <c r="B16" s="64" t="s">
        <v>19</v>
      </c>
      <c r="C16" s="64" t="s">
        <v>20</v>
      </c>
      <c r="D16" s="7" t="s">
        <v>21</v>
      </c>
      <c r="E16" s="66" t="s">
        <v>22</v>
      </c>
      <c r="F16" s="67"/>
      <c r="G16" s="66" t="s">
        <v>23</v>
      </c>
      <c r="H16" s="67"/>
      <c r="I16" s="66" t="s">
        <v>24</v>
      </c>
      <c r="J16" s="67"/>
      <c r="K16" s="64" t="s">
        <v>25</v>
      </c>
    </row>
    <row r="17" spans="1:13" ht="33" customHeight="1" x14ac:dyDescent="0.15">
      <c r="A17" s="65"/>
      <c r="B17" s="65"/>
      <c r="C17" s="65"/>
      <c r="D17" s="7" t="s">
        <v>26</v>
      </c>
      <c r="E17" s="7" t="s">
        <v>27</v>
      </c>
      <c r="F17" s="7" t="s">
        <v>28</v>
      </c>
      <c r="G17" s="7" t="s">
        <v>27</v>
      </c>
      <c r="H17" s="7" t="s">
        <v>29</v>
      </c>
      <c r="I17" s="7" t="s">
        <v>27</v>
      </c>
      <c r="J17" s="7" t="s">
        <v>29</v>
      </c>
      <c r="K17" s="65"/>
    </row>
    <row r="18" spans="1:13" x14ac:dyDescent="0.15">
      <c r="A18" s="8">
        <v>1</v>
      </c>
      <c r="B18" s="8">
        <v>2</v>
      </c>
      <c r="C18" s="8">
        <v>3</v>
      </c>
      <c r="D18" s="8">
        <v>4</v>
      </c>
      <c r="E18" s="8">
        <v>5</v>
      </c>
      <c r="F18" s="8">
        <v>6</v>
      </c>
      <c r="G18" s="8">
        <v>7</v>
      </c>
      <c r="H18" s="8">
        <v>8</v>
      </c>
      <c r="I18" s="8">
        <v>9</v>
      </c>
      <c r="J18" s="8">
        <v>10</v>
      </c>
      <c r="K18" s="8">
        <v>11</v>
      </c>
    </row>
    <row r="19" spans="1:13" ht="21" x14ac:dyDescent="0.15">
      <c r="A19" s="9" t="s">
        <v>30</v>
      </c>
      <c r="B19" s="9" t="s">
        <v>31</v>
      </c>
      <c r="C19" s="9" t="s">
        <v>32</v>
      </c>
      <c r="D19" s="10" t="s">
        <v>33</v>
      </c>
      <c r="F19" s="11"/>
      <c r="G19" s="56"/>
      <c r="H19" s="12"/>
      <c r="I19" s="56"/>
      <c r="J19" s="12"/>
      <c r="K19" s="13"/>
      <c r="L19" s="1" t="s">
        <v>34</v>
      </c>
    </row>
    <row r="20" spans="1:13" hidden="1" x14ac:dyDescent="0.15">
      <c r="A20" s="14" t="s">
        <v>35</v>
      </c>
      <c r="B20" s="14" t="s">
        <v>36</v>
      </c>
      <c r="C20" s="14" t="s">
        <v>37</v>
      </c>
      <c r="D20" s="15" t="s">
        <v>38</v>
      </c>
      <c r="G20" s="16"/>
      <c r="H20" s="17"/>
      <c r="I20" s="16"/>
      <c r="J20" s="17"/>
      <c r="K20" s="18"/>
      <c r="M20" s="1" t="s">
        <v>39</v>
      </c>
    </row>
    <row r="21" spans="1:13" hidden="1" x14ac:dyDescent="0.15">
      <c r="C21" s="19" t="s">
        <v>40</v>
      </c>
    </row>
    <row r="22" spans="1:13" hidden="1" x14ac:dyDescent="0.15">
      <c r="C22" s="19" t="s">
        <v>41</v>
      </c>
    </row>
    <row r="23" spans="1:13" hidden="1" x14ac:dyDescent="0.15">
      <c r="C23" s="19" t="s">
        <v>42</v>
      </c>
    </row>
    <row r="24" spans="1:13" hidden="1" x14ac:dyDescent="0.15">
      <c r="C24" s="19" t="s">
        <v>43</v>
      </c>
    </row>
    <row r="25" spans="1:13" ht="21" hidden="1" x14ac:dyDescent="0.15">
      <c r="C25" s="19" t="s">
        <v>44</v>
      </c>
    </row>
    <row r="26" spans="1:13" ht="21" hidden="1" x14ac:dyDescent="0.15">
      <c r="C26" s="19" t="s">
        <v>45</v>
      </c>
      <c r="G26" s="20"/>
      <c r="I26" s="20"/>
      <c r="L26" s="1" t="s">
        <v>46</v>
      </c>
    </row>
    <row r="27" spans="1:13" hidden="1" x14ac:dyDescent="0.15">
      <c r="C27" s="19" t="s">
        <v>47</v>
      </c>
    </row>
    <row r="28" spans="1:13" ht="21" hidden="1" x14ac:dyDescent="0.15">
      <c r="C28" s="19" t="s">
        <v>48</v>
      </c>
    </row>
    <row r="29" spans="1:13" ht="21" hidden="1" x14ac:dyDescent="0.15">
      <c r="C29" s="19" t="s">
        <v>49</v>
      </c>
    </row>
    <row r="30" spans="1:13" hidden="1" x14ac:dyDescent="0.15">
      <c r="C30" s="19" t="s">
        <v>50</v>
      </c>
      <c r="H30" s="21"/>
      <c r="J30" s="21"/>
      <c r="M30" s="14" t="s">
        <v>51</v>
      </c>
    </row>
    <row r="31" spans="1:13" hidden="1" x14ac:dyDescent="0.15">
      <c r="C31" s="19" t="s">
        <v>52</v>
      </c>
      <c r="H31" s="21"/>
      <c r="J31" s="21"/>
      <c r="M31" s="14" t="s">
        <v>53</v>
      </c>
    </row>
    <row r="32" spans="1:13" hidden="1" x14ac:dyDescent="0.15">
      <c r="C32" s="19" t="s">
        <v>54</v>
      </c>
      <c r="H32" s="21"/>
      <c r="J32" s="21"/>
      <c r="M32" s="14" t="s">
        <v>55</v>
      </c>
    </row>
    <row r="33" spans="1:13" ht="21" hidden="1" x14ac:dyDescent="0.15">
      <c r="C33" s="19" t="s">
        <v>56</v>
      </c>
      <c r="H33" s="21"/>
      <c r="J33" s="21"/>
      <c r="M33" s="14" t="s">
        <v>57</v>
      </c>
    </row>
    <row r="34" spans="1:13" hidden="1" x14ac:dyDescent="0.15">
      <c r="C34" s="19" t="s">
        <v>58</v>
      </c>
      <c r="H34" s="21"/>
      <c r="J34" s="21"/>
      <c r="M34" s="14" t="s">
        <v>59</v>
      </c>
    </row>
    <row r="35" spans="1:13" hidden="1" x14ac:dyDescent="0.15">
      <c r="C35" s="19" t="s">
        <v>60</v>
      </c>
      <c r="H35" s="21"/>
      <c r="J35" s="21"/>
      <c r="M35" s="14" t="s">
        <v>61</v>
      </c>
    </row>
    <row r="36" spans="1:13" x14ac:dyDescent="0.15">
      <c r="C36" s="19" t="s">
        <v>50</v>
      </c>
      <c r="H36" s="21"/>
      <c r="J36" s="21"/>
      <c r="M36" s="14" t="s">
        <v>51</v>
      </c>
    </row>
    <row r="37" spans="1:13" hidden="1" x14ac:dyDescent="0.15">
      <c r="C37" s="19" t="s">
        <v>52</v>
      </c>
      <c r="H37" s="21"/>
      <c r="J37" s="21"/>
      <c r="M37" s="14" t="s">
        <v>53</v>
      </c>
    </row>
    <row r="38" spans="1:13" hidden="1" x14ac:dyDescent="0.15">
      <c r="C38" s="19" t="s">
        <v>54</v>
      </c>
      <c r="H38" s="21"/>
      <c r="J38" s="21"/>
      <c r="M38" s="14" t="s">
        <v>55</v>
      </c>
    </row>
    <row r="39" spans="1:13" x14ac:dyDescent="0.15">
      <c r="C39" s="19" t="s">
        <v>575</v>
      </c>
      <c r="H39" s="57"/>
      <c r="I39" s="53"/>
      <c r="J39" s="57"/>
      <c r="M39" s="14" t="s">
        <v>57</v>
      </c>
    </row>
    <row r="40" spans="1:13" ht="21" x14ac:dyDescent="0.15">
      <c r="A40" s="22" t="s">
        <v>62</v>
      </c>
      <c r="B40" s="22" t="s">
        <v>63</v>
      </c>
      <c r="C40" s="22" t="s">
        <v>64</v>
      </c>
      <c r="D40" s="23" t="s">
        <v>33</v>
      </c>
      <c r="E40" s="24"/>
      <c r="F40" s="25"/>
      <c r="G40" s="54"/>
      <c r="H40" s="27"/>
      <c r="I40" s="54"/>
      <c r="J40" s="27"/>
      <c r="K40" s="28"/>
      <c r="L40" s="1" t="s">
        <v>34</v>
      </c>
    </row>
    <row r="41" spans="1:13" hidden="1" x14ac:dyDescent="0.15">
      <c r="A41" s="14" t="s">
        <v>65</v>
      </c>
      <c r="B41" s="14" t="s">
        <v>36</v>
      </c>
      <c r="C41" s="14" t="s">
        <v>37</v>
      </c>
      <c r="D41" s="15" t="s">
        <v>38</v>
      </c>
      <c r="G41" s="16"/>
      <c r="H41" s="17"/>
      <c r="I41" s="16"/>
      <c r="J41" s="17"/>
      <c r="K41" s="18"/>
      <c r="M41" s="1" t="s">
        <v>39</v>
      </c>
    </row>
    <row r="42" spans="1:13" hidden="1" x14ac:dyDescent="0.15">
      <c r="C42" s="19" t="s">
        <v>40</v>
      </c>
    </row>
    <row r="43" spans="1:13" hidden="1" x14ac:dyDescent="0.15">
      <c r="C43" s="19" t="s">
        <v>41</v>
      </c>
    </row>
    <row r="44" spans="1:13" hidden="1" x14ac:dyDescent="0.15">
      <c r="C44" s="19" t="s">
        <v>42</v>
      </c>
    </row>
    <row r="45" spans="1:13" hidden="1" x14ac:dyDescent="0.15">
      <c r="C45" s="19" t="s">
        <v>43</v>
      </c>
    </row>
    <row r="46" spans="1:13" ht="21" hidden="1" x14ac:dyDescent="0.15">
      <c r="C46" s="19" t="s">
        <v>44</v>
      </c>
    </row>
    <row r="47" spans="1:13" ht="21" hidden="1" x14ac:dyDescent="0.15">
      <c r="C47" s="19" t="s">
        <v>45</v>
      </c>
      <c r="G47" s="20"/>
      <c r="I47" s="20"/>
      <c r="L47" s="1" t="s">
        <v>46</v>
      </c>
    </row>
    <row r="48" spans="1:13" hidden="1" x14ac:dyDescent="0.15">
      <c r="C48" s="19" t="s">
        <v>47</v>
      </c>
    </row>
    <row r="49" spans="1:13" ht="21" hidden="1" x14ac:dyDescent="0.15">
      <c r="C49" s="19" t="s">
        <v>48</v>
      </c>
    </row>
    <row r="50" spans="1:13" ht="21" hidden="1" x14ac:dyDescent="0.15">
      <c r="C50" s="19" t="s">
        <v>49</v>
      </c>
    </row>
    <row r="51" spans="1:13" hidden="1" x14ac:dyDescent="0.15">
      <c r="C51" s="19" t="s">
        <v>50</v>
      </c>
      <c r="H51" s="21"/>
      <c r="J51" s="21"/>
      <c r="M51" s="14" t="s">
        <v>51</v>
      </c>
    </row>
    <row r="52" spans="1:13" hidden="1" x14ac:dyDescent="0.15">
      <c r="C52" s="19" t="s">
        <v>52</v>
      </c>
      <c r="H52" s="21"/>
      <c r="J52" s="21"/>
      <c r="M52" s="14" t="s">
        <v>53</v>
      </c>
    </row>
    <row r="53" spans="1:13" hidden="1" x14ac:dyDescent="0.15">
      <c r="C53" s="19" t="s">
        <v>54</v>
      </c>
      <c r="H53" s="21"/>
      <c r="J53" s="21"/>
      <c r="M53" s="14" t="s">
        <v>55</v>
      </c>
    </row>
    <row r="54" spans="1:13" ht="21" hidden="1" x14ac:dyDescent="0.15">
      <c r="C54" s="19" t="s">
        <v>56</v>
      </c>
      <c r="H54" s="21"/>
      <c r="J54" s="21"/>
      <c r="M54" s="14" t="s">
        <v>57</v>
      </c>
    </row>
    <row r="55" spans="1:13" hidden="1" x14ac:dyDescent="0.15">
      <c r="C55" s="19" t="s">
        <v>58</v>
      </c>
      <c r="H55" s="21"/>
      <c r="J55" s="21"/>
      <c r="M55" s="14" t="s">
        <v>59</v>
      </c>
    </row>
    <row r="56" spans="1:13" hidden="1" x14ac:dyDescent="0.15">
      <c r="C56" s="19" t="s">
        <v>60</v>
      </c>
      <c r="H56" s="21"/>
      <c r="J56" s="21"/>
      <c r="M56" s="14" t="s">
        <v>61</v>
      </c>
    </row>
    <row r="57" spans="1:13" x14ac:dyDescent="0.15">
      <c r="C57" s="19" t="s">
        <v>50</v>
      </c>
      <c r="H57" s="21"/>
      <c r="J57" s="21"/>
      <c r="M57" s="14" t="s">
        <v>51</v>
      </c>
    </row>
    <row r="58" spans="1:13" hidden="1" x14ac:dyDescent="0.15">
      <c r="C58" s="19" t="s">
        <v>52</v>
      </c>
      <c r="H58" s="21"/>
      <c r="J58" s="21"/>
      <c r="M58" s="14" t="s">
        <v>53</v>
      </c>
    </row>
    <row r="59" spans="1:13" hidden="1" x14ac:dyDescent="0.15">
      <c r="C59" s="19" t="s">
        <v>54</v>
      </c>
      <c r="H59" s="21"/>
      <c r="J59" s="21"/>
      <c r="M59" s="14" t="s">
        <v>55</v>
      </c>
    </row>
    <row r="60" spans="1:13" x14ac:dyDescent="0.15">
      <c r="C60" s="19" t="s">
        <v>575</v>
      </c>
      <c r="H60" s="57"/>
      <c r="I60" s="53"/>
      <c r="J60" s="57"/>
      <c r="M60" s="14" t="s">
        <v>57</v>
      </c>
    </row>
    <row r="61" spans="1:13" ht="21" x14ac:dyDescent="0.15">
      <c r="A61" s="22" t="s">
        <v>66</v>
      </c>
      <c r="B61" s="22" t="s">
        <v>67</v>
      </c>
      <c r="C61" s="22" t="s">
        <v>68</v>
      </c>
      <c r="D61" s="23" t="s">
        <v>33</v>
      </c>
      <c r="E61" s="24"/>
      <c r="F61" s="25"/>
      <c r="G61" s="54"/>
      <c r="H61" s="27"/>
      <c r="I61" s="54"/>
      <c r="J61" s="27"/>
      <c r="K61" s="28"/>
      <c r="L61" s="1" t="s">
        <v>34</v>
      </c>
    </row>
    <row r="62" spans="1:13" hidden="1" x14ac:dyDescent="0.15">
      <c r="A62" s="14" t="s">
        <v>69</v>
      </c>
      <c r="B62" s="14" t="s">
        <v>36</v>
      </c>
      <c r="C62" s="14" t="s">
        <v>37</v>
      </c>
      <c r="D62" s="15" t="s">
        <v>38</v>
      </c>
      <c r="G62" s="16"/>
      <c r="H62" s="17"/>
      <c r="I62" s="16"/>
      <c r="J62" s="17"/>
      <c r="K62" s="18"/>
      <c r="M62" s="1" t="s">
        <v>39</v>
      </c>
    </row>
    <row r="63" spans="1:13" hidden="1" x14ac:dyDescent="0.15">
      <c r="C63" s="19" t="s">
        <v>40</v>
      </c>
    </row>
    <row r="64" spans="1:13" hidden="1" x14ac:dyDescent="0.15">
      <c r="C64" s="19" t="s">
        <v>41</v>
      </c>
    </row>
    <row r="65" spans="3:13" hidden="1" x14ac:dyDescent="0.15">
      <c r="C65" s="19" t="s">
        <v>42</v>
      </c>
    </row>
    <row r="66" spans="3:13" hidden="1" x14ac:dyDescent="0.15">
      <c r="C66" s="19" t="s">
        <v>43</v>
      </c>
    </row>
    <row r="67" spans="3:13" ht="21" hidden="1" x14ac:dyDescent="0.15">
      <c r="C67" s="19" t="s">
        <v>44</v>
      </c>
    </row>
    <row r="68" spans="3:13" ht="21" hidden="1" x14ac:dyDescent="0.15">
      <c r="C68" s="19" t="s">
        <v>45</v>
      </c>
      <c r="G68" s="20"/>
      <c r="I68" s="20"/>
      <c r="L68" s="1" t="s">
        <v>46</v>
      </c>
    </row>
    <row r="69" spans="3:13" hidden="1" x14ac:dyDescent="0.15">
      <c r="C69" s="19" t="s">
        <v>47</v>
      </c>
    </row>
    <row r="70" spans="3:13" ht="21" hidden="1" x14ac:dyDescent="0.15">
      <c r="C70" s="19" t="s">
        <v>48</v>
      </c>
    </row>
    <row r="71" spans="3:13" ht="21" hidden="1" x14ac:dyDescent="0.15">
      <c r="C71" s="19" t="s">
        <v>49</v>
      </c>
    </row>
    <row r="72" spans="3:13" hidden="1" x14ac:dyDescent="0.15">
      <c r="C72" s="19" t="s">
        <v>50</v>
      </c>
      <c r="H72" s="21"/>
      <c r="J72" s="21"/>
      <c r="M72" s="14" t="s">
        <v>51</v>
      </c>
    </row>
    <row r="73" spans="3:13" hidden="1" x14ac:dyDescent="0.15">
      <c r="C73" s="19" t="s">
        <v>52</v>
      </c>
      <c r="H73" s="21"/>
      <c r="J73" s="21"/>
      <c r="M73" s="14" t="s">
        <v>53</v>
      </c>
    </row>
    <row r="74" spans="3:13" hidden="1" x14ac:dyDescent="0.15">
      <c r="C74" s="19" t="s">
        <v>54</v>
      </c>
      <c r="H74" s="21"/>
      <c r="J74" s="21"/>
      <c r="M74" s="14" t="s">
        <v>55</v>
      </c>
    </row>
    <row r="75" spans="3:13" ht="21" hidden="1" x14ac:dyDescent="0.15">
      <c r="C75" s="19" t="s">
        <v>56</v>
      </c>
      <c r="H75" s="21"/>
      <c r="J75" s="21"/>
      <c r="M75" s="14" t="s">
        <v>57</v>
      </c>
    </row>
    <row r="76" spans="3:13" hidden="1" x14ac:dyDescent="0.15">
      <c r="C76" s="19" t="s">
        <v>58</v>
      </c>
      <c r="H76" s="21"/>
      <c r="J76" s="21"/>
      <c r="M76" s="14" t="s">
        <v>59</v>
      </c>
    </row>
    <row r="77" spans="3:13" hidden="1" x14ac:dyDescent="0.15">
      <c r="C77" s="19" t="s">
        <v>60</v>
      </c>
      <c r="H77" s="21"/>
      <c r="J77" s="21"/>
      <c r="M77" s="14" t="s">
        <v>61</v>
      </c>
    </row>
    <row r="78" spans="3:13" x14ac:dyDescent="0.15">
      <c r="C78" s="19" t="s">
        <v>50</v>
      </c>
      <c r="H78" s="21"/>
      <c r="J78" s="21"/>
      <c r="M78" s="14" t="s">
        <v>51</v>
      </c>
    </row>
    <row r="79" spans="3:13" hidden="1" x14ac:dyDescent="0.15">
      <c r="C79" s="19" t="s">
        <v>52</v>
      </c>
      <c r="H79" s="21"/>
      <c r="J79" s="21"/>
      <c r="M79" s="14" t="s">
        <v>53</v>
      </c>
    </row>
    <row r="80" spans="3:13" hidden="1" x14ac:dyDescent="0.15">
      <c r="C80" s="19" t="s">
        <v>54</v>
      </c>
      <c r="H80" s="21"/>
      <c r="J80" s="21"/>
      <c r="M80" s="14" t="s">
        <v>55</v>
      </c>
    </row>
    <row r="81" spans="1:13" x14ac:dyDescent="0.15">
      <c r="C81" s="19" t="s">
        <v>575</v>
      </c>
      <c r="H81" s="57"/>
      <c r="I81" s="53"/>
      <c r="J81" s="57"/>
      <c r="M81" s="14" t="s">
        <v>57</v>
      </c>
    </row>
    <row r="82" spans="1:13" ht="21" x14ac:dyDescent="0.15">
      <c r="A82" s="22" t="s">
        <v>70</v>
      </c>
      <c r="B82" s="22" t="s">
        <v>71</v>
      </c>
      <c r="C82" s="22" t="s">
        <v>72</v>
      </c>
      <c r="D82" s="23" t="s">
        <v>33</v>
      </c>
      <c r="E82" s="24"/>
      <c r="F82" s="25"/>
      <c r="G82" s="54"/>
      <c r="H82" s="27"/>
      <c r="I82" s="54"/>
      <c r="J82" s="27"/>
      <c r="K82" s="28"/>
      <c r="L82" s="1" t="s">
        <v>34</v>
      </c>
    </row>
    <row r="83" spans="1:13" hidden="1" x14ac:dyDescent="0.15">
      <c r="A83" s="14" t="s">
        <v>73</v>
      </c>
      <c r="B83" s="14" t="s">
        <v>36</v>
      </c>
      <c r="C83" s="14" t="s">
        <v>37</v>
      </c>
      <c r="D83" s="15" t="s">
        <v>38</v>
      </c>
      <c r="G83" s="16"/>
      <c r="H83" s="17"/>
      <c r="I83" s="16"/>
      <c r="J83" s="17"/>
      <c r="K83" s="18"/>
      <c r="M83" s="1" t="s">
        <v>39</v>
      </c>
    </row>
    <row r="84" spans="1:13" hidden="1" x14ac:dyDescent="0.15">
      <c r="C84" s="19" t="s">
        <v>40</v>
      </c>
    </row>
    <row r="85" spans="1:13" hidden="1" x14ac:dyDescent="0.15">
      <c r="C85" s="19" t="s">
        <v>41</v>
      </c>
    </row>
    <row r="86" spans="1:13" hidden="1" x14ac:dyDescent="0.15">
      <c r="C86" s="19" t="s">
        <v>42</v>
      </c>
    </row>
    <row r="87" spans="1:13" hidden="1" x14ac:dyDescent="0.15">
      <c r="C87" s="19" t="s">
        <v>43</v>
      </c>
    </row>
    <row r="88" spans="1:13" ht="21" hidden="1" x14ac:dyDescent="0.15">
      <c r="C88" s="19" t="s">
        <v>44</v>
      </c>
    </row>
    <row r="89" spans="1:13" ht="21" hidden="1" x14ac:dyDescent="0.15">
      <c r="C89" s="19" t="s">
        <v>45</v>
      </c>
      <c r="G89" s="20"/>
      <c r="I89" s="20"/>
      <c r="L89" s="1" t="s">
        <v>46</v>
      </c>
    </row>
    <row r="90" spans="1:13" hidden="1" x14ac:dyDescent="0.15">
      <c r="C90" s="19" t="s">
        <v>47</v>
      </c>
    </row>
    <row r="91" spans="1:13" ht="21" hidden="1" x14ac:dyDescent="0.15">
      <c r="C91" s="19" t="s">
        <v>48</v>
      </c>
    </row>
    <row r="92" spans="1:13" ht="21" hidden="1" x14ac:dyDescent="0.15">
      <c r="C92" s="19" t="s">
        <v>49</v>
      </c>
    </row>
    <row r="93" spans="1:13" hidden="1" x14ac:dyDescent="0.15">
      <c r="C93" s="19" t="s">
        <v>50</v>
      </c>
      <c r="H93" s="21"/>
      <c r="J93" s="21"/>
      <c r="M93" s="14" t="s">
        <v>51</v>
      </c>
    </row>
    <row r="94" spans="1:13" hidden="1" x14ac:dyDescent="0.15">
      <c r="C94" s="19" t="s">
        <v>52</v>
      </c>
      <c r="H94" s="21"/>
      <c r="J94" s="21"/>
      <c r="M94" s="14" t="s">
        <v>53</v>
      </c>
    </row>
    <row r="95" spans="1:13" hidden="1" x14ac:dyDescent="0.15">
      <c r="C95" s="19" t="s">
        <v>54</v>
      </c>
      <c r="H95" s="21"/>
      <c r="J95" s="21"/>
      <c r="M95" s="14" t="s">
        <v>55</v>
      </c>
    </row>
    <row r="96" spans="1:13" ht="21" hidden="1" x14ac:dyDescent="0.15">
      <c r="C96" s="19" t="s">
        <v>56</v>
      </c>
      <c r="H96" s="21"/>
      <c r="J96" s="21"/>
      <c r="M96" s="14" t="s">
        <v>57</v>
      </c>
    </row>
    <row r="97" spans="1:13" hidden="1" x14ac:dyDescent="0.15">
      <c r="C97" s="19" t="s">
        <v>58</v>
      </c>
      <c r="H97" s="21"/>
      <c r="J97" s="21"/>
      <c r="M97" s="14" t="s">
        <v>59</v>
      </c>
    </row>
    <row r="98" spans="1:13" hidden="1" x14ac:dyDescent="0.15">
      <c r="C98" s="19" t="s">
        <v>60</v>
      </c>
      <c r="H98" s="21"/>
      <c r="J98" s="21"/>
      <c r="M98" s="14" t="s">
        <v>61</v>
      </c>
    </row>
    <row r="99" spans="1:13" x14ac:dyDescent="0.15">
      <c r="C99" s="19" t="s">
        <v>50</v>
      </c>
      <c r="H99" s="21"/>
      <c r="J99" s="21"/>
      <c r="M99" s="14" t="s">
        <v>51</v>
      </c>
    </row>
    <row r="100" spans="1:13" hidden="1" x14ac:dyDescent="0.15">
      <c r="C100" s="19" t="s">
        <v>52</v>
      </c>
      <c r="H100" s="21"/>
      <c r="J100" s="21"/>
      <c r="M100" s="14" t="s">
        <v>53</v>
      </c>
    </row>
    <row r="101" spans="1:13" hidden="1" x14ac:dyDescent="0.15">
      <c r="C101" s="19" t="s">
        <v>54</v>
      </c>
      <c r="H101" s="21"/>
      <c r="J101" s="21"/>
      <c r="M101" s="14" t="s">
        <v>55</v>
      </c>
    </row>
    <row r="102" spans="1:13" x14ac:dyDescent="0.15">
      <c r="C102" s="19" t="s">
        <v>575</v>
      </c>
      <c r="H102" s="57"/>
      <c r="I102" s="53"/>
      <c r="J102" s="57"/>
      <c r="M102" s="14" t="s">
        <v>57</v>
      </c>
    </row>
    <row r="103" spans="1:13" ht="21" x14ac:dyDescent="0.15">
      <c r="A103" s="22" t="s">
        <v>74</v>
      </c>
      <c r="B103" s="22" t="s">
        <v>67</v>
      </c>
      <c r="C103" s="22" t="s">
        <v>75</v>
      </c>
      <c r="D103" s="23" t="s">
        <v>33</v>
      </c>
      <c r="E103" s="24"/>
      <c r="F103" s="25"/>
      <c r="G103" s="54"/>
      <c r="H103" s="27"/>
      <c r="I103" s="54"/>
      <c r="J103" s="27"/>
      <c r="K103" s="28"/>
      <c r="L103" s="1" t="s">
        <v>34</v>
      </c>
    </row>
    <row r="104" spans="1:13" hidden="1" x14ac:dyDescent="0.15">
      <c r="A104" s="14" t="s">
        <v>76</v>
      </c>
      <c r="B104" s="14" t="s">
        <v>36</v>
      </c>
      <c r="C104" s="14" t="s">
        <v>37</v>
      </c>
      <c r="D104" s="15" t="s">
        <v>38</v>
      </c>
      <c r="G104" s="16"/>
      <c r="H104" s="17"/>
      <c r="I104" s="16"/>
      <c r="J104" s="17"/>
      <c r="K104" s="18"/>
      <c r="M104" s="1" t="s">
        <v>39</v>
      </c>
    </row>
    <row r="105" spans="1:13" hidden="1" x14ac:dyDescent="0.15">
      <c r="C105" s="19" t="s">
        <v>40</v>
      </c>
    </row>
    <row r="106" spans="1:13" hidden="1" x14ac:dyDescent="0.15">
      <c r="C106" s="19" t="s">
        <v>41</v>
      </c>
    </row>
    <row r="107" spans="1:13" hidden="1" x14ac:dyDescent="0.15">
      <c r="C107" s="19" t="s">
        <v>42</v>
      </c>
    </row>
    <row r="108" spans="1:13" hidden="1" x14ac:dyDescent="0.15">
      <c r="C108" s="19" t="s">
        <v>43</v>
      </c>
    </row>
    <row r="109" spans="1:13" ht="21" hidden="1" x14ac:dyDescent="0.15">
      <c r="C109" s="19" t="s">
        <v>44</v>
      </c>
    </row>
    <row r="110" spans="1:13" ht="21" hidden="1" x14ac:dyDescent="0.15">
      <c r="C110" s="19" t="s">
        <v>45</v>
      </c>
      <c r="G110" s="20"/>
      <c r="I110" s="20"/>
      <c r="L110" s="1" t="s">
        <v>46</v>
      </c>
    </row>
    <row r="111" spans="1:13" hidden="1" x14ac:dyDescent="0.15">
      <c r="C111" s="19" t="s">
        <v>47</v>
      </c>
    </row>
    <row r="112" spans="1:13" ht="21" hidden="1" x14ac:dyDescent="0.15">
      <c r="C112" s="19" t="s">
        <v>48</v>
      </c>
    </row>
    <row r="113" spans="1:13" ht="21" hidden="1" x14ac:dyDescent="0.15">
      <c r="C113" s="19" t="s">
        <v>49</v>
      </c>
    </row>
    <row r="114" spans="1:13" hidden="1" x14ac:dyDescent="0.15">
      <c r="C114" s="19" t="s">
        <v>50</v>
      </c>
      <c r="H114" s="21"/>
      <c r="J114" s="21"/>
      <c r="M114" s="14" t="s">
        <v>51</v>
      </c>
    </row>
    <row r="115" spans="1:13" hidden="1" x14ac:dyDescent="0.15">
      <c r="C115" s="19" t="s">
        <v>52</v>
      </c>
      <c r="H115" s="21"/>
      <c r="J115" s="21"/>
      <c r="M115" s="14" t="s">
        <v>53</v>
      </c>
    </row>
    <row r="116" spans="1:13" hidden="1" x14ac:dyDescent="0.15">
      <c r="C116" s="19" t="s">
        <v>54</v>
      </c>
      <c r="H116" s="21"/>
      <c r="J116" s="21"/>
      <c r="M116" s="14" t="s">
        <v>55</v>
      </c>
    </row>
    <row r="117" spans="1:13" ht="21" hidden="1" x14ac:dyDescent="0.15">
      <c r="C117" s="19" t="s">
        <v>56</v>
      </c>
      <c r="H117" s="21"/>
      <c r="J117" s="21"/>
      <c r="M117" s="14" t="s">
        <v>57</v>
      </c>
    </row>
    <row r="118" spans="1:13" hidden="1" x14ac:dyDescent="0.15">
      <c r="C118" s="19" t="s">
        <v>58</v>
      </c>
      <c r="H118" s="21"/>
      <c r="J118" s="21"/>
      <c r="M118" s="14" t="s">
        <v>59</v>
      </c>
    </row>
    <row r="119" spans="1:13" hidden="1" x14ac:dyDescent="0.15">
      <c r="C119" s="19" t="s">
        <v>60</v>
      </c>
      <c r="H119" s="21"/>
      <c r="J119" s="21"/>
      <c r="M119" s="14" t="s">
        <v>61</v>
      </c>
    </row>
    <row r="120" spans="1:13" x14ac:dyDescent="0.15">
      <c r="C120" s="19" t="s">
        <v>50</v>
      </c>
      <c r="H120" s="21"/>
      <c r="J120" s="21"/>
      <c r="M120" s="14" t="s">
        <v>51</v>
      </c>
    </row>
    <row r="121" spans="1:13" hidden="1" x14ac:dyDescent="0.15">
      <c r="C121" s="19" t="s">
        <v>52</v>
      </c>
      <c r="H121" s="21"/>
      <c r="J121" s="21"/>
      <c r="M121" s="14" t="s">
        <v>53</v>
      </c>
    </row>
    <row r="122" spans="1:13" hidden="1" x14ac:dyDescent="0.15">
      <c r="C122" s="19" t="s">
        <v>54</v>
      </c>
      <c r="H122" s="21"/>
      <c r="J122" s="21"/>
      <c r="M122" s="14" t="s">
        <v>55</v>
      </c>
    </row>
    <row r="123" spans="1:13" x14ac:dyDescent="0.15">
      <c r="C123" s="19" t="s">
        <v>575</v>
      </c>
      <c r="H123" s="57"/>
      <c r="I123" s="53"/>
      <c r="J123" s="57"/>
      <c r="M123" s="14" t="s">
        <v>57</v>
      </c>
    </row>
    <row r="124" spans="1:13" ht="21" x14ac:dyDescent="0.15">
      <c r="A124" s="22" t="s">
        <v>77</v>
      </c>
      <c r="B124" s="22" t="s">
        <v>71</v>
      </c>
      <c r="C124" s="22" t="s">
        <v>78</v>
      </c>
      <c r="D124" s="23" t="s">
        <v>33</v>
      </c>
      <c r="E124" s="24"/>
      <c r="F124" s="25"/>
      <c r="G124" s="54"/>
      <c r="H124" s="27"/>
      <c r="I124" s="54"/>
      <c r="J124" s="27"/>
      <c r="K124" s="28"/>
      <c r="L124" s="1" t="s">
        <v>34</v>
      </c>
    </row>
    <row r="125" spans="1:13" hidden="1" x14ac:dyDescent="0.15">
      <c r="A125" s="14" t="s">
        <v>79</v>
      </c>
      <c r="B125" s="14" t="s">
        <v>36</v>
      </c>
      <c r="C125" s="14" t="s">
        <v>37</v>
      </c>
      <c r="D125" s="15" t="s">
        <v>38</v>
      </c>
      <c r="G125" s="16"/>
      <c r="H125" s="17"/>
      <c r="I125" s="16"/>
      <c r="J125" s="17"/>
      <c r="K125" s="18"/>
      <c r="M125" s="1" t="s">
        <v>39</v>
      </c>
    </row>
    <row r="126" spans="1:13" hidden="1" x14ac:dyDescent="0.15">
      <c r="C126" s="19" t="s">
        <v>40</v>
      </c>
    </row>
    <row r="127" spans="1:13" hidden="1" x14ac:dyDescent="0.15">
      <c r="C127" s="19" t="s">
        <v>41</v>
      </c>
    </row>
    <row r="128" spans="1:13" hidden="1" x14ac:dyDescent="0.15">
      <c r="C128" s="19" t="s">
        <v>42</v>
      </c>
    </row>
    <row r="129" spans="3:13" hidden="1" x14ac:dyDescent="0.15">
      <c r="C129" s="19" t="s">
        <v>43</v>
      </c>
    </row>
    <row r="130" spans="3:13" ht="21" hidden="1" x14ac:dyDescent="0.15">
      <c r="C130" s="19" t="s">
        <v>44</v>
      </c>
    </row>
    <row r="131" spans="3:13" ht="21" hidden="1" x14ac:dyDescent="0.15">
      <c r="C131" s="19" t="s">
        <v>45</v>
      </c>
      <c r="G131" s="20"/>
      <c r="I131" s="20"/>
      <c r="L131" s="1" t="s">
        <v>46</v>
      </c>
    </row>
    <row r="132" spans="3:13" hidden="1" x14ac:dyDescent="0.15">
      <c r="C132" s="19" t="s">
        <v>47</v>
      </c>
    </row>
    <row r="133" spans="3:13" ht="21" hidden="1" x14ac:dyDescent="0.15">
      <c r="C133" s="19" t="s">
        <v>48</v>
      </c>
    </row>
    <row r="134" spans="3:13" ht="21" hidden="1" x14ac:dyDescent="0.15">
      <c r="C134" s="19" t="s">
        <v>49</v>
      </c>
    </row>
    <row r="135" spans="3:13" hidden="1" x14ac:dyDescent="0.15">
      <c r="C135" s="19" t="s">
        <v>50</v>
      </c>
      <c r="H135" s="21"/>
      <c r="J135" s="21"/>
      <c r="M135" s="14" t="s">
        <v>51</v>
      </c>
    </row>
    <row r="136" spans="3:13" hidden="1" x14ac:dyDescent="0.15">
      <c r="C136" s="19" t="s">
        <v>52</v>
      </c>
      <c r="H136" s="21"/>
      <c r="J136" s="21"/>
      <c r="M136" s="14" t="s">
        <v>53</v>
      </c>
    </row>
    <row r="137" spans="3:13" hidden="1" x14ac:dyDescent="0.15">
      <c r="C137" s="19" t="s">
        <v>54</v>
      </c>
      <c r="H137" s="21"/>
      <c r="J137" s="21"/>
      <c r="M137" s="14" t="s">
        <v>55</v>
      </c>
    </row>
    <row r="138" spans="3:13" ht="21" hidden="1" x14ac:dyDescent="0.15">
      <c r="C138" s="19" t="s">
        <v>56</v>
      </c>
      <c r="H138" s="21"/>
      <c r="J138" s="21"/>
      <c r="M138" s="14" t="s">
        <v>57</v>
      </c>
    </row>
    <row r="139" spans="3:13" hidden="1" x14ac:dyDescent="0.15">
      <c r="C139" s="19" t="s">
        <v>58</v>
      </c>
      <c r="H139" s="21"/>
      <c r="J139" s="21"/>
      <c r="M139" s="14" t="s">
        <v>59</v>
      </c>
    </row>
    <row r="140" spans="3:13" hidden="1" x14ac:dyDescent="0.15">
      <c r="C140" s="19" t="s">
        <v>60</v>
      </c>
      <c r="H140" s="21"/>
      <c r="J140" s="21"/>
      <c r="M140" s="14" t="s">
        <v>61</v>
      </c>
    </row>
    <row r="141" spans="3:13" x14ac:dyDescent="0.15">
      <c r="C141" s="19" t="s">
        <v>50</v>
      </c>
      <c r="H141" s="21"/>
      <c r="J141" s="21"/>
      <c r="M141" s="14" t="s">
        <v>51</v>
      </c>
    </row>
    <row r="142" spans="3:13" hidden="1" x14ac:dyDescent="0.15">
      <c r="C142" s="19" t="s">
        <v>52</v>
      </c>
      <c r="H142" s="21"/>
      <c r="J142" s="21"/>
      <c r="M142" s="14" t="s">
        <v>53</v>
      </c>
    </row>
    <row r="143" spans="3:13" hidden="1" x14ac:dyDescent="0.15">
      <c r="C143" s="19" t="s">
        <v>54</v>
      </c>
      <c r="H143" s="21"/>
      <c r="J143" s="21"/>
      <c r="M143" s="14" t="s">
        <v>55</v>
      </c>
    </row>
    <row r="144" spans="3:13" x14ac:dyDescent="0.15">
      <c r="C144" s="19" t="s">
        <v>575</v>
      </c>
      <c r="H144" s="57"/>
      <c r="I144" s="53"/>
      <c r="J144" s="57"/>
      <c r="M144" s="14" t="s">
        <v>57</v>
      </c>
    </row>
    <row r="145" spans="1:13" ht="31.5" x14ac:dyDescent="0.15">
      <c r="A145" s="22" t="s">
        <v>80</v>
      </c>
      <c r="B145" s="22" t="s">
        <v>36</v>
      </c>
      <c r="C145" s="22" t="s">
        <v>81</v>
      </c>
      <c r="D145" s="23" t="s">
        <v>82</v>
      </c>
      <c r="E145" s="24"/>
      <c r="F145" s="25"/>
      <c r="G145" s="54"/>
      <c r="H145" s="27"/>
      <c r="I145" s="54"/>
      <c r="J145" s="27"/>
      <c r="K145" s="28"/>
      <c r="L145" s="1" t="s">
        <v>34</v>
      </c>
    </row>
    <row r="146" spans="1:13" hidden="1" x14ac:dyDescent="0.15">
      <c r="A146" s="14" t="s">
        <v>83</v>
      </c>
      <c r="B146" s="14" t="s">
        <v>36</v>
      </c>
      <c r="C146" s="14" t="s">
        <v>37</v>
      </c>
      <c r="D146" s="15" t="s">
        <v>38</v>
      </c>
      <c r="G146" s="16"/>
      <c r="H146" s="17"/>
      <c r="I146" s="16"/>
      <c r="J146" s="17"/>
      <c r="K146" s="18"/>
      <c r="M146" s="1" t="s">
        <v>39</v>
      </c>
    </row>
    <row r="147" spans="1:13" hidden="1" x14ac:dyDescent="0.15">
      <c r="C147" s="19" t="s">
        <v>40</v>
      </c>
    </row>
    <row r="148" spans="1:13" hidden="1" x14ac:dyDescent="0.15">
      <c r="C148" s="19" t="s">
        <v>41</v>
      </c>
    </row>
    <row r="149" spans="1:13" hidden="1" x14ac:dyDescent="0.15">
      <c r="C149" s="19" t="s">
        <v>42</v>
      </c>
    </row>
    <row r="150" spans="1:13" hidden="1" x14ac:dyDescent="0.15">
      <c r="C150" s="19" t="s">
        <v>43</v>
      </c>
    </row>
    <row r="151" spans="1:13" ht="21" hidden="1" x14ac:dyDescent="0.15">
      <c r="C151" s="19" t="s">
        <v>44</v>
      </c>
    </row>
    <row r="152" spans="1:13" ht="21" hidden="1" x14ac:dyDescent="0.15">
      <c r="C152" s="19" t="s">
        <v>45</v>
      </c>
      <c r="G152" s="20"/>
      <c r="I152" s="20"/>
      <c r="L152" s="1" t="s">
        <v>46</v>
      </c>
    </row>
    <row r="153" spans="1:13" hidden="1" x14ac:dyDescent="0.15">
      <c r="C153" s="19" t="s">
        <v>47</v>
      </c>
    </row>
    <row r="154" spans="1:13" ht="21" hidden="1" x14ac:dyDescent="0.15">
      <c r="C154" s="19" t="s">
        <v>48</v>
      </c>
    </row>
    <row r="155" spans="1:13" ht="21" hidden="1" x14ac:dyDescent="0.15">
      <c r="C155" s="19" t="s">
        <v>49</v>
      </c>
    </row>
    <row r="156" spans="1:13" x14ac:dyDescent="0.15">
      <c r="C156" s="19" t="s">
        <v>50</v>
      </c>
      <c r="H156" s="21"/>
      <c r="J156" s="21"/>
      <c r="M156" s="14" t="s">
        <v>51</v>
      </c>
    </row>
    <row r="157" spans="1:13" hidden="1" x14ac:dyDescent="0.15">
      <c r="C157" s="19" t="s">
        <v>52</v>
      </c>
      <c r="H157" s="21"/>
      <c r="J157" s="21"/>
      <c r="M157" s="14" t="s">
        <v>53</v>
      </c>
    </row>
    <row r="158" spans="1:13" hidden="1" x14ac:dyDescent="0.15">
      <c r="C158" s="19" t="s">
        <v>54</v>
      </c>
      <c r="H158" s="21"/>
      <c r="J158" s="21"/>
      <c r="M158" s="14" t="s">
        <v>55</v>
      </c>
    </row>
    <row r="159" spans="1:13" x14ac:dyDescent="0.15">
      <c r="C159" s="19" t="s">
        <v>575</v>
      </c>
      <c r="H159" s="21"/>
      <c r="J159" s="57"/>
      <c r="M159" s="14" t="s">
        <v>57</v>
      </c>
    </row>
    <row r="160" spans="1:13" ht="31.5" x14ac:dyDescent="0.15">
      <c r="A160" s="22" t="s">
        <v>84</v>
      </c>
      <c r="B160" s="22" t="s">
        <v>85</v>
      </c>
      <c r="C160" s="22" t="s">
        <v>86</v>
      </c>
      <c r="D160" s="23" t="s">
        <v>82</v>
      </c>
      <c r="E160" s="24"/>
      <c r="F160" s="25"/>
      <c r="G160" s="26"/>
      <c r="H160" s="27"/>
      <c r="I160" s="54"/>
      <c r="J160" s="55"/>
      <c r="K160" s="28"/>
      <c r="L160" s="1" t="s">
        <v>34</v>
      </c>
    </row>
    <row r="161" spans="1:13" hidden="1" x14ac:dyDescent="0.15">
      <c r="A161" s="14" t="s">
        <v>87</v>
      </c>
      <c r="B161" s="14" t="s">
        <v>36</v>
      </c>
      <c r="C161" s="14" t="s">
        <v>37</v>
      </c>
      <c r="D161" s="15" t="s">
        <v>38</v>
      </c>
      <c r="G161" s="16"/>
      <c r="H161" s="17"/>
      <c r="I161" s="16"/>
      <c r="J161" s="17"/>
      <c r="K161" s="18"/>
      <c r="M161" s="1" t="s">
        <v>39</v>
      </c>
    </row>
    <row r="162" spans="1:13" ht="21" hidden="1" x14ac:dyDescent="0.15">
      <c r="A162" s="14" t="s">
        <v>88</v>
      </c>
      <c r="B162" s="29" t="str">
        <f ca="1">ПОЛУЧШИФР(Ресурсы!A5,1)</f>
        <v>З000-1003-2</v>
      </c>
      <c r="C162" s="14" t="str">
        <f>Ресурсы!B5</f>
        <v>Рабочие-строители (средний разряд 3.2)(электромонтажник по факту)</v>
      </c>
      <c r="D162" s="15" t="s">
        <v>82</v>
      </c>
      <c r="G162" s="16"/>
      <c r="H162" s="17"/>
      <c r="I162" s="16"/>
      <c r="J162" s="17"/>
      <c r="K162" s="18"/>
      <c r="L162" s="1" t="s">
        <v>89</v>
      </c>
      <c r="M162" s="1" t="s">
        <v>90</v>
      </c>
    </row>
    <row r="163" spans="1:13" hidden="1" x14ac:dyDescent="0.15">
      <c r="C163" s="19" t="s">
        <v>40</v>
      </c>
    </row>
    <row r="164" spans="1:13" hidden="1" x14ac:dyDescent="0.15">
      <c r="C164" s="19" t="s">
        <v>41</v>
      </c>
    </row>
    <row r="165" spans="1:13" hidden="1" x14ac:dyDescent="0.15">
      <c r="C165" s="19" t="s">
        <v>42</v>
      </c>
    </row>
    <row r="166" spans="1:13" hidden="1" x14ac:dyDescent="0.15">
      <c r="C166" s="19" t="s">
        <v>43</v>
      </c>
    </row>
    <row r="167" spans="1:13" ht="21" hidden="1" x14ac:dyDescent="0.15">
      <c r="C167" s="19" t="s">
        <v>44</v>
      </c>
    </row>
    <row r="168" spans="1:13" ht="21" hidden="1" x14ac:dyDescent="0.15">
      <c r="C168" s="19" t="s">
        <v>45</v>
      </c>
      <c r="G168" s="20"/>
      <c r="I168" s="20"/>
      <c r="L168" s="1" t="s">
        <v>46</v>
      </c>
    </row>
    <row r="169" spans="1:13" hidden="1" x14ac:dyDescent="0.15">
      <c r="C169" s="19" t="s">
        <v>47</v>
      </c>
    </row>
    <row r="170" spans="1:13" ht="21" hidden="1" x14ac:dyDescent="0.15">
      <c r="C170" s="19" t="s">
        <v>48</v>
      </c>
    </row>
    <row r="171" spans="1:13" ht="21" hidden="1" x14ac:dyDescent="0.15">
      <c r="C171" s="19" t="s">
        <v>49</v>
      </c>
    </row>
    <row r="172" spans="1:13" x14ac:dyDescent="0.15">
      <c r="C172" s="19" t="s">
        <v>50</v>
      </c>
      <c r="H172" s="21"/>
      <c r="J172" s="21"/>
      <c r="M172" s="14" t="s">
        <v>51</v>
      </c>
    </row>
    <row r="173" spans="1:13" hidden="1" x14ac:dyDescent="0.15">
      <c r="C173" s="19" t="s">
        <v>52</v>
      </c>
      <c r="H173" s="21"/>
      <c r="J173" s="21"/>
      <c r="M173" s="14" t="s">
        <v>53</v>
      </c>
    </row>
    <row r="174" spans="1:13" hidden="1" x14ac:dyDescent="0.15">
      <c r="C174" s="19" t="s">
        <v>54</v>
      </c>
      <c r="H174" s="21"/>
      <c r="J174" s="21"/>
      <c r="M174" s="14" t="s">
        <v>55</v>
      </c>
    </row>
    <row r="175" spans="1:13" ht="13.5" customHeight="1" x14ac:dyDescent="0.15">
      <c r="C175" s="19" t="s">
        <v>575</v>
      </c>
      <c r="H175" s="21"/>
      <c r="J175" s="21"/>
      <c r="M175" s="14" t="s">
        <v>57</v>
      </c>
    </row>
    <row r="176" spans="1:13" ht="84" x14ac:dyDescent="0.15">
      <c r="A176" s="22" t="s">
        <v>91</v>
      </c>
      <c r="B176" s="22" t="s">
        <v>92</v>
      </c>
      <c r="C176" s="22" t="s">
        <v>93</v>
      </c>
      <c r="D176" s="23" t="s">
        <v>94</v>
      </c>
      <c r="E176" s="24"/>
      <c r="F176" s="25"/>
      <c r="G176" s="26"/>
      <c r="H176" s="27"/>
      <c r="I176" s="26"/>
      <c r="J176" s="27"/>
      <c r="K176" s="28"/>
      <c r="L176" s="1" t="s">
        <v>34</v>
      </c>
    </row>
    <row r="177" spans="1:15" x14ac:dyDescent="0.15">
      <c r="D177" s="9" t="s">
        <v>95</v>
      </c>
    </row>
    <row r="178" spans="1:15" x14ac:dyDescent="0.15">
      <c r="A178" s="14" t="s">
        <v>96</v>
      </c>
      <c r="B178" s="14" t="s">
        <v>36</v>
      </c>
      <c r="C178" s="14" t="s">
        <v>37</v>
      </c>
      <c r="D178" s="15" t="s">
        <v>82</v>
      </c>
      <c r="G178" s="16"/>
      <c r="H178" s="17"/>
      <c r="I178" s="16"/>
      <c r="J178" s="17"/>
      <c r="K178" s="18"/>
      <c r="M178" s="1" t="s">
        <v>39</v>
      </c>
    </row>
    <row r="179" spans="1:15" hidden="1" x14ac:dyDescent="0.15">
      <c r="A179" s="62" t="s">
        <v>97</v>
      </c>
      <c r="B179" s="63" t="str">
        <f ca="1">ПОЛУЧШИФР(Ресурсы!A30,1)</f>
        <v>Х02-1140</v>
      </c>
      <c r="C179" s="62" t="str">
        <f>Ресурсы!B30</f>
        <v>Краны на автомобильном ходу при работе на других видах строительства (кроме магистральных трубопроводов) 6,3 т (учтено, что кран работает с бригадой  6 человек все время монтажа и демонтажа= 370час/6=62час)</v>
      </c>
      <c r="D179" s="30" t="s">
        <v>94</v>
      </c>
      <c r="E179" s="61"/>
      <c r="F179" s="61"/>
      <c r="G179" s="31"/>
      <c r="H179" s="32"/>
      <c r="I179" s="31"/>
      <c r="J179" s="32"/>
      <c r="K179" s="33"/>
      <c r="L179" s="1" t="s">
        <v>89</v>
      </c>
      <c r="M179" s="1" t="s">
        <v>98</v>
      </c>
    </row>
    <row r="180" spans="1:15" ht="21" x14ac:dyDescent="0.15">
      <c r="A180" s="62"/>
      <c r="B180" s="63"/>
      <c r="C180" s="62"/>
      <c r="D180" s="1">
        <f>Ресурсы!G30</f>
        <v>1</v>
      </c>
      <c r="E180" s="61"/>
      <c r="F180" s="61"/>
      <c r="G180" s="16"/>
      <c r="H180" s="17"/>
      <c r="I180" s="16"/>
      <c r="J180" s="17"/>
      <c r="K180" s="18"/>
      <c r="N180" s="1" t="s">
        <v>99</v>
      </c>
      <c r="O180" s="1" t="s">
        <v>100</v>
      </c>
    </row>
    <row r="181" spans="1:15" hidden="1" x14ac:dyDescent="0.15">
      <c r="C181" s="19" t="s">
        <v>40</v>
      </c>
    </row>
    <row r="182" spans="1:15" hidden="1" x14ac:dyDescent="0.15">
      <c r="C182" s="19" t="s">
        <v>41</v>
      </c>
    </row>
    <row r="183" spans="1:15" hidden="1" x14ac:dyDescent="0.15">
      <c r="C183" s="19" t="s">
        <v>42</v>
      </c>
    </row>
    <row r="184" spans="1:15" hidden="1" x14ac:dyDescent="0.15">
      <c r="C184" s="19" t="s">
        <v>43</v>
      </c>
    </row>
    <row r="185" spans="1:15" ht="21" hidden="1" x14ac:dyDescent="0.15">
      <c r="C185" s="19" t="s">
        <v>44</v>
      </c>
    </row>
    <row r="186" spans="1:15" ht="21" hidden="1" x14ac:dyDescent="0.15">
      <c r="C186" s="19" t="s">
        <v>45</v>
      </c>
      <c r="G186" s="20"/>
      <c r="I186" s="20"/>
      <c r="L186" s="1" t="s">
        <v>46</v>
      </c>
    </row>
    <row r="187" spans="1:15" hidden="1" x14ac:dyDescent="0.15">
      <c r="C187" s="19" t="s">
        <v>47</v>
      </c>
    </row>
    <row r="188" spans="1:15" ht="21" hidden="1" x14ac:dyDescent="0.15">
      <c r="C188" s="19" t="s">
        <v>48</v>
      </c>
    </row>
    <row r="189" spans="1:15" ht="21" hidden="1" x14ac:dyDescent="0.15">
      <c r="C189" s="19" t="s">
        <v>49</v>
      </c>
    </row>
    <row r="190" spans="1:15" x14ac:dyDescent="0.15">
      <c r="C190" s="19" t="s">
        <v>50</v>
      </c>
      <c r="H190" s="21"/>
      <c r="J190" s="21"/>
      <c r="M190" s="14" t="s">
        <v>51</v>
      </c>
    </row>
    <row r="191" spans="1:15" hidden="1" x14ac:dyDescent="0.15">
      <c r="C191" s="19" t="s">
        <v>52</v>
      </c>
      <c r="H191" s="21"/>
      <c r="J191" s="21"/>
      <c r="M191" s="14" t="s">
        <v>53</v>
      </c>
    </row>
    <row r="192" spans="1:15" hidden="1" x14ac:dyDescent="0.15">
      <c r="C192" s="19" t="s">
        <v>54</v>
      </c>
      <c r="H192" s="21"/>
      <c r="J192" s="21"/>
      <c r="M192" s="14" t="s">
        <v>55</v>
      </c>
    </row>
    <row r="193" spans="1:15" ht="21" x14ac:dyDescent="0.15">
      <c r="C193" s="19" t="s">
        <v>56</v>
      </c>
      <c r="H193" s="21"/>
      <c r="J193" s="21"/>
      <c r="M193" s="14" t="s">
        <v>57</v>
      </c>
    </row>
    <row r="194" spans="1:15" hidden="1" x14ac:dyDescent="0.15">
      <c r="C194" s="19" t="s">
        <v>58</v>
      </c>
      <c r="H194" s="21"/>
      <c r="J194" s="21"/>
      <c r="M194" s="14" t="s">
        <v>59</v>
      </c>
    </row>
    <row r="195" spans="1:15" hidden="1" x14ac:dyDescent="0.15">
      <c r="C195" s="19" t="s">
        <v>60</v>
      </c>
      <c r="H195" s="21"/>
      <c r="J195" s="21"/>
      <c r="M195" s="14" t="s">
        <v>61</v>
      </c>
    </row>
    <row r="196" spans="1:15" x14ac:dyDescent="0.15">
      <c r="C196" s="19" t="s">
        <v>101</v>
      </c>
      <c r="H196" s="21"/>
    </row>
    <row r="197" spans="1:15" ht="31.5" x14ac:dyDescent="0.15">
      <c r="A197" s="22" t="s">
        <v>102</v>
      </c>
      <c r="B197" s="22" t="s">
        <v>103</v>
      </c>
      <c r="C197" s="22" t="s">
        <v>104</v>
      </c>
      <c r="D197" s="23" t="s">
        <v>105</v>
      </c>
      <c r="E197" s="24"/>
      <c r="F197" s="25"/>
      <c r="G197" s="26"/>
      <c r="H197" s="27"/>
      <c r="I197" s="26"/>
      <c r="J197" s="27"/>
      <c r="K197" s="28"/>
      <c r="L197" s="1" t="s">
        <v>34</v>
      </c>
    </row>
    <row r="198" spans="1:15" ht="21" x14ac:dyDescent="0.15">
      <c r="A198" s="14" t="s">
        <v>106</v>
      </c>
      <c r="B198" s="29" t="str">
        <f ca="1">ПОЛУЧШИФР(Ресурсы!A3,1)</f>
        <v>З000-1002-0Ф</v>
      </c>
      <c r="C198" s="14" t="str">
        <f>Ресурсы!B3</f>
        <v>Рабочие-строители (средний разряд 2.0)</v>
      </c>
      <c r="D198" s="15" t="s">
        <v>82</v>
      </c>
      <c r="G198" s="16"/>
      <c r="H198" s="17"/>
      <c r="I198" s="16"/>
      <c r="J198" s="17"/>
      <c r="K198" s="18"/>
      <c r="L198" s="1" t="s">
        <v>89</v>
      </c>
      <c r="M198" s="1" t="s">
        <v>90</v>
      </c>
    </row>
    <row r="199" spans="1:15" x14ac:dyDescent="0.15">
      <c r="A199" s="14" t="s">
        <v>107</v>
      </c>
      <c r="B199" s="14" t="s">
        <v>36</v>
      </c>
      <c r="C199" s="14" t="s">
        <v>37</v>
      </c>
      <c r="D199" s="15" t="s">
        <v>82</v>
      </c>
      <c r="G199" s="16"/>
      <c r="H199" s="17"/>
      <c r="I199" s="16"/>
      <c r="J199" s="17"/>
      <c r="K199" s="18"/>
      <c r="M199" s="1" t="s">
        <v>39</v>
      </c>
    </row>
    <row r="200" spans="1:15" x14ac:dyDescent="0.15">
      <c r="A200" s="62" t="s">
        <v>108</v>
      </c>
      <c r="B200" s="63" t="str">
        <f ca="1">ПОЛУЧШИФР(Ресурсы!A31,1)</f>
        <v>Х02-1140-Ф</v>
      </c>
      <c r="C200" s="62" t="str">
        <f>Ресурсы!B31</f>
        <v>Краны на автомобильном ходу при работе на других видах строительства (кроме магистральных трубопроводов) 6,3 т</v>
      </c>
      <c r="D200" s="30" t="s">
        <v>94</v>
      </c>
      <c r="E200" s="61"/>
      <c r="F200" s="61"/>
      <c r="G200" s="31"/>
      <c r="H200" s="32"/>
      <c r="I200" s="31"/>
      <c r="J200" s="32"/>
      <c r="K200" s="33"/>
      <c r="L200" s="1" t="s">
        <v>89</v>
      </c>
      <c r="M200" s="1" t="s">
        <v>98</v>
      </c>
    </row>
    <row r="201" spans="1:15" ht="21" x14ac:dyDescent="0.15">
      <c r="A201" s="62"/>
      <c r="B201" s="63"/>
      <c r="C201" s="62"/>
      <c r="D201" s="1">
        <f>Ресурсы!G31</f>
        <v>1</v>
      </c>
      <c r="E201" s="61"/>
      <c r="F201" s="61"/>
      <c r="G201" s="16"/>
      <c r="H201" s="17"/>
      <c r="I201" s="16"/>
      <c r="J201" s="17"/>
      <c r="K201" s="18"/>
      <c r="N201" s="1" t="s">
        <v>99</v>
      </c>
      <c r="O201" s="1" t="s">
        <v>100</v>
      </c>
    </row>
    <row r="202" spans="1:15" hidden="1" x14ac:dyDescent="0.15">
      <c r="C202" s="19" t="s">
        <v>40</v>
      </c>
    </row>
    <row r="203" spans="1:15" hidden="1" x14ac:dyDescent="0.15">
      <c r="C203" s="19" t="s">
        <v>41</v>
      </c>
    </row>
    <row r="204" spans="1:15" hidden="1" x14ac:dyDescent="0.15">
      <c r="C204" s="19" t="s">
        <v>42</v>
      </c>
    </row>
    <row r="205" spans="1:15" hidden="1" x14ac:dyDescent="0.15">
      <c r="C205" s="19" t="s">
        <v>43</v>
      </c>
    </row>
    <row r="206" spans="1:15" ht="21" hidden="1" x14ac:dyDescent="0.15">
      <c r="C206" s="19" t="s">
        <v>44</v>
      </c>
    </row>
    <row r="207" spans="1:15" ht="21" hidden="1" x14ac:dyDescent="0.15">
      <c r="C207" s="19" t="s">
        <v>45</v>
      </c>
      <c r="G207" s="20"/>
      <c r="I207" s="20"/>
      <c r="L207" s="1" t="s">
        <v>46</v>
      </c>
    </row>
    <row r="208" spans="1:15" hidden="1" x14ac:dyDescent="0.15">
      <c r="C208" s="19" t="s">
        <v>47</v>
      </c>
    </row>
    <row r="209" spans="1:15" ht="21" hidden="1" x14ac:dyDescent="0.15">
      <c r="C209" s="19" t="s">
        <v>48</v>
      </c>
    </row>
    <row r="210" spans="1:15" ht="21" hidden="1" x14ac:dyDescent="0.15">
      <c r="C210" s="19" t="s">
        <v>49</v>
      </c>
    </row>
    <row r="211" spans="1:15" x14ac:dyDescent="0.15">
      <c r="C211" s="19" t="s">
        <v>50</v>
      </c>
      <c r="H211" s="21"/>
      <c r="J211" s="21"/>
      <c r="M211" s="14" t="s">
        <v>51</v>
      </c>
    </row>
    <row r="212" spans="1:15" hidden="1" x14ac:dyDescent="0.15">
      <c r="C212" s="19" t="s">
        <v>52</v>
      </c>
      <c r="H212" s="21"/>
      <c r="J212" s="21"/>
      <c r="M212" s="14" t="s">
        <v>53</v>
      </c>
    </row>
    <row r="213" spans="1:15" hidden="1" x14ac:dyDescent="0.15">
      <c r="C213" s="19" t="s">
        <v>54</v>
      </c>
      <c r="H213" s="21"/>
      <c r="J213" s="21"/>
      <c r="M213" s="14" t="s">
        <v>55</v>
      </c>
    </row>
    <row r="214" spans="1:15" ht="21" x14ac:dyDescent="0.15">
      <c r="C214" s="19" t="s">
        <v>56</v>
      </c>
      <c r="H214" s="21"/>
      <c r="J214" s="21"/>
      <c r="M214" s="14" t="s">
        <v>57</v>
      </c>
    </row>
    <row r="215" spans="1:15" hidden="1" x14ac:dyDescent="0.15">
      <c r="C215" s="19" t="s">
        <v>58</v>
      </c>
      <c r="H215" s="21"/>
      <c r="J215" s="21"/>
      <c r="M215" s="14" t="s">
        <v>59</v>
      </c>
    </row>
    <row r="216" spans="1:15" hidden="1" x14ac:dyDescent="0.15">
      <c r="C216" s="19" t="s">
        <v>60</v>
      </c>
      <c r="H216" s="21"/>
      <c r="J216" s="21"/>
      <c r="M216" s="14" t="s">
        <v>61</v>
      </c>
    </row>
    <row r="217" spans="1:15" x14ac:dyDescent="0.15">
      <c r="C217" s="19" t="s">
        <v>101</v>
      </c>
      <c r="H217" s="21"/>
      <c r="J217" s="21"/>
    </row>
    <row r="218" spans="1:15" ht="31.5" x14ac:dyDescent="0.15">
      <c r="A218" s="22" t="s">
        <v>109</v>
      </c>
      <c r="B218" s="22" t="s">
        <v>110</v>
      </c>
      <c r="C218" s="22" t="s">
        <v>111</v>
      </c>
      <c r="D218" s="23" t="s">
        <v>105</v>
      </c>
      <c r="E218" s="24"/>
      <c r="F218" s="25"/>
      <c r="G218" s="26"/>
      <c r="H218" s="27"/>
      <c r="I218" s="26"/>
      <c r="J218" s="27"/>
      <c r="K218" s="28"/>
      <c r="L218" s="1" t="s">
        <v>34</v>
      </c>
    </row>
    <row r="219" spans="1:15" ht="21" x14ac:dyDescent="0.15">
      <c r="A219" s="14" t="s">
        <v>112</v>
      </c>
      <c r="B219" s="29" t="str">
        <f ca="1">ПОЛУЧШИФР(Ресурсы!A3,1)</f>
        <v>З000-1002-0Ф</v>
      </c>
      <c r="C219" s="14" t="str">
        <f>Ресурсы!B3</f>
        <v>Рабочие-строители (средний разряд 2.0)</v>
      </c>
      <c r="D219" s="15" t="s">
        <v>82</v>
      </c>
      <c r="G219" s="16"/>
      <c r="H219" s="17"/>
      <c r="I219" s="16"/>
      <c r="J219" s="17"/>
      <c r="K219" s="18"/>
      <c r="L219" s="1" t="s">
        <v>89</v>
      </c>
      <c r="M219" s="1" t="s">
        <v>90</v>
      </c>
    </row>
    <row r="220" spans="1:15" x14ac:dyDescent="0.15">
      <c r="A220" s="14" t="s">
        <v>113</v>
      </c>
      <c r="B220" s="14" t="s">
        <v>36</v>
      </c>
      <c r="C220" s="14" t="s">
        <v>37</v>
      </c>
      <c r="D220" s="15" t="s">
        <v>82</v>
      </c>
      <c r="G220" s="16"/>
      <c r="H220" s="17"/>
      <c r="I220" s="16"/>
      <c r="J220" s="17"/>
      <c r="K220" s="18"/>
      <c r="M220" s="1" t="s">
        <v>39</v>
      </c>
    </row>
    <row r="221" spans="1:15" x14ac:dyDescent="0.15">
      <c r="A221" s="62" t="s">
        <v>114</v>
      </c>
      <c r="B221" s="63" t="str">
        <f ca="1">ПОЛУЧШИФР(Ресурсы!A31,1)</f>
        <v>Х02-1140-Ф</v>
      </c>
      <c r="C221" s="62" t="str">
        <f>Ресурсы!B31</f>
        <v>Краны на автомобильном ходу при работе на других видах строительства (кроме магистральных трубопроводов) 6,3 т</v>
      </c>
      <c r="D221" s="30" t="s">
        <v>94</v>
      </c>
      <c r="E221" s="61"/>
      <c r="F221" s="61"/>
      <c r="G221" s="31"/>
      <c r="H221" s="32"/>
      <c r="I221" s="31"/>
      <c r="J221" s="32"/>
      <c r="K221" s="33"/>
      <c r="L221" s="1" t="s">
        <v>89</v>
      </c>
      <c r="M221" s="1" t="s">
        <v>98</v>
      </c>
    </row>
    <row r="222" spans="1:15" ht="21" x14ac:dyDescent="0.15">
      <c r="A222" s="62"/>
      <c r="B222" s="63"/>
      <c r="C222" s="62"/>
      <c r="D222" s="1">
        <f>Ресурсы!G31</f>
        <v>1</v>
      </c>
      <c r="E222" s="61"/>
      <c r="F222" s="61"/>
      <c r="G222" s="16"/>
      <c r="H222" s="17"/>
      <c r="I222" s="16"/>
      <c r="J222" s="17"/>
      <c r="K222" s="18"/>
      <c r="N222" s="1" t="s">
        <v>99</v>
      </c>
      <c r="O222" s="1" t="s">
        <v>100</v>
      </c>
    </row>
    <row r="223" spans="1:15" hidden="1" x14ac:dyDescent="0.15">
      <c r="C223" s="19" t="s">
        <v>40</v>
      </c>
    </row>
    <row r="224" spans="1:15" hidden="1" x14ac:dyDescent="0.15">
      <c r="C224" s="19" t="s">
        <v>41</v>
      </c>
    </row>
    <row r="225" spans="1:13" hidden="1" x14ac:dyDescent="0.15">
      <c r="C225" s="19" t="s">
        <v>42</v>
      </c>
    </row>
    <row r="226" spans="1:13" hidden="1" x14ac:dyDescent="0.15">
      <c r="C226" s="19" t="s">
        <v>43</v>
      </c>
    </row>
    <row r="227" spans="1:13" ht="21" hidden="1" x14ac:dyDescent="0.15">
      <c r="C227" s="19" t="s">
        <v>44</v>
      </c>
    </row>
    <row r="228" spans="1:13" ht="21" hidden="1" x14ac:dyDescent="0.15">
      <c r="C228" s="19" t="s">
        <v>45</v>
      </c>
      <c r="G228" s="20"/>
      <c r="I228" s="20"/>
      <c r="L228" s="1" t="s">
        <v>46</v>
      </c>
    </row>
    <row r="229" spans="1:13" hidden="1" x14ac:dyDescent="0.15">
      <c r="C229" s="19" t="s">
        <v>47</v>
      </c>
    </row>
    <row r="230" spans="1:13" ht="21" hidden="1" x14ac:dyDescent="0.15">
      <c r="C230" s="19" t="s">
        <v>48</v>
      </c>
    </row>
    <row r="231" spans="1:13" ht="21" hidden="1" x14ac:dyDescent="0.15">
      <c r="C231" s="19" t="s">
        <v>49</v>
      </c>
    </row>
    <row r="232" spans="1:13" x14ac:dyDescent="0.15">
      <c r="C232" s="19" t="s">
        <v>50</v>
      </c>
      <c r="H232" s="21"/>
      <c r="J232" s="21"/>
      <c r="M232" s="14" t="s">
        <v>51</v>
      </c>
    </row>
    <row r="233" spans="1:13" hidden="1" x14ac:dyDescent="0.15">
      <c r="C233" s="19" t="s">
        <v>52</v>
      </c>
      <c r="H233" s="21"/>
      <c r="J233" s="21"/>
      <c r="M233" s="14" t="s">
        <v>53</v>
      </c>
    </row>
    <row r="234" spans="1:13" hidden="1" x14ac:dyDescent="0.15">
      <c r="C234" s="19" t="s">
        <v>54</v>
      </c>
      <c r="H234" s="21"/>
      <c r="J234" s="21"/>
      <c r="M234" s="14" t="s">
        <v>55</v>
      </c>
    </row>
    <row r="235" spans="1:13" ht="21" x14ac:dyDescent="0.15">
      <c r="C235" s="19" t="s">
        <v>56</v>
      </c>
      <c r="H235" s="21"/>
      <c r="J235" s="21"/>
      <c r="M235" s="14" t="s">
        <v>57</v>
      </c>
    </row>
    <row r="236" spans="1:13" hidden="1" x14ac:dyDescent="0.15">
      <c r="C236" s="19" t="s">
        <v>58</v>
      </c>
      <c r="H236" s="21"/>
      <c r="J236" s="21"/>
      <c r="M236" s="14" t="s">
        <v>59</v>
      </c>
    </row>
    <row r="237" spans="1:13" hidden="1" x14ac:dyDescent="0.15">
      <c r="C237" s="19" t="s">
        <v>60</v>
      </c>
      <c r="H237" s="21"/>
      <c r="J237" s="21"/>
      <c r="M237" s="14" t="s">
        <v>61</v>
      </c>
    </row>
    <row r="238" spans="1:13" x14ac:dyDescent="0.15">
      <c r="C238" s="19" t="s">
        <v>101</v>
      </c>
      <c r="H238" s="21"/>
      <c r="J238" s="21"/>
    </row>
    <row r="239" spans="1:13" ht="84" x14ac:dyDescent="0.15">
      <c r="A239" s="22" t="s">
        <v>115</v>
      </c>
      <c r="B239" s="22" t="s">
        <v>116</v>
      </c>
      <c r="C239" s="22" t="s">
        <v>117</v>
      </c>
      <c r="D239" s="23" t="s">
        <v>118</v>
      </c>
      <c r="E239" s="24"/>
      <c r="F239" s="25"/>
      <c r="G239" s="26"/>
      <c r="H239" s="27"/>
      <c r="I239" s="26"/>
      <c r="J239" s="27"/>
      <c r="K239" s="28"/>
      <c r="L239" s="1" t="s">
        <v>34</v>
      </c>
    </row>
    <row r="240" spans="1:13" ht="21" x14ac:dyDescent="0.15">
      <c r="A240" s="14" t="s">
        <v>119</v>
      </c>
      <c r="B240" s="29" t="str">
        <f ca="1">ПОЛУЧШИФР(Ресурсы!A4,1)</f>
        <v>З000-1002-9Ф</v>
      </c>
      <c r="C240" s="14" t="str">
        <f>Ресурсы!B4</f>
        <v>Рабочие-строители (средний разряд 2.9)</v>
      </c>
      <c r="D240" s="15" t="s">
        <v>82</v>
      </c>
      <c r="G240" s="16"/>
      <c r="H240" s="17"/>
      <c r="I240" s="16"/>
      <c r="J240" s="17"/>
      <c r="K240" s="18"/>
      <c r="L240" s="1" t="s">
        <v>89</v>
      </c>
      <c r="M240" s="1" t="s">
        <v>90</v>
      </c>
    </row>
    <row r="241" spans="1:15" x14ac:dyDescent="0.15">
      <c r="A241" s="14" t="s">
        <v>120</v>
      </c>
      <c r="B241" s="14" t="s">
        <v>36</v>
      </c>
      <c r="C241" s="14" t="s">
        <v>37</v>
      </c>
      <c r="D241" s="15" t="s">
        <v>82</v>
      </c>
      <c r="G241" s="16"/>
      <c r="H241" s="17"/>
      <c r="I241" s="16"/>
      <c r="J241" s="17"/>
      <c r="K241" s="18"/>
      <c r="M241" s="1" t="s">
        <v>39</v>
      </c>
    </row>
    <row r="242" spans="1:15" x14ac:dyDescent="0.15">
      <c r="A242" s="62" t="s">
        <v>121</v>
      </c>
      <c r="B242" s="63" t="str">
        <f ca="1">ПОЛУЧШИФР(Ресурсы!A32,1)</f>
        <v>Х02-1141-Ф</v>
      </c>
      <c r="C242" s="62" t="str">
        <f>Ресурсы!B32</f>
        <v>Краны на автомобильном ходу при работе на других видах строительства (кроме магистральных трубопроводов) 10 т</v>
      </c>
      <c r="D242" s="30" t="s">
        <v>94</v>
      </c>
      <c r="E242" s="61"/>
      <c r="F242" s="61"/>
      <c r="G242" s="31"/>
      <c r="H242" s="32"/>
      <c r="I242" s="31"/>
      <c r="J242" s="32"/>
      <c r="K242" s="33"/>
      <c r="L242" s="1" t="s">
        <v>89</v>
      </c>
      <c r="M242" s="1" t="s">
        <v>98</v>
      </c>
    </row>
    <row r="243" spans="1:15" ht="21" x14ac:dyDescent="0.15">
      <c r="A243" s="62"/>
      <c r="B243" s="63"/>
      <c r="C243" s="62"/>
      <c r="D243" s="1">
        <f>Ресурсы!G32</f>
        <v>1</v>
      </c>
      <c r="E243" s="61"/>
      <c r="F243" s="61"/>
      <c r="G243" s="16"/>
      <c r="H243" s="17"/>
      <c r="I243" s="16"/>
      <c r="J243" s="17"/>
      <c r="K243" s="18"/>
      <c r="N243" s="1" t="s">
        <v>99</v>
      </c>
      <c r="O243" s="1" t="s">
        <v>100</v>
      </c>
    </row>
    <row r="244" spans="1:15" ht="21" x14ac:dyDescent="0.15">
      <c r="A244" s="14" t="s">
        <v>122</v>
      </c>
      <c r="B244" s="29" t="str">
        <f ca="1">ПОЛУЧШИФР(Ресурсы!A33,1)</f>
        <v>Х03-0202-Ф</v>
      </c>
      <c r="C244" s="14" t="str">
        <f>Ресурсы!B33</f>
        <v>Домкраты гидравлические грузоподъемностью до 25 т</v>
      </c>
      <c r="D244" s="15" t="s">
        <v>94</v>
      </c>
      <c r="G244" s="16"/>
      <c r="H244" s="17"/>
      <c r="I244" s="16"/>
      <c r="J244" s="17"/>
      <c r="K244" s="18"/>
      <c r="L244" s="1" t="s">
        <v>89</v>
      </c>
      <c r="M244" s="1" t="s">
        <v>98</v>
      </c>
    </row>
    <row r="245" spans="1:15" x14ac:dyDescent="0.15">
      <c r="A245" s="62" t="s">
        <v>123</v>
      </c>
      <c r="B245" s="63" t="str">
        <f ca="1">ПОЛУЧШИФР(Ресурсы!A34,1)</f>
        <v>Х03-1811-Ф</v>
      </c>
      <c r="C245" s="62" t="str">
        <f>Ресурсы!B34</f>
        <v>Погрузчики одноковшовые универсальные фронтальные пневмоколесные 2 т</v>
      </c>
      <c r="D245" s="30" t="s">
        <v>94</v>
      </c>
      <c r="E245" s="61"/>
      <c r="F245" s="61"/>
      <c r="G245" s="31"/>
      <c r="H245" s="32"/>
      <c r="I245" s="31"/>
      <c r="J245" s="32"/>
      <c r="K245" s="33"/>
      <c r="L245" s="1" t="s">
        <v>89</v>
      </c>
      <c r="M245" s="1" t="s">
        <v>98</v>
      </c>
    </row>
    <row r="246" spans="1:15" ht="21" x14ac:dyDescent="0.15">
      <c r="A246" s="62"/>
      <c r="B246" s="63"/>
      <c r="C246" s="62"/>
      <c r="D246" s="1">
        <f>Ресурсы!G34</f>
        <v>1</v>
      </c>
      <c r="E246" s="61"/>
      <c r="F246" s="61"/>
      <c r="G246" s="16"/>
      <c r="H246" s="17"/>
      <c r="I246" s="16"/>
      <c r="J246" s="17"/>
      <c r="K246" s="18"/>
      <c r="N246" s="1" t="s">
        <v>99</v>
      </c>
      <c r="O246" s="1" t="s">
        <v>100</v>
      </c>
    </row>
    <row r="247" spans="1:15" x14ac:dyDescent="0.15">
      <c r="A247" s="62" t="s">
        <v>124</v>
      </c>
      <c r="B247" s="63" t="str">
        <f ca="1">ПОЛУЧШИФР(Ресурсы!A36,1)</f>
        <v>Х06-0337-Ф</v>
      </c>
      <c r="C247" s="62" t="str">
        <f>Ресурсы!B36</f>
        <v>Экскаваторы одноковшовые дизельные на пневмоколесном ходу при работе на других видах строительства 0,25 м3</v>
      </c>
      <c r="D247" s="30" t="s">
        <v>94</v>
      </c>
      <c r="E247" s="61"/>
      <c r="F247" s="61"/>
      <c r="G247" s="31"/>
      <c r="H247" s="32"/>
      <c r="I247" s="31"/>
      <c r="J247" s="32"/>
      <c r="K247" s="33"/>
      <c r="L247" s="1" t="s">
        <v>89</v>
      </c>
      <c r="M247" s="1" t="s">
        <v>98</v>
      </c>
    </row>
    <row r="248" spans="1:15" ht="21" x14ac:dyDescent="0.15">
      <c r="A248" s="62"/>
      <c r="B248" s="63"/>
      <c r="C248" s="62"/>
      <c r="D248" s="1">
        <f>Ресурсы!G36</f>
        <v>1</v>
      </c>
      <c r="E248" s="61"/>
      <c r="F248" s="61"/>
      <c r="G248" s="16"/>
      <c r="H248" s="17"/>
      <c r="I248" s="16"/>
      <c r="J248" s="17"/>
      <c r="K248" s="18"/>
      <c r="N248" s="1" t="s">
        <v>99</v>
      </c>
      <c r="O248" s="1" t="s">
        <v>100</v>
      </c>
    </row>
    <row r="249" spans="1:15" x14ac:dyDescent="0.15">
      <c r="A249" s="62" t="s">
        <v>125</v>
      </c>
      <c r="B249" s="63" t="str">
        <f ca="1">ПОЛУЧШИФР(Ресурсы!A37,1)</f>
        <v>Х07-0148-Ф</v>
      </c>
      <c r="C249" s="62" t="str">
        <f>Ресурсы!B37</f>
        <v>Бульдозеры при работе на других видах строительства 59 (80) кВт (л.с.)</v>
      </c>
      <c r="D249" s="30" t="s">
        <v>94</v>
      </c>
      <c r="E249" s="61"/>
      <c r="F249" s="61"/>
      <c r="G249" s="31"/>
      <c r="H249" s="32"/>
      <c r="I249" s="31"/>
      <c r="J249" s="32"/>
      <c r="K249" s="33"/>
      <c r="L249" s="1" t="s">
        <v>89</v>
      </c>
      <c r="M249" s="1" t="s">
        <v>98</v>
      </c>
    </row>
    <row r="250" spans="1:15" ht="21" x14ac:dyDescent="0.15">
      <c r="A250" s="62"/>
      <c r="B250" s="63"/>
      <c r="C250" s="62"/>
      <c r="D250" s="1">
        <f>Ресурсы!G37</f>
        <v>1</v>
      </c>
      <c r="E250" s="61"/>
      <c r="F250" s="61"/>
      <c r="G250" s="16"/>
      <c r="H250" s="17"/>
      <c r="I250" s="16"/>
      <c r="J250" s="17"/>
      <c r="K250" s="18"/>
      <c r="N250" s="1" t="s">
        <v>99</v>
      </c>
      <c r="O250" s="1" t="s">
        <v>100</v>
      </c>
    </row>
    <row r="251" spans="1:15" x14ac:dyDescent="0.15">
      <c r="A251" s="62" t="s">
        <v>126</v>
      </c>
      <c r="B251" s="63" t="str">
        <f ca="1">ПОЛУЧШИФР(Ресурсы!A38,1)</f>
        <v>Х12-0907-Ф</v>
      </c>
      <c r="C251" s="62" t="str">
        <f>Ресурсы!B38</f>
        <v>Катки дорожные самоходные гладкие 13 т</v>
      </c>
      <c r="D251" s="30" t="s">
        <v>94</v>
      </c>
      <c r="E251" s="61"/>
      <c r="F251" s="61"/>
      <c r="G251" s="31"/>
      <c r="H251" s="32"/>
      <c r="I251" s="31"/>
      <c r="J251" s="32"/>
      <c r="K251" s="33"/>
      <c r="L251" s="1" t="s">
        <v>89</v>
      </c>
      <c r="M251" s="1" t="s">
        <v>98</v>
      </c>
    </row>
    <row r="252" spans="1:15" ht="21" x14ac:dyDescent="0.15">
      <c r="A252" s="62"/>
      <c r="B252" s="63"/>
      <c r="C252" s="62"/>
      <c r="D252" s="1">
        <f>Ресурсы!G38</f>
        <v>1</v>
      </c>
      <c r="E252" s="61"/>
      <c r="F252" s="61"/>
      <c r="G252" s="16"/>
      <c r="H252" s="17"/>
      <c r="I252" s="16"/>
      <c r="J252" s="17"/>
      <c r="K252" s="18"/>
      <c r="N252" s="1" t="s">
        <v>99</v>
      </c>
      <c r="O252" s="1" t="s">
        <v>100</v>
      </c>
    </row>
    <row r="253" spans="1:15" x14ac:dyDescent="0.15">
      <c r="A253" s="62" t="s">
        <v>127</v>
      </c>
      <c r="B253" s="63" t="str">
        <f ca="1">ПОЛУЧШИФР(Ресурсы!A39,1)</f>
        <v>Х12-1601-Ф</v>
      </c>
      <c r="C253" s="62" t="str">
        <f>Ресурсы!B39</f>
        <v>Машины поливомоечные 6000 л</v>
      </c>
      <c r="D253" s="30" t="s">
        <v>94</v>
      </c>
      <c r="E253" s="61"/>
      <c r="F253" s="61"/>
      <c r="G253" s="31"/>
      <c r="H253" s="32"/>
      <c r="I253" s="31"/>
      <c r="J253" s="32"/>
      <c r="K253" s="33"/>
      <c r="L253" s="1" t="s">
        <v>89</v>
      </c>
      <c r="M253" s="1" t="s">
        <v>98</v>
      </c>
    </row>
    <row r="254" spans="1:15" ht="21" x14ac:dyDescent="0.15">
      <c r="A254" s="62"/>
      <c r="B254" s="63"/>
      <c r="C254" s="62"/>
      <c r="D254" s="1">
        <f>Ресурсы!G39</f>
        <v>1</v>
      </c>
      <c r="E254" s="61"/>
      <c r="F254" s="61"/>
      <c r="G254" s="16"/>
      <c r="H254" s="17"/>
      <c r="I254" s="16"/>
      <c r="J254" s="17"/>
      <c r="K254" s="18"/>
      <c r="N254" s="1" t="s">
        <v>99</v>
      </c>
      <c r="O254" s="1" t="s">
        <v>100</v>
      </c>
    </row>
    <row r="255" spans="1:15" x14ac:dyDescent="0.15">
      <c r="A255" s="14" t="s">
        <v>128</v>
      </c>
      <c r="B255" s="29" t="str">
        <f ca="1">ПОЛУЧШИФР(Ресурсы!A40,1)</f>
        <v>Х13-4101-Ф</v>
      </c>
      <c r="C255" s="14" t="str">
        <f>Ресурсы!B40</f>
        <v>Шпалоподбойки</v>
      </c>
      <c r="D255" s="15" t="s">
        <v>94</v>
      </c>
      <c r="G255" s="16"/>
      <c r="H255" s="17"/>
      <c r="I255" s="16"/>
      <c r="J255" s="17"/>
      <c r="K255" s="18"/>
      <c r="L255" s="1" t="s">
        <v>89</v>
      </c>
      <c r="M255" s="1" t="s">
        <v>98</v>
      </c>
    </row>
    <row r="256" spans="1:15" x14ac:dyDescent="0.15">
      <c r="A256" s="62" t="s">
        <v>129</v>
      </c>
      <c r="B256" s="63" t="str">
        <f ca="1">ПОЛУЧШИФР(Ресурсы!A41,1)</f>
        <v>Х15-2304-Ф</v>
      </c>
      <c r="C256" s="62" t="str">
        <f>Ресурсы!B41</f>
        <v>Тракторы на пневмоколесном ходу 108 кВт (145 л.с.)</v>
      </c>
      <c r="D256" s="30" t="s">
        <v>94</v>
      </c>
      <c r="E256" s="61"/>
      <c r="F256" s="61"/>
      <c r="G256" s="31"/>
      <c r="H256" s="32"/>
      <c r="I256" s="31"/>
      <c r="J256" s="32"/>
      <c r="K256" s="33"/>
      <c r="L256" s="1" t="s">
        <v>89</v>
      </c>
      <c r="M256" s="1" t="s">
        <v>98</v>
      </c>
    </row>
    <row r="257" spans="1:15" ht="21" x14ac:dyDescent="0.15">
      <c r="A257" s="62"/>
      <c r="B257" s="63"/>
      <c r="C257" s="62"/>
      <c r="D257" s="1">
        <f>Ресурсы!G41</f>
        <v>1</v>
      </c>
      <c r="E257" s="61"/>
      <c r="F257" s="61"/>
      <c r="G257" s="16"/>
      <c r="H257" s="17"/>
      <c r="I257" s="16"/>
      <c r="J257" s="17"/>
      <c r="K257" s="18"/>
      <c r="N257" s="1" t="s">
        <v>99</v>
      </c>
      <c r="O257" s="1" t="s">
        <v>100</v>
      </c>
    </row>
    <row r="258" spans="1:15" x14ac:dyDescent="0.15">
      <c r="A258" s="14" t="s">
        <v>130</v>
      </c>
      <c r="B258" s="29" t="str">
        <f ca="1">ПОЛУЧШИФР(Ресурсы!A43,1)</f>
        <v>Х35-0155-Ф</v>
      </c>
      <c r="C258" s="14" t="str">
        <f>Ресурсы!B43</f>
        <v>Гайковерты электрические</v>
      </c>
      <c r="D258" s="15" t="s">
        <v>94</v>
      </c>
      <c r="G258" s="16"/>
      <c r="H258" s="17"/>
      <c r="I258" s="16"/>
      <c r="J258" s="17"/>
      <c r="K258" s="18"/>
      <c r="L258" s="1" t="s">
        <v>89</v>
      </c>
      <c r="M258" s="1" t="s">
        <v>98</v>
      </c>
    </row>
    <row r="259" spans="1:15" x14ac:dyDescent="0.15">
      <c r="A259" s="62" t="s">
        <v>131</v>
      </c>
      <c r="B259" s="63" t="str">
        <f ca="1">ПОЛУЧШИФР(Ресурсы!A45,1)</f>
        <v>Х40-0002-Ф</v>
      </c>
      <c r="C259" s="62" t="str">
        <f>Ресурсы!B45</f>
        <v>Автомобили бортовые грузоподъемностью до 8 т</v>
      </c>
      <c r="D259" s="30" t="s">
        <v>94</v>
      </c>
      <c r="E259" s="61"/>
      <c r="F259" s="61"/>
      <c r="G259" s="31"/>
      <c r="H259" s="32"/>
      <c r="I259" s="31"/>
      <c r="J259" s="32"/>
      <c r="K259" s="33"/>
      <c r="L259" s="1" t="s">
        <v>89</v>
      </c>
      <c r="M259" s="1" t="s">
        <v>98</v>
      </c>
    </row>
    <row r="260" spans="1:15" ht="21" x14ac:dyDescent="0.15">
      <c r="A260" s="62"/>
      <c r="B260" s="63"/>
      <c r="C260" s="62"/>
      <c r="D260" s="1">
        <f>Ресурсы!G45</f>
        <v>1</v>
      </c>
      <c r="E260" s="61"/>
      <c r="F260" s="61"/>
      <c r="G260" s="16"/>
      <c r="H260" s="17"/>
      <c r="I260" s="16"/>
      <c r="J260" s="17"/>
      <c r="K260" s="18"/>
      <c r="N260" s="1" t="s">
        <v>99</v>
      </c>
      <c r="O260" s="1" t="s">
        <v>100</v>
      </c>
    </row>
    <row r="261" spans="1:15" x14ac:dyDescent="0.15">
      <c r="A261" s="62" t="s">
        <v>132</v>
      </c>
      <c r="B261" s="63" t="str">
        <f ca="1">ПОЛУЧШИФР(Ресурсы!A46,1)</f>
        <v>Х40-0101-Ф</v>
      </c>
      <c r="C261" s="62" t="str">
        <f>Ресурсы!B46</f>
        <v>Тягачи седельные грузоподъемностью 12 т</v>
      </c>
      <c r="D261" s="30" t="s">
        <v>94</v>
      </c>
      <c r="E261" s="61"/>
      <c r="F261" s="61"/>
      <c r="G261" s="31"/>
      <c r="H261" s="32"/>
      <c r="I261" s="31"/>
      <c r="J261" s="32"/>
      <c r="K261" s="33"/>
      <c r="L261" s="1" t="s">
        <v>89</v>
      </c>
      <c r="M261" s="1" t="s">
        <v>98</v>
      </c>
    </row>
    <row r="262" spans="1:15" ht="21" x14ac:dyDescent="0.15">
      <c r="A262" s="62"/>
      <c r="B262" s="63"/>
      <c r="C262" s="62"/>
      <c r="D262" s="1">
        <f>Ресурсы!G46</f>
        <v>1</v>
      </c>
      <c r="E262" s="61"/>
      <c r="F262" s="61"/>
      <c r="G262" s="16"/>
      <c r="H262" s="17"/>
      <c r="I262" s="16"/>
      <c r="J262" s="17"/>
      <c r="K262" s="18"/>
      <c r="N262" s="1" t="s">
        <v>99</v>
      </c>
      <c r="O262" s="1" t="s">
        <v>100</v>
      </c>
    </row>
    <row r="263" spans="1:15" ht="21" x14ac:dyDescent="0.15">
      <c r="A263" s="14" t="s">
        <v>133</v>
      </c>
      <c r="B263" s="29" t="str">
        <f ca="1">ПОЛУЧШИФР(Ресурсы!A47,1)</f>
        <v>Х40-0111-Ф</v>
      </c>
      <c r="C263" s="14" t="str">
        <f>Ресурсы!B47</f>
        <v>Полуприцепы общего назначения грузоподъемностью 12 т</v>
      </c>
      <c r="D263" s="15" t="s">
        <v>94</v>
      </c>
      <c r="G263" s="16"/>
      <c r="H263" s="17"/>
      <c r="I263" s="16"/>
      <c r="J263" s="17"/>
      <c r="K263" s="18"/>
      <c r="L263" s="1" t="s">
        <v>89</v>
      </c>
      <c r="M263" s="1" t="s">
        <v>98</v>
      </c>
    </row>
    <row r="264" spans="1:15" ht="21" x14ac:dyDescent="0.15">
      <c r="A264" s="14" t="s">
        <v>134</v>
      </c>
      <c r="B264" s="29" t="str">
        <f ca="1">ПОЛУЧШИФР(Ресурсы!A18,1)</f>
        <v>С105-0001-Ф</v>
      </c>
      <c r="C264" s="14" t="str">
        <f>Ресурсы!B18</f>
        <v>Болты путевые с гайками для скрепления рельсов диаметром 22 мм</v>
      </c>
      <c r="D264" s="15" t="s">
        <v>105</v>
      </c>
      <c r="G264" s="16"/>
      <c r="H264" s="17"/>
      <c r="I264" s="16"/>
      <c r="J264" s="17"/>
      <c r="K264" s="18"/>
      <c r="L264" s="1" t="s">
        <v>89</v>
      </c>
      <c r="M264" s="1" t="s">
        <v>135</v>
      </c>
    </row>
    <row r="265" spans="1:15" ht="21" x14ac:dyDescent="0.15">
      <c r="A265" s="14" t="s">
        <v>136</v>
      </c>
      <c r="B265" s="29" t="str">
        <f ca="1">ПОЛУЧШИФР(Ресурсы!A19,1)</f>
        <v>С105-0018-Ф</v>
      </c>
      <c r="C265" s="14" t="str">
        <f>Ресурсы!B19</f>
        <v>Шайбы пружинные путевые исполнение 1, диаметр 22 мм</v>
      </c>
      <c r="D265" s="15" t="s">
        <v>105</v>
      </c>
      <c r="G265" s="16"/>
      <c r="H265" s="17"/>
      <c r="I265" s="16"/>
      <c r="J265" s="17"/>
      <c r="K265" s="18"/>
      <c r="L265" s="1" t="s">
        <v>89</v>
      </c>
      <c r="M265" s="1" t="s">
        <v>135</v>
      </c>
    </row>
    <row r="266" spans="1:15" ht="21" x14ac:dyDescent="0.15">
      <c r="A266" s="14" t="s">
        <v>137</v>
      </c>
      <c r="B266" s="29" t="str">
        <f ca="1">ПОЛУЧШИФР(Ресурсы!A20,1)</f>
        <v>С105-0032-Ф</v>
      </c>
      <c r="C266" s="14" t="str">
        <f>Ресурсы!B20</f>
        <v>Накладки двухголовые стыковые для рельсов Р-75, Р-65, Р-50, Р-43</v>
      </c>
      <c r="D266" s="15" t="s">
        <v>105</v>
      </c>
      <c r="G266" s="16"/>
      <c r="H266" s="17"/>
      <c r="I266" s="16"/>
      <c r="J266" s="17"/>
      <c r="K266" s="18"/>
      <c r="L266" s="1" t="s">
        <v>89</v>
      </c>
      <c r="M266" s="1" t="s">
        <v>135</v>
      </c>
    </row>
    <row r="267" spans="1:15" ht="21" x14ac:dyDescent="0.15">
      <c r="A267" s="14" t="s">
        <v>138</v>
      </c>
      <c r="B267" s="29" t="str">
        <f ca="1">ПОЛУЧШИФР(Ресурсы!A21,1)</f>
        <v>С105-5002-Ф</v>
      </c>
      <c r="C267" s="14" t="str">
        <f>Ресурсы!B21</f>
        <v>Секции инвентарные с рельсами типа Р50 на деревянных полушпалах</v>
      </c>
      <c r="D267" s="15" t="s">
        <v>33</v>
      </c>
      <c r="G267" s="16"/>
      <c r="H267" s="17"/>
      <c r="I267" s="16"/>
      <c r="J267" s="17"/>
      <c r="K267" s="18"/>
      <c r="L267" s="1" t="s">
        <v>89</v>
      </c>
      <c r="M267" s="1" t="s">
        <v>135</v>
      </c>
    </row>
    <row r="268" spans="1:15" ht="73.5" x14ac:dyDescent="0.15">
      <c r="A268" s="14" t="s">
        <v>139</v>
      </c>
      <c r="B268" s="29" t="str">
        <f ca="1">ПОЛУЧШИФР(Ресурсы!A22,1)</f>
        <v>С201-0774-Ф</v>
      </c>
      <c r="C268" s="14" t="str">
        <f>Ресурсы!B22</f>
        <v>Конструктивные элементы вспомогательного назначения массой не более 50 кг с преобладанием толстолистовой стали собираемые из двух и более деталей, с отверстиями и без отверстий, соединяемые на сварке</v>
      </c>
      <c r="D268" s="15" t="s">
        <v>105</v>
      </c>
      <c r="G268" s="16"/>
      <c r="H268" s="17"/>
      <c r="I268" s="16"/>
      <c r="J268" s="17"/>
      <c r="K268" s="18"/>
      <c r="L268" s="1" t="s">
        <v>89</v>
      </c>
      <c r="M268" s="1" t="s">
        <v>135</v>
      </c>
    </row>
    <row r="269" spans="1:15" ht="21" x14ac:dyDescent="0.15">
      <c r="A269" s="14" t="s">
        <v>140</v>
      </c>
      <c r="B269" s="29" t="str">
        <f ca="1">ПОЛУЧШИФР(Ресурсы!A25,1)</f>
        <v>С408-0122-Ф</v>
      </c>
      <c r="C269" s="14" t="str">
        <f>Ресурсы!B25</f>
        <v>Песок природный для строительных работ средний</v>
      </c>
      <c r="D269" s="15" t="s">
        <v>141</v>
      </c>
      <c r="G269" s="16"/>
      <c r="H269" s="17"/>
      <c r="I269" s="16"/>
      <c r="J269" s="17"/>
      <c r="K269" s="18"/>
      <c r="L269" s="1" t="s">
        <v>89</v>
      </c>
      <c r="M269" s="1" t="s">
        <v>135</v>
      </c>
    </row>
    <row r="270" spans="1:15" x14ac:dyDescent="0.15">
      <c r="A270" s="14" t="s">
        <v>142</v>
      </c>
      <c r="B270" s="29" t="str">
        <f ca="1">ПОЛУЧШИФР(Ресурсы!A26,1)</f>
        <v>С411-0001-Ф</v>
      </c>
      <c r="C270" s="14" t="str">
        <f>Ресурсы!B26</f>
        <v>Вода</v>
      </c>
      <c r="D270" s="15" t="s">
        <v>141</v>
      </c>
      <c r="G270" s="16"/>
      <c r="H270" s="17"/>
      <c r="I270" s="16"/>
      <c r="J270" s="17"/>
      <c r="K270" s="18"/>
      <c r="L270" s="1" t="s">
        <v>89</v>
      </c>
      <c r="M270" s="1" t="s">
        <v>135</v>
      </c>
    </row>
    <row r="271" spans="1:15" hidden="1" x14ac:dyDescent="0.15">
      <c r="C271" s="19" t="s">
        <v>40</v>
      </c>
    </row>
    <row r="272" spans="1:15" hidden="1" x14ac:dyDescent="0.15">
      <c r="C272" s="19" t="s">
        <v>41</v>
      </c>
    </row>
    <row r="273" spans="1:13" hidden="1" x14ac:dyDescent="0.15">
      <c r="C273" s="19" t="s">
        <v>42</v>
      </c>
    </row>
    <row r="274" spans="1:13" hidden="1" x14ac:dyDescent="0.15">
      <c r="C274" s="19" t="s">
        <v>43</v>
      </c>
    </row>
    <row r="275" spans="1:13" ht="21" hidden="1" x14ac:dyDescent="0.15">
      <c r="C275" s="19" t="s">
        <v>44</v>
      </c>
    </row>
    <row r="276" spans="1:13" ht="21" hidden="1" x14ac:dyDescent="0.15">
      <c r="C276" s="19" t="s">
        <v>45</v>
      </c>
      <c r="G276" s="20"/>
      <c r="I276" s="20"/>
      <c r="L276" s="1" t="s">
        <v>46</v>
      </c>
    </row>
    <row r="277" spans="1:13" hidden="1" x14ac:dyDescent="0.15">
      <c r="C277" s="19" t="s">
        <v>47</v>
      </c>
    </row>
    <row r="278" spans="1:13" ht="21" hidden="1" x14ac:dyDescent="0.15">
      <c r="C278" s="19" t="s">
        <v>48</v>
      </c>
    </row>
    <row r="279" spans="1:13" ht="21" hidden="1" x14ac:dyDescent="0.15">
      <c r="C279" s="19" t="s">
        <v>49</v>
      </c>
    </row>
    <row r="280" spans="1:13" x14ac:dyDescent="0.15">
      <c r="C280" s="19" t="s">
        <v>50</v>
      </c>
      <c r="H280" s="21"/>
      <c r="J280" s="21"/>
      <c r="M280" s="14" t="s">
        <v>51</v>
      </c>
    </row>
    <row r="281" spans="1:13" hidden="1" x14ac:dyDescent="0.15">
      <c r="C281" s="19" t="s">
        <v>52</v>
      </c>
      <c r="H281" s="21"/>
      <c r="J281" s="21"/>
      <c r="M281" s="14" t="s">
        <v>53</v>
      </c>
    </row>
    <row r="282" spans="1:13" hidden="1" x14ac:dyDescent="0.15">
      <c r="C282" s="19" t="s">
        <v>54</v>
      </c>
      <c r="H282" s="21"/>
      <c r="J282" s="21"/>
      <c r="M282" s="14" t="s">
        <v>55</v>
      </c>
    </row>
    <row r="283" spans="1:13" ht="21" x14ac:dyDescent="0.15">
      <c r="C283" s="19" t="s">
        <v>56</v>
      </c>
      <c r="H283" s="21"/>
      <c r="J283" s="21"/>
      <c r="M283" s="14" t="s">
        <v>57</v>
      </c>
    </row>
    <row r="284" spans="1:13" hidden="1" x14ac:dyDescent="0.15">
      <c r="C284" s="19" t="s">
        <v>58</v>
      </c>
      <c r="H284" s="21"/>
      <c r="J284" s="21"/>
      <c r="M284" s="14" t="s">
        <v>59</v>
      </c>
    </row>
    <row r="285" spans="1:13" hidden="1" x14ac:dyDescent="0.15">
      <c r="C285" s="19" t="s">
        <v>60</v>
      </c>
      <c r="H285" s="21"/>
      <c r="J285" s="21"/>
      <c r="M285" s="14" t="s">
        <v>61</v>
      </c>
    </row>
    <row r="286" spans="1:13" x14ac:dyDescent="0.15">
      <c r="C286" s="19" t="s">
        <v>101</v>
      </c>
      <c r="H286" s="21"/>
      <c r="J286" s="21"/>
    </row>
    <row r="287" spans="1:13" ht="31.5" x14ac:dyDescent="0.15">
      <c r="A287" s="22" t="s">
        <v>143</v>
      </c>
      <c r="B287" s="22" t="s">
        <v>144</v>
      </c>
      <c r="C287" s="22" t="s">
        <v>145</v>
      </c>
      <c r="D287" s="23" t="s">
        <v>146</v>
      </c>
      <c r="E287" s="24"/>
      <c r="F287" s="25"/>
      <c r="G287" s="26"/>
      <c r="H287" s="27"/>
      <c r="I287" s="26"/>
      <c r="J287" s="27"/>
      <c r="K287" s="28"/>
      <c r="L287" s="1" t="s">
        <v>34</v>
      </c>
    </row>
    <row r="288" spans="1:13" ht="21" x14ac:dyDescent="0.15">
      <c r="A288" s="14" t="s">
        <v>147</v>
      </c>
      <c r="B288" s="29" t="str">
        <f ca="1">ПОЛУЧШИФР(Ресурсы!A7,1)</f>
        <v>З000-1003-4Ф</v>
      </c>
      <c r="C288" s="14" t="str">
        <f>Ресурсы!B7</f>
        <v>Рабочие-строители (средний разряд 3.4)</v>
      </c>
      <c r="D288" s="15" t="s">
        <v>82</v>
      </c>
      <c r="G288" s="16"/>
      <c r="H288" s="17"/>
      <c r="I288" s="16"/>
      <c r="J288" s="17"/>
      <c r="K288" s="18"/>
      <c r="L288" s="1" t="s">
        <v>89</v>
      </c>
      <c r="M288" s="1" t="s">
        <v>90</v>
      </c>
    </row>
    <row r="289" spans="1:15" x14ac:dyDescent="0.15">
      <c r="A289" s="14" t="s">
        <v>148</v>
      </c>
      <c r="B289" s="14" t="s">
        <v>36</v>
      </c>
      <c r="C289" s="14" t="s">
        <v>37</v>
      </c>
      <c r="D289" s="15" t="s">
        <v>82</v>
      </c>
      <c r="G289" s="16"/>
      <c r="H289" s="17"/>
      <c r="I289" s="16"/>
      <c r="J289" s="17"/>
      <c r="K289" s="18"/>
      <c r="M289" s="1" t="s">
        <v>39</v>
      </c>
    </row>
    <row r="290" spans="1:15" x14ac:dyDescent="0.15">
      <c r="A290" s="62" t="s">
        <v>149</v>
      </c>
      <c r="B290" s="63" t="str">
        <f ca="1">ПОЛУЧШИФР(Ресурсы!A44,1)</f>
        <v>Х40-0001-Ф</v>
      </c>
      <c r="C290" s="62" t="str">
        <f>Ресурсы!B44</f>
        <v>Автомобили бортовые грузоподъемностью до 5 т</v>
      </c>
      <c r="D290" s="30" t="s">
        <v>94</v>
      </c>
      <c r="E290" s="61"/>
      <c r="F290" s="61"/>
      <c r="G290" s="31"/>
      <c r="H290" s="32"/>
      <c r="I290" s="31"/>
      <c r="J290" s="32"/>
      <c r="K290" s="33"/>
      <c r="L290" s="1" t="s">
        <v>89</v>
      </c>
      <c r="M290" s="1" t="s">
        <v>98</v>
      </c>
    </row>
    <row r="291" spans="1:15" ht="21" x14ac:dyDescent="0.15">
      <c r="A291" s="62"/>
      <c r="B291" s="63"/>
      <c r="C291" s="62"/>
      <c r="D291" s="1">
        <f>Ресурсы!G44</f>
        <v>1</v>
      </c>
      <c r="E291" s="61"/>
      <c r="F291" s="61"/>
      <c r="G291" s="16"/>
      <c r="H291" s="17"/>
      <c r="I291" s="16"/>
      <c r="J291" s="17"/>
      <c r="K291" s="18"/>
      <c r="N291" s="1" t="s">
        <v>99</v>
      </c>
      <c r="O291" s="1" t="s">
        <v>100</v>
      </c>
    </row>
    <row r="292" spans="1:15" x14ac:dyDescent="0.15">
      <c r="A292" s="14" t="s">
        <v>150</v>
      </c>
      <c r="B292" s="14" t="s">
        <v>151</v>
      </c>
      <c r="C292" s="14" t="s">
        <v>152</v>
      </c>
      <c r="D292" s="15" t="s">
        <v>105</v>
      </c>
      <c r="G292" s="16"/>
      <c r="H292" s="17"/>
      <c r="I292" s="16"/>
      <c r="J292" s="17"/>
      <c r="K292" s="18"/>
      <c r="L292" s="1" t="s">
        <v>89</v>
      </c>
      <c r="M292" s="1" t="s">
        <v>135</v>
      </c>
    </row>
    <row r="293" spans="1:15" hidden="1" x14ac:dyDescent="0.15">
      <c r="C293" s="19" t="s">
        <v>40</v>
      </c>
    </row>
    <row r="294" spans="1:15" hidden="1" x14ac:dyDescent="0.15">
      <c r="C294" s="19" t="s">
        <v>41</v>
      </c>
    </row>
    <row r="295" spans="1:15" hidden="1" x14ac:dyDescent="0.15">
      <c r="C295" s="19" t="s">
        <v>42</v>
      </c>
    </row>
    <row r="296" spans="1:15" hidden="1" x14ac:dyDescent="0.15">
      <c r="C296" s="19" t="s">
        <v>43</v>
      </c>
    </row>
    <row r="297" spans="1:15" ht="21" hidden="1" x14ac:dyDescent="0.15">
      <c r="C297" s="19" t="s">
        <v>44</v>
      </c>
    </row>
    <row r="298" spans="1:15" ht="21" hidden="1" x14ac:dyDescent="0.15">
      <c r="C298" s="19" t="s">
        <v>45</v>
      </c>
      <c r="G298" s="20"/>
      <c r="I298" s="20"/>
      <c r="L298" s="1" t="s">
        <v>46</v>
      </c>
    </row>
    <row r="299" spans="1:15" hidden="1" x14ac:dyDescent="0.15">
      <c r="C299" s="19" t="s">
        <v>47</v>
      </c>
    </row>
    <row r="300" spans="1:15" ht="21" hidden="1" x14ac:dyDescent="0.15">
      <c r="C300" s="19" t="s">
        <v>48</v>
      </c>
    </row>
    <row r="301" spans="1:15" ht="21" hidden="1" x14ac:dyDescent="0.15">
      <c r="C301" s="19" t="s">
        <v>49</v>
      </c>
    </row>
    <row r="302" spans="1:15" x14ac:dyDescent="0.15">
      <c r="C302" s="19" t="s">
        <v>50</v>
      </c>
      <c r="H302" s="21"/>
      <c r="J302" s="21"/>
      <c r="M302" s="14" t="s">
        <v>51</v>
      </c>
    </row>
    <row r="303" spans="1:15" hidden="1" x14ac:dyDescent="0.15">
      <c r="C303" s="19" t="s">
        <v>52</v>
      </c>
      <c r="H303" s="21"/>
      <c r="J303" s="21"/>
      <c r="M303" s="14" t="s">
        <v>53</v>
      </c>
    </row>
    <row r="304" spans="1:15" hidden="1" x14ac:dyDescent="0.15">
      <c r="C304" s="19" t="s">
        <v>54</v>
      </c>
      <c r="H304" s="21"/>
      <c r="J304" s="21"/>
      <c r="M304" s="14" t="s">
        <v>55</v>
      </c>
    </row>
    <row r="305" spans="1:13" ht="21" x14ac:dyDescent="0.15">
      <c r="C305" s="19" t="s">
        <v>56</v>
      </c>
      <c r="H305" s="21"/>
      <c r="J305" s="21"/>
      <c r="M305" s="14" t="s">
        <v>57</v>
      </c>
    </row>
    <row r="306" spans="1:13" hidden="1" x14ac:dyDescent="0.15">
      <c r="C306" s="19" t="s">
        <v>58</v>
      </c>
      <c r="H306" s="21"/>
      <c r="J306" s="21"/>
      <c r="M306" s="14" t="s">
        <v>59</v>
      </c>
    </row>
    <row r="307" spans="1:13" hidden="1" x14ac:dyDescent="0.15">
      <c r="C307" s="19" t="s">
        <v>60</v>
      </c>
      <c r="H307" s="21"/>
      <c r="J307" s="21"/>
      <c r="M307" s="14" t="s">
        <v>61</v>
      </c>
    </row>
    <row r="308" spans="1:13" x14ac:dyDescent="0.15">
      <c r="C308" s="19" t="s">
        <v>101</v>
      </c>
      <c r="H308" s="21"/>
      <c r="J308" s="21"/>
    </row>
    <row r="309" spans="1:13" ht="42" x14ac:dyDescent="0.15">
      <c r="A309" s="22" t="s">
        <v>153</v>
      </c>
      <c r="B309" s="22" t="s">
        <v>154</v>
      </c>
      <c r="C309" s="22" t="s">
        <v>155</v>
      </c>
      <c r="D309" s="23" t="s">
        <v>105</v>
      </c>
      <c r="E309" s="24"/>
      <c r="F309" s="25"/>
      <c r="G309" s="26"/>
      <c r="H309" s="27"/>
      <c r="I309" s="26"/>
      <c r="J309" s="27"/>
      <c r="K309" s="28"/>
      <c r="L309" s="1" t="s">
        <v>34</v>
      </c>
    </row>
    <row r="310" spans="1:13" hidden="1" x14ac:dyDescent="0.15">
      <c r="A310" s="14" t="s">
        <v>156</v>
      </c>
      <c r="B310" s="14" t="s">
        <v>36</v>
      </c>
      <c r="C310" s="14" t="s">
        <v>37</v>
      </c>
      <c r="D310" s="15" t="s">
        <v>38</v>
      </c>
      <c r="G310" s="16"/>
      <c r="H310" s="17"/>
      <c r="I310" s="16"/>
      <c r="J310" s="17"/>
      <c r="K310" s="18"/>
      <c r="M310" s="1" t="s">
        <v>39</v>
      </c>
    </row>
    <row r="311" spans="1:13" ht="42" hidden="1" x14ac:dyDescent="0.15">
      <c r="A311" s="14" t="s">
        <v>157</v>
      </c>
      <c r="B311" s="29" t="str">
        <f ca="1">ПОЛУЧШИФР(Ресурсы!A24,1)</f>
        <v>С202-0013</v>
      </c>
      <c r="C311" s="14" t="str">
        <f>Ресурсы!B24</f>
        <v>Пути крановые из рельсов железнодорожных на бетонном основании, марка стали С 255. Крепления и упоры</v>
      </c>
      <c r="D311" s="15" t="s">
        <v>105</v>
      </c>
      <c r="G311" s="16"/>
      <c r="H311" s="17"/>
      <c r="I311" s="16"/>
      <c r="J311" s="17"/>
      <c r="K311" s="18"/>
      <c r="L311" s="1" t="s">
        <v>89</v>
      </c>
      <c r="M311" s="1" t="s">
        <v>135</v>
      </c>
    </row>
    <row r="312" spans="1:13" hidden="1" x14ac:dyDescent="0.15">
      <c r="C312" s="19" t="s">
        <v>40</v>
      </c>
    </row>
    <row r="313" spans="1:13" hidden="1" x14ac:dyDescent="0.15">
      <c r="C313" s="19" t="s">
        <v>41</v>
      </c>
    </row>
    <row r="314" spans="1:13" hidden="1" x14ac:dyDescent="0.15">
      <c r="C314" s="19" t="s">
        <v>42</v>
      </c>
    </row>
    <row r="315" spans="1:13" hidden="1" x14ac:dyDescent="0.15">
      <c r="C315" s="19" t="s">
        <v>43</v>
      </c>
    </row>
    <row r="316" spans="1:13" ht="21" hidden="1" x14ac:dyDescent="0.15">
      <c r="C316" s="19" t="s">
        <v>44</v>
      </c>
    </row>
    <row r="317" spans="1:13" ht="21" hidden="1" x14ac:dyDescent="0.15">
      <c r="C317" s="19" t="s">
        <v>45</v>
      </c>
      <c r="G317" s="20"/>
      <c r="I317" s="20"/>
      <c r="L317" s="1" t="s">
        <v>46</v>
      </c>
    </row>
    <row r="318" spans="1:13" hidden="1" x14ac:dyDescent="0.15">
      <c r="C318" s="19" t="s">
        <v>47</v>
      </c>
    </row>
    <row r="319" spans="1:13" ht="21" hidden="1" x14ac:dyDescent="0.15">
      <c r="C319" s="19" t="s">
        <v>48</v>
      </c>
    </row>
    <row r="320" spans="1:13" ht="21" hidden="1" x14ac:dyDescent="0.15">
      <c r="C320" s="19" t="s">
        <v>49</v>
      </c>
    </row>
    <row r="321" spans="1:15" hidden="1" x14ac:dyDescent="0.15">
      <c r="C321" s="19" t="s">
        <v>50</v>
      </c>
      <c r="H321" s="21"/>
      <c r="J321" s="21"/>
      <c r="M321" s="14" t="s">
        <v>51</v>
      </c>
    </row>
    <row r="322" spans="1:15" hidden="1" x14ac:dyDescent="0.15">
      <c r="C322" s="19" t="s">
        <v>52</v>
      </c>
      <c r="H322" s="21"/>
      <c r="J322" s="21"/>
      <c r="M322" s="14" t="s">
        <v>53</v>
      </c>
    </row>
    <row r="323" spans="1:15" hidden="1" x14ac:dyDescent="0.15">
      <c r="C323" s="19" t="s">
        <v>54</v>
      </c>
      <c r="H323" s="21"/>
      <c r="J323" s="21"/>
      <c r="M323" s="14" t="s">
        <v>55</v>
      </c>
    </row>
    <row r="324" spans="1:15" ht="21" hidden="1" x14ac:dyDescent="0.15">
      <c r="C324" s="19" t="s">
        <v>56</v>
      </c>
      <c r="H324" s="21"/>
      <c r="J324" s="21"/>
      <c r="M324" s="14" t="s">
        <v>57</v>
      </c>
    </row>
    <row r="325" spans="1:15" hidden="1" x14ac:dyDescent="0.15">
      <c r="C325" s="19" t="s">
        <v>58</v>
      </c>
      <c r="H325" s="21"/>
      <c r="J325" s="21"/>
      <c r="M325" s="14" t="s">
        <v>59</v>
      </c>
    </row>
    <row r="326" spans="1:15" hidden="1" x14ac:dyDescent="0.15">
      <c r="C326" s="19" t="s">
        <v>60</v>
      </c>
      <c r="H326" s="21"/>
      <c r="J326" s="21"/>
      <c r="M326" s="14" t="s">
        <v>61</v>
      </c>
    </row>
    <row r="327" spans="1:15" ht="31.5" x14ac:dyDescent="0.15">
      <c r="A327" s="22" t="s">
        <v>158</v>
      </c>
      <c r="B327" s="22" t="s">
        <v>144</v>
      </c>
      <c r="C327" s="22" t="s">
        <v>159</v>
      </c>
      <c r="D327" s="23" t="s">
        <v>146</v>
      </c>
      <c r="E327" s="24"/>
      <c r="F327" s="25"/>
      <c r="G327" s="26"/>
      <c r="H327" s="27"/>
      <c r="I327" s="26"/>
      <c r="J327" s="27"/>
      <c r="K327" s="28"/>
      <c r="L327" s="1" t="s">
        <v>34</v>
      </c>
    </row>
    <row r="328" spans="1:15" ht="21" x14ac:dyDescent="0.15">
      <c r="A328" s="14" t="s">
        <v>160</v>
      </c>
      <c r="B328" s="29" t="str">
        <f ca="1">ПОЛУЧШИФР(Ресурсы!A7,1)</f>
        <v>З000-1003-4Ф</v>
      </c>
      <c r="C328" s="14" t="str">
        <f>Ресурсы!B7</f>
        <v>Рабочие-строители (средний разряд 3.4)</v>
      </c>
      <c r="D328" s="15" t="s">
        <v>82</v>
      </c>
      <c r="G328" s="16"/>
      <c r="H328" s="17"/>
      <c r="I328" s="16"/>
      <c r="J328" s="17"/>
      <c r="K328" s="18"/>
      <c r="L328" s="1" t="s">
        <v>89</v>
      </c>
      <c r="M328" s="1" t="s">
        <v>90</v>
      </c>
    </row>
    <row r="329" spans="1:15" x14ac:dyDescent="0.15">
      <c r="A329" s="14" t="s">
        <v>161</v>
      </c>
      <c r="B329" s="14" t="s">
        <v>36</v>
      </c>
      <c r="C329" s="14" t="s">
        <v>37</v>
      </c>
      <c r="D329" s="15" t="s">
        <v>82</v>
      </c>
      <c r="G329" s="16"/>
      <c r="H329" s="17"/>
      <c r="I329" s="16"/>
      <c r="J329" s="17"/>
      <c r="K329" s="18"/>
      <c r="M329" s="1" t="s">
        <v>39</v>
      </c>
    </row>
    <row r="330" spans="1:15" x14ac:dyDescent="0.15">
      <c r="A330" s="62" t="s">
        <v>162</v>
      </c>
      <c r="B330" s="63" t="str">
        <f ca="1">ПОЛУЧШИФР(Ресурсы!A44,1)</f>
        <v>Х40-0001-Ф</v>
      </c>
      <c r="C330" s="62" t="str">
        <f>Ресурсы!B44</f>
        <v>Автомобили бортовые грузоподъемностью до 5 т</v>
      </c>
      <c r="D330" s="30" t="s">
        <v>94</v>
      </c>
      <c r="E330" s="61"/>
      <c r="F330" s="61"/>
      <c r="G330" s="31"/>
      <c r="H330" s="32"/>
      <c r="I330" s="31"/>
      <c r="J330" s="32"/>
      <c r="K330" s="33"/>
      <c r="L330" s="1" t="s">
        <v>89</v>
      </c>
      <c r="M330" s="1" t="s">
        <v>98</v>
      </c>
    </row>
    <row r="331" spans="1:15" ht="21" x14ac:dyDescent="0.15">
      <c r="A331" s="62"/>
      <c r="B331" s="63"/>
      <c r="C331" s="62"/>
      <c r="D331" s="1">
        <f>Ресурсы!G44</f>
        <v>1</v>
      </c>
      <c r="E331" s="61"/>
      <c r="F331" s="61"/>
      <c r="G331" s="16"/>
      <c r="H331" s="17"/>
      <c r="I331" s="16"/>
      <c r="J331" s="17"/>
      <c r="K331" s="18"/>
      <c r="N331" s="1" t="s">
        <v>99</v>
      </c>
      <c r="O331" s="1" t="s">
        <v>100</v>
      </c>
    </row>
    <row r="332" spans="1:15" hidden="1" x14ac:dyDescent="0.15">
      <c r="C332" s="19" t="s">
        <v>40</v>
      </c>
    </row>
    <row r="333" spans="1:15" hidden="1" x14ac:dyDescent="0.15">
      <c r="C333" s="19" t="s">
        <v>41</v>
      </c>
    </row>
    <row r="334" spans="1:15" hidden="1" x14ac:dyDescent="0.15">
      <c r="C334" s="19" t="s">
        <v>42</v>
      </c>
    </row>
    <row r="335" spans="1:15" hidden="1" x14ac:dyDescent="0.15">
      <c r="C335" s="19" t="s">
        <v>43</v>
      </c>
    </row>
    <row r="336" spans="1:15" ht="21" hidden="1" x14ac:dyDescent="0.15">
      <c r="C336" s="19" t="s">
        <v>44</v>
      </c>
    </row>
    <row r="337" spans="1:15" ht="21" hidden="1" x14ac:dyDescent="0.15">
      <c r="C337" s="19" t="s">
        <v>45</v>
      </c>
      <c r="G337" s="20"/>
      <c r="I337" s="20"/>
      <c r="L337" s="1" t="s">
        <v>46</v>
      </c>
    </row>
    <row r="338" spans="1:15" hidden="1" x14ac:dyDescent="0.15">
      <c r="C338" s="19" t="s">
        <v>47</v>
      </c>
    </row>
    <row r="339" spans="1:15" ht="21" hidden="1" x14ac:dyDescent="0.15">
      <c r="C339" s="19" t="s">
        <v>48</v>
      </c>
    </row>
    <row r="340" spans="1:15" ht="21" hidden="1" x14ac:dyDescent="0.15">
      <c r="C340" s="19" t="s">
        <v>49</v>
      </c>
    </row>
    <row r="341" spans="1:15" x14ac:dyDescent="0.15">
      <c r="C341" s="19" t="s">
        <v>50</v>
      </c>
      <c r="H341" s="21"/>
      <c r="J341" s="21"/>
      <c r="M341" s="14" t="s">
        <v>51</v>
      </c>
    </row>
    <row r="342" spans="1:15" hidden="1" x14ac:dyDescent="0.15">
      <c r="C342" s="19" t="s">
        <v>52</v>
      </c>
      <c r="H342" s="21"/>
      <c r="J342" s="21"/>
      <c r="M342" s="14" t="s">
        <v>53</v>
      </c>
    </row>
    <row r="343" spans="1:15" hidden="1" x14ac:dyDescent="0.15">
      <c r="C343" s="19" t="s">
        <v>54</v>
      </c>
      <c r="H343" s="21"/>
      <c r="J343" s="21"/>
      <c r="M343" s="14" t="s">
        <v>55</v>
      </c>
    </row>
    <row r="344" spans="1:15" ht="21" x14ac:dyDescent="0.15">
      <c r="C344" s="19" t="s">
        <v>56</v>
      </c>
      <c r="H344" s="21"/>
      <c r="J344" s="21"/>
      <c r="M344" s="14" t="s">
        <v>57</v>
      </c>
    </row>
    <row r="345" spans="1:15" hidden="1" x14ac:dyDescent="0.15">
      <c r="C345" s="19" t="s">
        <v>58</v>
      </c>
      <c r="H345" s="21"/>
      <c r="J345" s="21"/>
      <c r="M345" s="14" t="s">
        <v>59</v>
      </c>
    </row>
    <row r="346" spans="1:15" hidden="1" x14ac:dyDescent="0.15">
      <c r="C346" s="19" t="s">
        <v>60</v>
      </c>
      <c r="H346" s="21"/>
      <c r="J346" s="21"/>
      <c r="M346" s="14" t="s">
        <v>61</v>
      </c>
    </row>
    <row r="347" spans="1:15" x14ac:dyDescent="0.15">
      <c r="C347" s="19" t="s">
        <v>101</v>
      </c>
      <c r="H347" s="21"/>
      <c r="J347" s="21"/>
    </row>
    <row r="348" spans="1:15" ht="31.5" x14ac:dyDescent="0.15">
      <c r="A348" s="22" t="s">
        <v>163</v>
      </c>
      <c r="B348" s="22" t="s">
        <v>164</v>
      </c>
      <c r="C348" s="22" t="s">
        <v>165</v>
      </c>
      <c r="D348" s="23" t="s">
        <v>166</v>
      </c>
      <c r="E348" s="24"/>
      <c r="F348" s="25"/>
      <c r="G348" s="26"/>
      <c r="H348" s="27"/>
      <c r="I348" s="26"/>
      <c r="J348" s="27"/>
      <c r="K348" s="28"/>
      <c r="L348" s="1" t="s">
        <v>34</v>
      </c>
    </row>
    <row r="349" spans="1:15" ht="21" x14ac:dyDescent="0.15">
      <c r="A349" s="14" t="s">
        <v>167</v>
      </c>
      <c r="B349" s="29" t="str">
        <f ca="1">ПОЛУЧШИФР(Ресурсы!A9,1)</f>
        <v>З000-1004-7Ф</v>
      </c>
      <c r="C349" s="14" t="str">
        <f>Ресурсы!B9</f>
        <v>Рабочие-строители (средний разряд 4.7)</v>
      </c>
      <c r="D349" s="15" t="s">
        <v>82</v>
      </c>
      <c r="G349" s="16"/>
      <c r="H349" s="17"/>
      <c r="I349" s="16"/>
      <c r="J349" s="17"/>
      <c r="K349" s="18"/>
      <c r="L349" s="1" t="s">
        <v>89</v>
      </c>
      <c r="M349" s="1" t="s">
        <v>90</v>
      </c>
    </row>
    <row r="350" spans="1:15" x14ac:dyDescent="0.15">
      <c r="A350" s="14" t="s">
        <v>168</v>
      </c>
      <c r="B350" s="14" t="s">
        <v>36</v>
      </c>
      <c r="C350" s="14" t="s">
        <v>37</v>
      </c>
      <c r="D350" s="15" t="s">
        <v>82</v>
      </c>
      <c r="G350" s="16"/>
      <c r="H350" s="17"/>
      <c r="I350" s="16"/>
      <c r="J350" s="17"/>
      <c r="K350" s="18"/>
      <c r="M350" s="1" t="s">
        <v>39</v>
      </c>
    </row>
    <row r="351" spans="1:15" x14ac:dyDescent="0.15">
      <c r="A351" s="62" t="s">
        <v>169</v>
      </c>
      <c r="B351" s="63" t="str">
        <f ca="1">ПОЛУЧШИФР(Ресурсы!A28,1)</f>
        <v>Х02-0120-Ф</v>
      </c>
      <c r="C351" s="62" t="str">
        <f>Ресурсы!B28</f>
        <v>Краны башенные при работе на гидроэнергетическом строительстве 16-50 т</v>
      </c>
      <c r="D351" s="30" t="s">
        <v>94</v>
      </c>
      <c r="E351" s="61"/>
      <c r="F351" s="61"/>
      <c r="G351" s="31"/>
      <c r="H351" s="32"/>
      <c r="I351" s="31"/>
      <c r="J351" s="32"/>
      <c r="K351" s="33"/>
      <c r="L351" s="1" t="s">
        <v>89</v>
      </c>
      <c r="M351" s="1" t="s">
        <v>98</v>
      </c>
    </row>
    <row r="352" spans="1:15" ht="21" x14ac:dyDescent="0.15">
      <c r="A352" s="62"/>
      <c r="B352" s="63"/>
      <c r="C352" s="62"/>
      <c r="D352" s="1">
        <f>Ресурсы!G28</f>
        <v>1</v>
      </c>
      <c r="E352" s="61"/>
      <c r="F352" s="61"/>
      <c r="G352" s="16"/>
      <c r="H352" s="17"/>
      <c r="I352" s="16"/>
      <c r="J352" s="17"/>
      <c r="K352" s="18"/>
      <c r="N352" s="1" t="s">
        <v>99</v>
      </c>
      <c r="O352" s="1" t="s">
        <v>100</v>
      </c>
    </row>
    <row r="353" spans="1:13" x14ac:dyDescent="0.15">
      <c r="A353" s="14" t="s">
        <v>170</v>
      </c>
      <c r="B353" s="29" t="str">
        <f ca="1">ПОЛУЧШИФР(Ресурсы!A27,1)</f>
        <v>С411-0041-Ф</v>
      </c>
      <c r="C353" s="14" t="str">
        <f>Ресурсы!B27</f>
        <v>Электроэнергия</v>
      </c>
      <c r="D353" s="15" t="s">
        <v>171</v>
      </c>
      <c r="G353" s="16"/>
      <c r="H353" s="17"/>
      <c r="I353" s="16"/>
      <c r="J353" s="17"/>
      <c r="K353" s="18"/>
      <c r="L353" s="1" t="s">
        <v>89</v>
      </c>
      <c r="M353" s="1" t="s">
        <v>135</v>
      </c>
    </row>
    <row r="354" spans="1:13" hidden="1" x14ac:dyDescent="0.15">
      <c r="C354" s="19" t="s">
        <v>40</v>
      </c>
    </row>
    <row r="355" spans="1:13" hidden="1" x14ac:dyDescent="0.15">
      <c r="C355" s="19" t="s">
        <v>41</v>
      </c>
    </row>
    <row r="356" spans="1:13" hidden="1" x14ac:dyDescent="0.15">
      <c r="C356" s="19" t="s">
        <v>42</v>
      </c>
    </row>
    <row r="357" spans="1:13" hidden="1" x14ac:dyDescent="0.15">
      <c r="C357" s="19" t="s">
        <v>43</v>
      </c>
    </row>
    <row r="358" spans="1:13" ht="21" hidden="1" x14ac:dyDescent="0.15">
      <c r="C358" s="19" t="s">
        <v>44</v>
      </c>
    </row>
    <row r="359" spans="1:13" ht="21" hidden="1" x14ac:dyDescent="0.15">
      <c r="C359" s="19" t="s">
        <v>45</v>
      </c>
      <c r="G359" s="20"/>
      <c r="I359" s="20"/>
      <c r="L359" s="1" t="s">
        <v>46</v>
      </c>
    </row>
    <row r="360" spans="1:13" hidden="1" x14ac:dyDescent="0.15">
      <c r="C360" s="19" t="s">
        <v>47</v>
      </c>
    </row>
    <row r="361" spans="1:13" ht="21" hidden="1" x14ac:dyDescent="0.15">
      <c r="C361" s="19" t="s">
        <v>48</v>
      </c>
    </row>
    <row r="362" spans="1:13" ht="21" hidden="1" x14ac:dyDescent="0.15">
      <c r="C362" s="19" t="s">
        <v>49</v>
      </c>
    </row>
    <row r="363" spans="1:13" x14ac:dyDescent="0.15">
      <c r="C363" s="19" t="s">
        <v>50</v>
      </c>
      <c r="H363" s="21"/>
      <c r="J363" s="21"/>
      <c r="M363" s="14" t="s">
        <v>51</v>
      </c>
    </row>
    <row r="364" spans="1:13" hidden="1" x14ac:dyDescent="0.15">
      <c r="C364" s="19" t="s">
        <v>52</v>
      </c>
      <c r="H364" s="21"/>
      <c r="J364" s="21"/>
      <c r="M364" s="14" t="s">
        <v>53</v>
      </c>
    </row>
    <row r="365" spans="1:13" hidden="1" x14ac:dyDescent="0.15">
      <c r="C365" s="19" t="s">
        <v>54</v>
      </c>
      <c r="H365" s="21"/>
      <c r="J365" s="21"/>
      <c r="M365" s="14" t="s">
        <v>55</v>
      </c>
    </row>
    <row r="366" spans="1:13" ht="21" x14ac:dyDescent="0.15">
      <c r="C366" s="19" t="s">
        <v>56</v>
      </c>
      <c r="H366" s="21"/>
      <c r="J366" s="21"/>
      <c r="M366" s="14" t="s">
        <v>57</v>
      </c>
    </row>
    <row r="367" spans="1:13" hidden="1" x14ac:dyDescent="0.15">
      <c r="C367" s="19" t="s">
        <v>58</v>
      </c>
      <c r="H367" s="21"/>
      <c r="J367" s="21"/>
      <c r="M367" s="14" t="s">
        <v>59</v>
      </c>
    </row>
    <row r="368" spans="1:13" hidden="1" x14ac:dyDescent="0.15">
      <c r="C368" s="19" t="s">
        <v>60</v>
      </c>
      <c r="H368" s="21"/>
      <c r="J368" s="21"/>
      <c r="M368" s="14" t="s">
        <v>61</v>
      </c>
    </row>
    <row r="369" spans="1:15" x14ac:dyDescent="0.15">
      <c r="C369" s="19" t="s">
        <v>101</v>
      </c>
      <c r="H369" s="21"/>
      <c r="J369" s="21"/>
    </row>
    <row r="370" spans="1:15" ht="52.5" x14ac:dyDescent="0.15">
      <c r="A370" s="22" t="s">
        <v>172</v>
      </c>
      <c r="B370" s="22" t="s">
        <v>173</v>
      </c>
      <c r="C370" s="22" t="s">
        <v>174</v>
      </c>
      <c r="D370" s="23" t="s">
        <v>175</v>
      </c>
      <c r="E370" s="24"/>
      <c r="F370" s="25"/>
      <c r="G370" s="26"/>
      <c r="H370" s="27"/>
      <c r="I370" s="26"/>
      <c r="J370" s="27"/>
      <c r="K370" s="28"/>
      <c r="L370" s="1" t="s">
        <v>34</v>
      </c>
    </row>
    <row r="371" spans="1:15" ht="21" x14ac:dyDescent="0.15">
      <c r="A371" s="14" t="s">
        <v>176</v>
      </c>
      <c r="B371" s="29" t="str">
        <f ca="1">ПОЛУЧШИФР(Ресурсы!A6,1)</f>
        <v>З000-1003-2Ф</v>
      </c>
      <c r="C371" s="14" t="str">
        <f>Ресурсы!B6</f>
        <v>Рабочие-строители (средний разряд 3.2)</v>
      </c>
      <c r="D371" s="15" t="s">
        <v>82</v>
      </c>
      <c r="G371" s="16"/>
      <c r="H371" s="17"/>
      <c r="I371" s="16"/>
      <c r="J371" s="17"/>
      <c r="K371" s="18"/>
      <c r="L371" s="1" t="s">
        <v>89</v>
      </c>
      <c r="M371" s="1" t="s">
        <v>90</v>
      </c>
    </row>
    <row r="372" spans="1:15" x14ac:dyDescent="0.15">
      <c r="A372" s="14" t="s">
        <v>177</v>
      </c>
      <c r="B372" s="14" t="s">
        <v>36</v>
      </c>
      <c r="C372" s="14" t="s">
        <v>37</v>
      </c>
      <c r="D372" s="15" t="s">
        <v>82</v>
      </c>
      <c r="G372" s="16"/>
      <c r="H372" s="17"/>
      <c r="I372" s="16"/>
      <c r="J372" s="17"/>
      <c r="K372" s="18"/>
      <c r="M372" s="1" t="s">
        <v>39</v>
      </c>
    </row>
    <row r="373" spans="1:15" x14ac:dyDescent="0.15">
      <c r="A373" s="62" t="s">
        <v>178</v>
      </c>
      <c r="B373" s="63" t="str">
        <f ca="1">ПОЛУЧШИФР(Ресурсы!A29,1)</f>
        <v>Х02-1102-Ф</v>
      </c>
      <c r="C373" s="62" t="str">
        <f>Ресурсы!B29</f>
        <v>Краны на автомобильном ходу при работе на монтаже технологического оборудования 10 т</v>
      </c>
      <c r="D373" s="30" t="s">
        <v>94</v>
      </c>
      <c r="E373" s="61"/>
      <c r="F373" s="61"/>
      <c r="G373" s="31"/>
      <c r="H373" s="32"/>
      <c r="I373" s="31"/>
      <c r="J373" s="32"/>
      <c r="K373" s="33"/>
      <c r="L373" s="1" t="s">
        <v>89</v>
      </c>
      <c r="M373" s="1" t="s">
        <v>98</v>
      </c>
    </row>
    <row r="374" spans="1:15" ht="21" x14ac:dyDescent="0.15">
      <c r="A374" s="62"/>
      <c r="B374" s="63"/>
      <c r="C374" s="62"/>
      <c r="D374" s="1">
        <f>Ресурсы!G29</f>
        <v>1</v>
      </c>
      <c r="E374" s="61"/>
      <c r="F374" s="61"/>
      <c r="G374" s="16"/>
      <c r="H374" s="17"/>
      <c r="I374" s="16"/>
      <c r="J374" s="17"/>
      <c r="K374" s="18"/>
      <c r="N374" s="1" t="s">
        <v>99</v>
      </c>
      <c r="O374" s="1" t="s">
        <v>100</v>
      </c>
    </row>
    <row r="375" spans="1:15" ht="21" x14ac:dyDescent="0.15">
      <c r="A375" s="14" t="s">
        <v>179</v>
      </c>
      <c r="B375" s="29" t="str">
        <f ca="1">ПОЛУЧШИФР(Ресурсы!A35,1)</f>
        <v>Х04-0502-Ф</v>
      </c>
      <c r="C375" s="14" t="str">
        <f>Ресурсы!B35</f>
        <v>Установки для сварки ручной дуговой (постоянного тока)</v>
      </c>
      <c r="D375" s="15" t="s">
        <v>94</v>
      </c>
      <c r="G375" s="16"/>
      <c r="H375" s="17"/>
      <c r="I375" s="16"/>
      <c r="J375" s="17"/>
      <c r="K375" s="18"/>
      <c r="L375" s="1" t="s">
        <v>89</v>
      </c>
      <c r="M375" s="1" t="s">
        <v>98</v>
      </c>
    </row>
    <row r="376" spans="1:15" x14ac:dyDescent="0.15">
      <c r="A376" s="62" t="s">
        <v>180</v>
      </c>
      <c r="B376" s="63" t="str">
        <f ca="1">ПОЛУЧШИФР(Ресурсы!A36,1)</f>
        <v>Х06-0337-Ф</v>
      </c>
      <c r="C376" s="62" t="str">
        <f>Ресурсы!B36</f>
        <v>Экскаваторы одноковшовые дизельные на пневмоколесном ходу при работе на других видах строительства 0,25 м3</v>
      </c>
      <c r="D376" s="30" t="s">
        <v>94</v>
      </c>
      <c r="E376" s="61"/>
      <c r="F376" s="61"/>
      <c r="G376" s="31"/>
      <c r="H376" s="32"/>
      <c r="I376" s="31"/>
      <c r="J376" s="32"/>
      <c r="K376" s="33"/>
      <c r="L376" s="1" t="s">
        <v>89</v>
      </c>
      <c r="M376" s="1" t="s">
        <v>98</v>
      </c>
    </row>
    <row r="377" spans="1:15" ht="21" x14ac:dyDescent="0.15">
      <c r="A377" s="62"/>
      <c r="B377" s="63"/>
      <c r="C377" s="62"/>
      <c r="D377" s="1">
        <f>Ресурсы!G36</f>
        <v>1</v>
      </c>
      <c r="E377" s="61"/>
      <c r="F377" s="61"/>
      <c r="G377" s="16"/>
      <c r="H377" s="17"/>
      <c r="I377" s="16"/>
      <c r="J377" s="17"/>
      <c r="K377" s="18"/>
      <c r="N377" s="1" t="s">
        <v>99</v>
      </c>
      <c r="O377" s="1" t="s">
        <v>100</v>
      </c>
    </row>
    <row r="378" spans="1:15" x14ac:dyDescent="0.15">
      <c r="A378" s="62" t="s">
        <v>181</v>
      </c>
      <c r="B378" s="63" t="str">
        <f ca="1">ПОЛУЧШИФР(Ресурсы!A42,1)</f>
        <v>Х16-0402-Ф</v>
      </c>
      <c r="C378" s="62" t="str">
        <f>Ресурсы!B42</f>
        <v>Машины бурильно-крановые на автомобиле глубиной бурения 3,5 м</v>
      </c>
      <c r="D378" s="30" t="s">
        <v>94</v>
      </c>
      <c r="E378" s="61"/>
      <c r="F378" s="61"/>
      <c r="G378" s="31"/>
      <c r="H378" s="32"/>
      <c r="I378" s="31"/>
      <c r="J378" s="32"/>
      <c r="K378" s="33"/>
      <c r="L378" s="1" t="s">
        <v>89</v>
      </c>
      <c r="M378" s="1" t="s">
        <v>98</v>
      </c>
    </row>
    <row r="379" spans="1:15" ht="21" x14ac:dyDescent="0.15">
      <c r="A379" s="62"/>
      <c r="B379" s="63"/>
      <c r="C379" s="62"/>
      <c r="D379" s="1">
        <f>Ресурсы!G42</f>
        <v>1</v>
      </c>
      <c r="E379" s="61"/>
      <c r="F379" s="61"/>
      <c r="G379" s="16"/>
      <c r="H379" s="17"/>
      <c r="I379" s="16"/>
      <c r="J379" s="17"/>
      <c r="K379" s="18"/>
      <c r="N379" s="1" t="s">
        <v>99</v>
      </c>
      <c r="O379" s="1" t="s">
        <v>100</v>
      </c>
    </row>
    <row r="380" spans="1:15" x14ac:dyDescent="0.15">
      <c r="A380" s="62" t="s">
        <v>182</v>
      </c>
      <c r="B380" s="63" t="str">
        <f ca="1">ПОЛУЧШИФР(Ресурсы!A45,1)</f>
        <v>Х40-0002-Ф</v>
      </c>
      <c r="C380" s="62" t="str">
        <f>Ресурсы!B45</f>
        <v>Автомобили бортовые грузоподъемностью до 8 т</v>
      </c>
      <c r="D380" s="30" t="s">
        <v>94</v>
      </c>
      <c r="E380" s="61"/>
      <c r="F380" s="61"/>
      <c r="G380" s="31"/>
      <c r="H380" s="32"/>
      <c r="I380" s="31"/>
      <c r="J380" s="32"/>
      <c r="K380" s="33"/>
      <c r="L380" s="1" t="s">
        <v>89</v>
      </c>
      <c r="M380" s="1" t="s">
        <v>98</v>
      </c>
    </row>
    <row r="381" spans="1:15" ht="21" x14ac:dyDescent="0.15">
      <c r="A381" s="62"/>
      <c r="B381" s="63"/>
      <c r="C381" s="62"/>
      <c r="D381" s="1">
        <f>Ресурсы!G45</f>
        <v>1</v>
      </c>
      <c r="E381" s="61"/>
      <c r="F381" s="61"/>
      <c r="G381" s="16"/>
      <c r="H381" s="17"/>
      <c r="I381" s="16"/>
      <c r="J381" s="17"/>
      <c r="K381" s="18"/>
      <c r="N381" s="1" t="s">
        <v>99</v>
      </c>
      <c r="O381" s="1" t="s">
        <v>100</v>
      </c>
    </row>
    <row r="382" spans="1:15" ht="31.5" x14ac:dyDescent="0.15">
      <c r="A382" s="14" t="s">
        <v>183</v>
      </c>
      <c r="B382" s="29" t="str">
        <f ca="1">ПОЛУЧШИФР(Ресурсы!A11,1)</f>
        <v>С101-1627-Ф</v>
      </c>
      <c r="C382" s="14" t="str">
        <f>Ресурсы!B11</f>
        <v>Сталь углеродистая обыкновенного качества, марка стали ВСт3пс5, листовая толщиной 4-6 мм</v>
      </c>
      <c r="D382" s="15" t="s">
        <v>105</v>
      </c>
      <c r="G382" s="16"/>
      <c r="H382" s="17"/>
      <c r="I382" s="16"/>
      <c r="J382" s="17"/>
      <c r="K382" s="18"/>
      <c r="L382" s="1" t="s">
        <v>89</v>
      </c>
      <c r="M382" s="1" t="s">
        <v>135</v>
      </c>
    </row>
    <row r="383" spans="1:15" ht="21" x14ac:dyDescent="0.15">
      <c r="A383" s="14" t="s">
        <v>184</v>
      </c>
      <c r="B383" s="29" t="str">
        <f ca="1">ПОЛУЧШИФР(Ресурсы!A12,1)</f>
        <v>С101-1638-Ф</v>
      </c>
      <c r="C383" s="14" t="str">
        <f>Ресурсы!B12</f>
        <v>Сталь полосовая, марка стали ВСт3кп, размером 5х40 мм</v>
      </c>
      <c r="D383" s="15" t="s">
        <v>105</v>
      </c>
      <c r="G383" s="16"/>
      <c r="H383" s="17"/>
      <c r="I383" s="16"/>
      <c r="J383" s="17"/>
      <c r="K383" s="18"/>
      <c r="L383" s="1" t="s">
        <v>89</v>
      </c>
      <c r="M383" s="1" t="s">
        <v>135</v>
      </c>
    </row>
    <row r="384" spans="1:15" ht="31.5" x14ac:dyDescent="0.15">
      <c r="A384" s="14" t="s">
        <v>185</v>
      </c>
      <c r="B384" s="29" t="str">
        <f ca="1">ПОЛУЧШИФР(Ресурсы!A13,1)</f>
        <v>С101-1642-Ф</v>
      </c>
      <c r="C384" s="14" t="str">
        <f>Ресурсы!B13</f>
        <v>Сталь угловая, равнополочная, марка стали ВСт3кп2 размером 100х100х10 мм</v>
      </c>
      <c r="D384" s="15" t="s">
        <v>105</v>
      </c>
      <c r="G384" s="16"/>
      <c r="H384" s="17"/>
      <c r="I384" s="16"/>
      <c r="J384" s="17"/>
      <c r="K384" s="18"/>
      <c r="L384" s="1" t="s">
        <v>89</v>
      </c>
      <c r="M384" s="1" t="s">
        <v>135</v>
      </c>
    </row>
    <row r="385" spans="1:13" x14ac:dyDescent="0.15">
      <c r="A385" s="14" t="s">
        <v>186</v>
      </c>
      <c r="B385" s="29" t="str">
        <f ca="1">ПОЛУЧШИФР(Ресурсы!A14,1)</f>
        <v>С101-1786-Ф</v>
      </c>
      <c r="C385" s="14" t="str">
        <f>Ресурсы!B14</f>
        <v>Лак битумный БТ-123</v>
      </c>
      <c r="D385" s="15" t="s">
        <v>105</v>
      </c>
      <c r="G385" s="16"/>
      <c r="H385" s="17"/>
      <c r="I385" s="16"/>
      <c r="J385" s="17"/>
      <c r="K385" s="18"/>
      <c r="L385" s="1" t="s">
        <v>89</v>
      </c>
      <c r="M385" s="1" t="s">
        <v>135</v>
      </c>
    </row>
    <row r="386" spans="1:13" x14ac:dyDescent="0.15">
      <c r="A386" s="14" t="s">
        <v>187</v>
      </c>
      <c r="B386" s="29" t="str">
        <f ca="1">ПОЛУЧШИФР(Ресурсы!A15,1)</f>
        <v>С101-1924-Ф</v>
      </c>
      <c r="C386" s="14" t="str">
        <f>Ресурсы!B15</f>
        <v>Электроды диаметром 4 мм Э42А</v>
      </c>
      <c r="D386" s="15" t="s">
        <v>188</v>
      </c>
      <c r="G386" s="16"/>
      <c r="H386" s="17"/>
      <c r="I386" s="16"/>
      <c r="J386" s="17"/>
      <c r="K386" s="18"/>
      <c r="L386" s="1" t="s">
        <v>89</v>
      </c>
      <c r="M386" s="1" t="s">
        <v>135</v>
      </c>
    </row>
    <row r="387" spans="1:13" hidden="1" x14ac:dyDescent="0.15">
      <c r="C387" s="19" t="s">
        <v>40</v>
      </c>
    </row>
    <row r="388" spans="1:13" hidden="1" x14ac:dyDescent="0.15">
      <c r="C388" s="19" t="s">
        <v>41</v>
      </c>
    </row>
    <row r="389" spans="1:13" hidden="1" x14ac:dyDescent="0.15">
      <c r="C389" s="19" t="s">
        <v>42</v>
      </c>
    </row>
    <row r="390" spans="1:13" hidden="1" x14ac:dyDescent="0.15">
      <c r="C390" s="19" t="s">
        <v>43</v>
      </c>
    </row>
    <row r="391" spans="1:13" ht="21" hidden="1" x14ac:dyDescent="0.15">
      <c r="C391" s="19" t="s">
        <v>44</v>
      </c>
    </row>
    <row r="392" spans="1:13" ht="21" hidden="1" x14ac:dyDescent="0.15">
      <c r="C392" s="19" t="s">
        <v>45</v>
      </c>
      <c r="G392" s="20"/>
      <c r="I392" s="20"/>
      <c r="L392" s="1" t="s">
        <v>46</v>
      </c>
    </row>
    <row r="393" spans="1:13" hidden="1" x14ac:dyDescent="0.15">
      <c r="C393" s="19" t="s">
        <v>47</v>
      </c>
    </row>
    <row r="394" spans="1:13" ht="21" hidden="1" x14ac:dyDescent="0.15">
      <c r="C394" s="19" t="s">
        <v>48</v>
      </c>
    </row>
    <row r="395" spans="1:13" ht="21" hidden="1" x14ac:dyDescent="0.15">
      <c r="C395" s="19" t="s">
        <v>49</v>
      </c>
    </row>
    <row r="396" spans="1:13" x14ac:dyDescent="0.15">
      <c r="C396" s="19" t="s">
        <v>50</v>
      </c>
      <c r="H396" s="21"/>
      <c r="J396" s="21"/>
      <c r="M396" s="14" t="s">
        <v>51</v>
      </c>
    </row>
    <row r="397" spans="1:13" hidden="1" x14ac:dyDescent="0.15">
      <c r="C397" s="19" t="s">
        <v>52</v>
      </c>
      <c r="H397" s="21"/>
      <c r="J397" s="21"/>
      <c r="M397" s="14" t="s">
        <v>53</v>
      </c>
    </row>
    <row r="398" spans="1:13" hidden="1" x14ac:dyDescent="0.15">
      <c r="C398" s="19" t="s">
        <v>54</v>
      </c>
      <c r="H398" s="21"/>
      <c r="J398" s="21"/>
      <c r="M398" s="14" t="s">
        <v>55</v>
      </c>
    </row>
    <row r="399" spans="1:13" ht="21" x14ac:dyDescent="0.15">
      <c r="C399" s="19" t="s">
        <v>56</v>
      </c>
      <c r="H399" s="21"/>
      <c r="J399" s="21"/>
      <c r="M399" s="14" t="s">
        <v>57</v>
      </c>
    </row>
    <row r="400" spans="1:13" hidden="1" x14ac:dyDescent="0.15">
      <c r="C400" s="19" t="s">
        <v>58</v>
      </c>
      <c r="H400" s="21"/>
      <c r="J400" s="21"/>
      <c r="M400" s="14" t="s">
        <v>59</v>
      </c>
    </row>
    <row r="401" spans="1:15" hidden="1" x14ac:dyDescent="0.15">
      <c r="C401" s="19" t="s">
        <v>60</v>
      </c>
      <c r="H401" s="21"/>
      <c r="J401" s="21"/>
      <c r="M401" s="14" t="s">
        <v>61</v>
      </c>
    </row>
    <row r="402" spans="1:15" x14ac:dyDescent="0.15">
      <c r="C402" s="19" t="s">
        <v>101</v>
      </c>
      <c r="H402" s="21"/>
      <c r="J402" s="21"/>
    </row>
    <row r="403" spans="1:15" ht="42" x14ac:dyDescent="0.15">
      <c r="A403" s="22" t="s">
        <v>189</v>
      </c>
      <c r="B403" s="22" t="s">
        <v>190</v>
      </c>
      <c r="C403" s="22" t="s">
        <v>191</v>
      </c>
      <c r="D403" s="23" t="s">
        <v>146</v>
      </c>
      <c r="E403" s="24"/>
      <c r="F403" s="25"/>
      <c r="G403" s="26"/>
      <c r="H403" s="27"/>
      <c r="I403" s="26"/>
      <c r="J403" s="27"/>
      <c r="K403" s="28"/>
      <c r="L403" s="1" t="s">
        <v>34</v>
      </c>
    </row>
    <row r="404" spans="1:15" ht="21" x14ac:dyDescent="0.15">
      <c r="A404" s="14" t="s">
        <v>192</v>
      </c>
      <c r="B404" s="29" t="str">
        <f ca="1">ПОЛУЧШИФР(Ресурсы!A8,1)</f>
        <v>З000-1003-7Ф</v>
      </c>
      <c r="C404" s="14" t="str">
        <f>Ресурсы!B8</f>
        <v>Рабочие-строители (средний разряд 3.7)</v>
      </c>
      <c r="D404" s="15" t="s">
        <v>82</v>
      </c>
      <c r="G404" s="16"/>
      <c r="H404" s="17"/>
      <c r="I404" s="16"/>
      <c r="J404" s="17"/>
      <c r="K404" s="18"/>
      <c r="L404" s="1" t="s">
        <v>89</v>
      </c>
      <c r="M404" s="1" t="s">
        <v>90</v>
      </c>
    </row>
    <row r="405" spans="1:15" x14ac:dyDescent="0.15">
      <c r="A405" s="14" t="s">
        <v>193</v>
      </c>
      <c r="B405" s="14" t="s">
        <v>36</v>
      </c>
      <c r="C405" s="14" t="s">
        <v>37</v>
      </c>
      <c r="D405" s="15" t="s">
        <v>82</v>
      </c>
      <c r="G405" s="16"/>
      <c r="H405" s="17"/>
      <c r="I405" s="16"/>
      <c r="J405" s="17"/>
      <c r="K405" s="18"/>
      <c r="M405" s="1" t="s">
        <v>39</v>
      </c>
    </row>
    <row r="406" spans="1:15" x14ac:dyDescent="0.15">
      <c r="A406" s="62" t="s">
        <v>194</v>
      </c>
      <c r="B406" s="63" t="str">
        <f ca="1">ПОЛУЧШИФР(Ресурсы!A29,1)</f>
        <v>Х02-1102-Ф</v>
      </c>
      <c r="C406" s="62" t="str">
        <f>Ресурсы!B29</f>
        <v>Краны на автомобильном ходу при работе на монтаже технологического оборудования 10 т</v>
      </c>
      <c r="D406" s="30" t="s">
        <v>94</v>
      </c>
      <c r="E406" s="61"/>
      <c r="F406" s="61"/>
      <c r="G406" s="31"/>
      <c r="H406" s="32"/>
      <c r="I406" s="31"/>
      <c r="J406" s="32"/>
      <c r="K406" s="33"/>
      <c r="L406" s="1" t="s">
        <v>89</v>
      </c>
      <c r="M406" s="1" t="s">
        <v>98</v>
      </c>
    </row>
    <row r="407" spans="1:15" ht="21" x14ac:dyDescent="0.15">
      <c r="A407" s="62"/>
      <c r="B407" s="63"/>
      <c r="C407" s="62"/>
      <c r="D407" s="1">
        <f>Ресурсы!G29</f>
        <v>1</v>
      </c>
      <c r="E407" s="61"/>
      <c r="F407" s="61"/>
      <c r="G407" s="16"/>
      <c r="H407" s="17"/>
      <c r="I407" s="16"/>
      <c r="J407" s="17"/>
      <c r="K407" s="18"/>
      <c r="N407" s="1" t="s">
        <v>99</v>
      </c>
      <c r="O407" s="1" t="s">
        <v>100</v>
      </c>
    </row>
    <row r="408" spans="1:15" ht="21" x14ac:dyDescent="0.15">
      <c r="A408" s="14" t="s">
        <v>195</v>
      </c>
      <c r="B408" s="29" t="str">
        <f ca="1">ПОЛУЧШИФР(Ресурсы!A35,1)</f>
        <v>Х04-0502-Ф</v>
      </c>
      <c r="C408" s="14" t="str">
        <f>Ресурсы!B35</f>
        <v>Установки для сварки ручной дуговой (постоянного тока)</v>
      </c>
      <c r="D408" s="15" t="s">
        <v>94</v>
      </c>
      <c r="G408" s="16"/>
      <c r="H408" s="17"/>
      <c r="I408" s="16"/>
      <c r="J408" s="17"/>
      <c r="K408" s="18"/>
      <c r="L408" s="1" t="s">
        <v>89</v>
      </c>
      <c r="M408" s="1" t="s">
        <v>98</v>
      </c>
    </row>
    <row r="409" spans="1:15" x14ac:dyDescent="0.15">
      <c r="A409" s="62" t="s">
        <v>196</v>
      </c>
      <c r="B409" s="63" t="str">
        <f ca="1">ПОЛУЧШИФР(Ресурсы!A45,1)</f>
        <v>Х40-0002-Ф</v>
      </c>
      <c r="C409" s="62" t="str">
        <f>Ресурсы!B45</f>
        <v>Автомобили бортовые грузоподъемностью до 8 т</v>
      </c>
      <c r="D409" s="30" t="s">
        <v>94</v>
      </c>
      <c r="E409" s="61"/>
      <c r="F409" s="61"/>
      <c r="G409" s="31"/>
      <c r="H409" s="32"/>
      <c r="I409" s="31"/>
      <c r="J409" s="32"/>
      <c r="K409" s="33"/>
      <c r="L409" s="1" t="s">
        <v>89</v>
      </c>
      <c r="M409" s="1" t="s">
        <v>98</v>
      </c>
    </row>
    <row r="410" spans="1:15" ht="21" x14ac:dyDescent="0.15">
      <c r="A410" s="62"/>
      <c r="B410" s="63"/>
      <c r="C410" s="62"/>
      <c r="D410" s="1">
        <f>Ресурсы!G45</f>
        <v>1</v>
      </c>
      <c r="E410" s="61"/>
      <c r="F410" s="61"/>
      <c r="G410" s="16"/>
      <c r="H410" s="17"/>
      <c r="I410" s="16"/>
      <c r="J410" s="17"/>
      <c r="K410" s="18"/>
      <c r="N410" s="1" t="s">
        <v>99</v>
      </c>
      <c r="O410" s="1" t="s">
        <v>100</v>
      </c>
    </row>
    <row r="411" spans="1:15" ht="31.5" x14ac:dyDescent="0.15">
      <c r="A411" s="14" t="s">
        <v>197</v>
      </c>
      <c r="B411" s="14" t="s">
        <v>198</v>
      </c>
      <c r="C411" s="14" t="s">
        <v>199</v>
      </c>
      <c r="D411" s="15" t="s">
        <v>105</v>
      </c>
      <c r="G411" s="16"/>
      <c r="H411" s="17"/>
      <c r="I411" s="16"/>
      <c r="J411" s="17"/>
      <c r="K411" s="18"/>
      <c r="L411" s="1" t="s">
        <v>89</v>
      </c>
      <c r="M411" s="1" t="s">
        <v>135</v>
      </c>
    </row>
    <row r="412" spans="1:15" x14ac:dyDescent="0.15">
      <c r="A412" s="14" t="s">
        <v>200</v>
      </c>
      <c r="B412" s="29" t="str">
        <f ca="1">ПОЛУЧШИФР(Ресурсы!A15,1)</f>
        <v>С101-1924-Ф</v>
      </c>
      <c r="C412" s="14" t="str">
        <f>Ресурсы!B15</f>
        <v>Электроды диаметром 4 мм Э42А</v>
      </c>
      <c r="D412" s="15" t="s">
        <v>188</v>
      </c>
      <c r="G412" s="16"/>
      <c r="H412" s="17"/>
      <c r="I412" s="16"/>
      <c r="J412" s="17"/>
      <c r="K412" s="18"/>
      <c r="L412" s="1" t="s">
        <v>89</v>
      </c>
      <c r="M412" s="1" t="s">
        <v>135</v>
      </c>
    </row>
    <row r="413" spans="1:15" ht="21" x14ac:dyDescent="0.15">
      <c r="A413" s="14" t="s">
        <v>201</v>
      </c>
      <c r="B413" s="29" t="str">
        <f ca="1">ПОЛУЧШИФР(Ресурсы!A16,1)</f>
        <v>С101-1977-Ф</v>
      </c>
      <c r="C413" s="14" t="str">
        <f>Ресурсы!B16</f>
        <v>Болты строительные с гайками и шайбами</v>
      </c>
      <c r="D413" s="15" t="s">
        <v>188</v>
      </c>
      <c r="G413" s="16"/>
      <c r="H413" s="17"/>
      <c r="I413" s="16"/>
      <c r="J413" s="17"/>
      <c r="K413" s="18"/>
      <c r="L413" s="1" t="s">
        <v>89</v>
      </c>
      <c r="M413" s="1" t="s">
        <v>135</v>
      </c>
    </row>
    <row r="414" spans="1:15" x14ac:dyDescent="0.15">
      <c r="A414" s="14" t="s">
        <v>202</v>
      </c>
      <c r="B414" s="29" t="str">
        <f ca="1">ПОЛУЧШИФР(Ресурсы!A17,1)</f>
        <v>С101-1994-Ф</v>
      </c>
      <c r="C414" s="14" t="str">
        <f>Ресурсы!B17</f>
        <v>Краски маркировочные МКЭ-4</v>
      </c>
      <c r="D414" s="15" t="s">
        <v>188</v>
      </c>
      <c r="G414" s="16"/>
      <c r="H414" s="17"/>
      <c r="I414" s="16"/>
      <c r="J414" s="17"/>
      <c r="K414" s="18"/>
      <c r="L414" s="1" t="s">
        <v>89</v>
      </c>
      <c r="M414" s="1" t="s">
        <v>135</v>
      </c>
    </row>
    <row r="415" spans="1:15" hidden="1" x14ac:dyDescent="0.15">
      <c r="C415" s="19" t="s">
        <v>40</v>
      </c>
    </row>
    <row r="416" spans="1:15" hidden="1" x14ac:dyDescent="0.15">
      <c r="C416" s="19" t="s">
        <v>41</v>
      </c>
    </row>
    <row r="417" spans="1:13" hidden="1" x14ac:dyDescent="0.15">
      <c r="C417" s="19" t="s">
        <v>42</v>
      </c>
    </row>
    <row r="418" spans="1:13" hidden="1" x14ac:dyDescent="0.15">
      <c r="C418" s="19" t="s">
        <v>43</v>
      </c>
    </row>
    <row r="419" spans="1:13" ht="21" hidden="1" x14ac:dyDescent="0.15">
      <c r="C419" s="19" t="s">
        <v>44</v>
      </c>
    </row>
    <row r="420" spans="1:13" ht="21" hidden="1" x14ac:dyDescent="0.15">
      <c r="C420" s="19" t="s">
        <v>45</v>
      </c>
      <c r="G420" s="20"/>
      <c r="I420" s="20"/>
      <c r="L420" s="1" t="s">
        <v>46</v>
      </c>
    </row>
    <row r="421" spans="1:13" hidden="1" x14ac:dyDescent="0.15">
      <c r="C421" s="19" t="s">
        <v>47</v>
      </c>
    </row>
    <row r="422" spans="1:13" ht="21" hidden="1" x14ac:dyDescent="0.15">
      <c r="C422" s="19" t="s">
        <v>48</v>
      </c>
    </row>
    <row r="423" spans="1:13" ht="21" hidden="1" x14ac:dyDescent="0.15">
      <c r="C423" s="19" t="s">
        <v>49</v>
      </c>
    </row>
    <row r="424" spans="1:13" x14ac:dyDescent="0.15">
      <c r="C424" s="19" t="s">
        <v>50</v>
      </c>
      <c r="H424" s="21"/>
      <c r="J424" s="21"/>
      <c r="M424" s="14" t="s">
        <v>51</v>
      </c>
    </row>
    <row r="425" spans="1:13" hidden="1" x14ac:dyDescent="0.15">
      <c r="C425" s="19" t="s">
        <v>52</v>
      </c>
      <c r="H425" s="21"/>
      <c r="J425" s="21"/>
      <c r="M425" s="14" t="s">
        <v>53</v>
      </c>
    </row>
    <row r="426" spans="1:13" hidden="1" x14ac:dyDescent="0.15">
      <c r="C426" s="19" t="s">
        <v>54</v>
      </c>
      <c r="H426" s="21"/>
      <c r="J426" s="21"/>
      <c r="M426" s="14" t="s">
        <v>55</v>
      </c>
    </row>
    <row r="427" spans="1:13" ht="21" x14ac:dyDescent="0.15">
      <c r="C427" s="19" t="s">
        <v>56</v>
      </c>
      <c r="H427" s="21"/>
      <c r="J427" s="21"/>
      <c r="M427" s="14" t="s">
        <v>57</v>
      </c>
    </row>
    <row r="428" spans="1:13" hidden="1" x14ac:dyDescent="0.15">
      <c r="C428" s="19" t="s">
        <v>58</v>
      </c>
      <c r="H428" s="21"/>
      <c r="J428" s="21"/>
      <c r="M428" s="14" t="s">
        <v>59</v>
      </c>
    </row>
    <row r="429" spans="1:13" hidden="1" x14ac:dyDescent="0.15">
      <c r="C429" s="19" t="s">
        <v>60</v>
      </c>
      <c r="H429" s="21"/>
      <c r="J429" s="21"/>
      <c r="M429" s="14" t="s">
        <v>61</v>
      </c>
    </row>
    <row r="430" spans="1:13" x14ac:dyDescent="0.15">
      <c r="C430" s="19" t="s">
        <v>101</v>
      </c>
      <c r="H430" s="21"/>
      <c r="J430" s="21"/>
    </row>
    <row r="431" spans="1:13" ht="31.5" x14ac:dyDescent="0.15">
      <c r="A431" s="22" t="s">
        <v>203</v>
      </c>
      <c r="B431" s="22" t="s">
        <v>204</v>
      </c>
      <c r="C431" s="22" t="s">
        <v>199</v>
      </c>
      <c r="D431" s="23" t="s">
        <v>105</v>
      </c>
      <c r="E431" s="24"/>
      <c r="F431" s="25"/>
      <c r="G431" s="26"/>
      <c r="H431" s="27"/>
      <c r="I431" s="26"/>
      <c r="J431" s="27"/>
      <c r="K431" s="28"/>
      <c r="L431" s="1" t="s">
        <v>34</v>
      </c>
    </row>
    <row r="432" spans="1:13" hidden="1" x14ac:dyDescent="0.15">
      <c r="A432" s="14" t="s">
        <v>205</v>
      </c>
      <c r="B432" s="14" t="s">
        <v>36</v>
      </c>
      <c r="C432" s="14" t="s">
        <v>37</v>
      </c>
      <c r="D432" s="15" t="s">
        <v>38</v>
      </c>
      <c r="G432" s="16"/>
      <c r="H432" s="17"/>
      <c r="I432" s="16"/>
      <c r="J432" s="17"/>
      <c r="K432" s="18"/>
      <c r="M432" s="1" t="s">
        <v>39</v>
      </c>
    </row>
    <row r="433" spans="1:13" ht="31.5" hidden="1" x14ac:dyDescent="0.15">
      <c r="A433" s="14" t="s">
        <v>206</v>
      </c>
      <c r="B433" s="29" t="str">
        <f ca="1">ПОЛУЧШИФР(Ресурсы!A23,1)</f>
        <v>С201-9408</v>
      </c>
      <c r="C433" s="14" t="str">
        <f>Ресурсы!B23</f>
        <v>Конструкции стальные индивидуальные решетчатые сварные массой до 0,1 т</v>
      </c>
      <c r="D433" s="15" t="s">
        <v>105</v>
      </c>
      <c r="G433" s="16"/>
      <c r="H433" s="17"/>
      <c r="I433" s="16"/>
      <c r="J433" s="17"/>
      <c r="K433" s="18"/>
      <c r="L433" s="1" t="s">
        <v>89</v>
      </c>
      <c r="M433" s="1" t="s">
        <v>135</v>
      </c>
    </row>
    <row r="434" spans="1:13" hidden="1" x14ac:dyDescent="0.15">
      <c r="C434" s="19" t="s">
        <v>40</v>
      </c>
    </row>
    <row r="435" spans="1:13" hidden="1" x14ac:dyDescent="0.15">
      <c r="C435" s="19" t="s">
        <v>41</v>
      </c>
    </row>
    <row r="436" spans="1:13" hidden="1" x14ac:dyDescent="0.15">
      <c r="C436" s="19" t="s">
        <v>42</v>
      </c>
    </row>
    <row r="437" spans="1:13" hidden="1" x14ac:dyDescent="0.15">
      <c r="C437" s="19" t="s">
        <v>43</v>
      </c>
    </row>
    <row r="438" spans="1:13" ht="21" hidden="1" x14ac:dyDescent="0.15">
      <c r="C438" s="19" t="s">
        <v>44</v>
      </c>
    </row>
    <row r="439" spans="1:13" ht="21" hidden="1" x14ac:dyDescent="0.15">
      <c r="C439" s="19" t="s">
        <v>45</v>
      </c>
      <c r="G439" s="20"/>
      <c r="I439" s="20"/>
      <c r="L439" s="1" t="s">
        <v>46</v>
      </c>
    </row>
    <row r="440" spans="1:13" hidden="1" x14ac:dyDescent="0.15">
      <c r="C440" s="19" t="s">
        <v>47</v>
      </c>
    </row>
    <row r="441" spans="1:13" ht="21" hidden="1" x14ac:dyDescent="0.15">
      <c r="C441" s="19" t="s">
        <v>48</v>
      </c>
    </row>
    <row r="442" spans="1:13" ht="21" hidden="1" x14ac:dyDescent="0.15">
      <c r="C442" s="19" t="s">
        <v>49</v>
      </c>
    </row>
    <row r="443" spans="1:13" hidden="1" x14ac:dyDescent="0.15">
      <c r="C443" s="19" t="s">
        <v>50</v>
      </c>
      <c r="H443" s="21"/>
      <c r="J443" s="21"/>
      <c r="M443" s="14" t="s">
        <v>51</v>
      </c>
    </row>
    <row r="444" spans="1:13" hidden="1" x14ac:dyDescent="0.15">
      <c r="C444" s="19" t="s">
        <v>52</v>
      </c>
      <c r="H444" s="21"/>
      <c r="J444" s="21"/>
      <c r="M444" s="14" t="s">
        <v>53</v>
      </c>
    </row>
    <row r="445" spans="1:13" hidden="1" x14ac:dyDescent="0.15">
      <c r="C445" s="19" t="s">
        <v>54</v>
      </c>
      <c r="H445" s="21"/>
      <c r="J445" s="21"/>
      <c r="M445" s="14" t="s">
        <v>55</v>
      </c>
    </row>
    <row r="446" spans="1:13" ht="21" hidden="1" x14ac:dyDescent="0.15">
      <c r="C446" s="19" t="s">
        <v>56</v>
      </c>
      <c r="H446" s="21"/>
      <c r="J446" s="21"/>
      <c r="M446" s="14" t="s">
        <v>57</v>
      </c>
    </row>
    <row r="447" spans="1:13" hidden="1" x14ac:dyDescent="0.15">
      <c r="C447" s="19" t="s">
        <v>58</v>
      </c>
      <c r="H447" s="21"/>
      <c r="J447" s="21"/>
      <c r="M447" s="14" t="s">
        <v>59</v>
      </c>
    </row>
    <row r="448" spans="1:13" hidden="1" x14ac:dyDescent="0.15">
      <c r="C448" s="19" t="s">
        <v>60</v>
      </c>
      <c r="H448" s="21"/>
      <c r="J448" s="21"/>
      <c r="M448" s="14" t="s">
        <v>61</v>
      </c>
    </row>
    <row r="449" spans="1:15" ht="42" x14ac:dyDescent="0.15">
      <c r="A449" s="22" t="s">
        <v>207</v>
      </c>
      <c r="B449" s="22" t="s">
        <v>190</v>
      </c>
      <c r="C449" s="22" t="s">
        <v>208</v>
      </c>
      <c r="D449" s="23" t="s">
        <v>146</v>
      </c>
      <c r="E449" s="24"/>
      <c r="F449" s="25"/>
      <c r="G449" s="26"/>
      <c r="H449" s="27"/>
      <c r="I449" s="26"/>
      <c r="J449" s="27"/>
      <c r="K449" s="28"/>
      <c r="L449" s="1" t="s">
        <v>34</v>
      </c>
    </row>
    <row r="450" spans="1:15" ht="21" x14ac:dyDescent="0.15">
      <c r="A450" s="14" t="s">
        <v>209</v>
      </c>
      <c r="B450" s="29" t="str">
        <f ca="1">ПОЛУЧШИФР(Ресурсы!A8,1)</f>
        <v>З000-1003-7Ф</v>
      </c>
      <c r="C450" s="14" t="str">
        <f>Ресурсы!B8</f>
        <v>Рабочие-строители (средний разряд 3.7)</v>
      </c>
      <c r="D450" s="15" t="s">
        <v>82</v>
      </c>
      <c r="G450" s="16"/>
      <c r="H450" s="17"/>
      <c r="I450" s="16"/>
      <c r="J450" s="17"/>
      <c r="K450" s="18"/>
      <c r="L450" s="1" t="s">
        <v>89</v>
      </c>
      <c r="M450" s="1" t="s">
        <v>90</v>
      </c>
    </row>
    <row r="451" spans="1:15" x14ac:dyDescent="0.15">
      <c r="A451" s="14" t="s">
        <v>210</v>
      </c>
      <c r="B451" s="14" t="s">
        <v>36</v>
      </c>
      <c r="C451" s="14" t="s">
        <v>37</v>
      </c>
      <c r="D451" s="15" t="s">
        <v>82</v>
      </c>
      <c r="G451" s="16"/>
      <c r="H451" s="17"/>
      <c r="I451" s="16"/>
      <c r="J451" s="17"/>
      <c r="K451" s="18"/>
      <c r="M451" s="1" t="s">
        <v>39</v>
      </c>
    </row>
    <row r="452" spans="1:15" x14ac:dyDescent="0.15">
      <c r="A452" s="62" t="s">
        <v>211</v>
      </c>
      <c r="B452" s="63" t="str">
        <f ca="1">ПОЛУЧШИФР(Ресурсы!A29,1)</f>
        <v>Х02-1102-Ф</v>
      </c>
      <c r="C452" s="62" t="str">
        <f>Ресурсы!B29</f>
        <v>Краны на автомобильном ходу при работе на монтаже технологического оборудования 10 т</v>
      </c>
      <c r="D452" s="30" t="s">
        <v>94</v>
      </c>
      <c r="E452" s="61"/>
      <c r="F452" s="61"/>
      <c r="G452" s="31"/>
      <c r="H452" s="32"/>
      <c r="I452" s="31"/>
      <c r="J452" s="32"/>
      <c r="K452" s="33"/>
      <c r="L452" s="1" t="s">
        <v>89</v>
      </c>
      <c r="M452" s="1" t="s">
        <v>98</v>
      </c>
    </row>
    <row r="453" spans="1:15" ht="21" x14ac:dyDescent="0.15">
      <c r="A453" s="62"/>
      <c r="B453" s="63"/>
      <c r="C453" s="62"/>
      <c r="D453" s="1">
        <f>Ресурсы!G29</f>
        <v>1</v>
      </c>
      <c r="E453" s="61"/>
      <c r="F453" s="61"/>
      <c r="G453" s="16"/>
      <c r="H453" s="17"/>
      <c r="I453" s="16"/>
      <c r="J453" s="17"/>
      <c r="K453" s="18"/>
      <c r="N453" s="1" t="s">
        <v>99</v>
      </c>
      <c r="O453" s="1" t="s">
        <v>100</v>
      </c>
    </row>
    <row r="454" spans="1:15" ht="21" x14ac:dyDescent="0.15">
      <c r="A454" s="14" t="s">
        <v>212</v>
      </c>
      <c r="B454" s="29" t="str">
        <f ca="1">ПОЛУЧШИФР(Ресурсы!A35,1)</f>
        <v>Х04-0502-Ф</v>
      </c>
      <c r="C454" s="14" t="str">
        <f>Ресурсы!B35</f>
        <v>Установки для сварки ручной дуговой (постоянного тока)</v>
      </c>
      <c r="D454" s="15" t="s">
        <v>94</v>
      </c>
      <c r="G454" s="16"/>
      <c r="H454" s="17"/>
      <c r="I454" s="16"/>
      <c r="J454" s="17"/>
      <c r="K454" s="18"/>
      <c r="L454" s="1" t="s">
        <v>89</v>
      </c>
      <c r="M454" s="1" t="s">
        <v>98</v>
      </c>
    </row>
    <row r="455" spans="1:15" x14ac:dyDescent="0.15">
      <c r="A455" s="62" t="s">
        <v>213</v>
      </c>
      <c r="B455" s="63" t="str">
        <f ca="1">ПОЛУЧШИФР(Ресурсы!A45,1)</f>
        <v>Х40-0002-Ф</v>
      </c>
      <c r="C455" s="62" t="str">
        <f>Ресурсы!B45</f>
        <v>Автомобили бортовые грузоподъемностью до 8 т</v>
      </c>
      <c r="D455" s="30" t="s">
        <v>94</v>
      </c>
      <c r="E455" s="61"/>
      <c r="F455" s="61"/>
      <c r="G455" s="31"/>
      <c r="H455" s="32"/>
      <c r="I455" s="31"/>
      <c r="J455" s="32"/>
      <c r="K455" s="33"/>
      <c r="L455" s="1" t="s">
        <v>89</v>
      </c>
      <c r="M455" s="1" t="s">
        <v>98</v>
      </c>
    </row>
    <row r="456" spans="1:15" ht="21" x14ac:dyDescent="0.15">
      <c r="A456" s="62"/>
      <c r="B456" s="63"/>
      <c r="C456" s="62"/>
      <c r="D456" s="1">
        <f>Ресурсы!G45</f>
        <v>1</v>
      </c>
      <c r="E456" s="61"/>
      <c r="F456" s="61"/>
      <c r="G456" s="16"/>
      <c r="H456" s="17"/>
      <c r="I456" s="16"/>
      <c r="J456" s="17"/>
      <c r="K456" s="18"/>
      <c r="N456" s="1" t="s">
        <v>99</v>
      </c>
      <c r="O456" s="1" t="s">
        <v>100</v>
      </c>
    </row>
    <row r="457" spans="1:15" hidden="1" x14ac:dyDescent="0.15">
      <c r="C457" s="19" t="s">
        <v>40</v>
      </c>
    </row>
    <row r="458" spans="1:15" hidden="1" x14ac:dyDescent="0.15">
      <c r="C458" s="19" t="s">
        <v>41</v>
      </c>
    </row>
    <row r="459" spans="1:15" hidden="1" x14ac:dyDescent="0.15">
      <c r="C459" s="19" t="s">
        <v>42</v>
      </c>
    </row>
    <row r="460" spans="1:15" hidden="1" x14ac:dyDescent="0.15">
      <c r="C460" s="19" t="s">
        <v>43</v>
      </c>
    </row>
    <row r="461" spans="1:15" ht="21" hidden="1" x14ac:dyDescent="0.15">
      <c r="C461" s="19" t="s">
        <v>44</v>
      </c>
    </row>
    <row r="462" spans="1:15" ht="21" hidden="1" x14ac:dyDescent="0.15">
      <c r="C462" s="19" t="s">
        <v>45</v>
      </c>
      <c r="G462" s="20"/>
      <c r="I462" s="20"/>
      <c r="L462" s="1" t="s">
        <v>46</v>
      </c>
    </row>
    <row r="463" spans="1:15" hidden="1" x14ac:dyDescent="0.15">
      <c r="C463" s="19" t="s">
        <v>47</v>
      </c>
    </row>
    <row r="464" spans="1:15" ht="21" hidden="1" x14ac:dyDescent="0.15">
      <c r="C464" s="19" t="s">
        <v>48</v>
      </c>
    </row>
    <row r="465" spans="1:13" ht="21" hidden="1" x14ac:dyDescent="0.15">
      <c r="C465" s="19" t="s">
        <v>49</v>
      </c>
    </row>
    <row r="466" spans="1:13" x14ac:dyDescent="0.15">
      <c r="C466" s="19" t="s">
        <v>50</v>
      </c>
      <c r="H466" s="21"/>
      <c r="J466" s="21"/>
      <c r="M466" s="14" t="s">
        <v>51</v>
      </c>
    </row>
    <row r="467" spans="1:13" hidden="1" x14ac:dyDescent="0.15">
      <c r="C467" s="19" t="s">
        <v>52</v>
      </c>
      <c r="H467" s="21"/>
      <c r="J467" s="21"/>
      <c r="M467" s="14" t="s">
        <v>53</v>
      </c>
    </row>
    <row r="468" spans="1:13" hidden="1" x14ac:dyDescent="0.15">
      <c r="C468" s="19" t="s">
        <v>54</v>
      </c>
      <c r="H468" s="21"/>
      <c r="J468" s="21"/>
      <c r="M468" s="14" t="s">
        <v>55</v>
      </c>
    </row>
    <row r="469" spans="1:13" ht="21" x14ac:dyDescent="0.15">
      <c r="C469" s="19" t="s">
        <v>56</v>
      </c>
      <c r="H469" s="21"/>
      <c r="J469" s="21"/>
      <c r="M469" s="14" t="s">
        <v>57</v>
      </c>
    </row>
    <row r="470" spans="1:13" hidden="1" x14ac:dyDescent="0.15">
      <c r="C470" s="19" t="s">
        <v>58</v>
      </c>
      <c r="H470" s="21"/>
      <c r="J470" s="21"/>
      <c r="M470" s="14" t="s">
        <v>59</v>
      </c>
    </row>
    <row r="471" spans="1:13" hidden="1" x14ac:dyDescent="0.15">
      <c r="C471" s="19" t="s">
        <v>60</v>
      </c>
      <c r="H471" s="21"/>
      <c r="J471" s="21"/>
      <c r="M471" s="14" t="s">
        <v>61</v>
      </c>
    </row>
    <row r="472" spans="1:13" x14ac:dyDescent="0.15">
      <c r="C472" s="19" t="s">
        <v>101</v>
      </c>
      <c r="H472" s="21"/>
      <c r="J472" s="21"/>
    </row>
    <row r="473" spans="1:13" ht="42" x14ac:dyDescent="0.15">
      <c r="A473" s="22" t="s">
        <v>214</v>
      </c>
      <c r="B473" s="22" t="s">
        <v>215</v>
      </c>
      <c r="C473" s="22" t="s">
        <v>216</v>
      </c>
      <c r="D473" s="23" t="s">
        <v>105</v>
      </c>
      <c r="E473" s="24"/>
      <c r="F473" s="25"/>
      <c r="G473" s="26"/>
      <c r="H473" s="27"/>
      <c r="I473" s="26"/>
      <c r="J473" s="27"/>
      <c r="K473" s="28"/>
      <c r="L473" s="1" t="s">
        <v>34</v>
      </c>
    </row>
    <row r="474" spans="1:13" hidden="1" x14ac:dyDescent="0.15">
      <c r="A474" s="14" t="s">
        <v>217</v>
      </c>
      <c r="B474" s="14" t="s">
        <v>36</v>
      </c>
      <c r="C474" s="14" t="s">
        <v>37</v>
      </c>
      <c r="D474" s="15" t="s">
        <v>38</v>
      </c>
      <c r="G474" s="16"/>
      <c r="H474" s="17"/>
      <c r="I474" s="16"/>
      <c r="J474" s="17"/>
      <c r="K474" s="18"/>
      <c r="M474" s="1" t="s">
        <v>39</v>
      </c>
    </row>
    <row r="475" spans="1:13" ht="31.5" hidden="1" x14ac:dyDescent="0.15">
      <c r="A475" s="14" t="s">
        <v>218</v>
      </c>
      <c r="B475" s="29" t="str">
        <f ca="1">ПОЛУЧШИФР(Ресурсы!A48,1)</f>
        <v>Х310-5025-2</v>
      </c>
      <c r="C475" s="14" t="str">
        <f>Ресурсы!B48</f>
        <v>Провозная плата за перевозки грузов тракторами с прицепами на расстояние до 25 км (класс груза 2)</v>
      </c>
      <c r="D475" s="15" t="s">
        <v>105</v>
      </c>
      <c r="G475" s="16"/>
      <c r="H475" s="17"/>
      <c r="I475" s="16"/>
      <c r="J475" s="17"/>
      <c r="K475" s="18"/>
      <c r="L475" s="1" t="s">
        <v>89</v>
      </c>
      <c r="M475" s="1" t="s">
        <v>98</v>
      </c>
    </row>
    <row r="476" spans="1:13" hidden="1" x14ac:dyDescent="0.15">
      <c r="C476" s="19" t="s">
        <v>40</v>
      </c>
    </row>
    <row r="477" spans="1:13" hidden="1" x14ac:dyDescent="0.15">
      <c r="C477" s="19" t="s">
        <v>41</v>
      </c>
    </row>
    <row r="478" spans="1:13" hidden="1" x14ac:dyDescent="0.15">
      <c r="C478" s="19" t="s">
        <v>42</v>
      </c>
    </row>
    <row r="479" spans="1:13" hidden="1" x14ac:dyDescent="0.15">
      <c r="C479" s="19" t="s">
        <v>43</v>
      </c>
    </row>
    <row r="480" spans="1:13" ht="21" hidden="1" x14ac:dyDescent="0.15">
      <c r="C480" s="19" t="s">
        <v>44</v>
      </c>
    </row>
    <row r="481" spans="1:13" ht="21" hidden="1" x14ac:dyDescent="0.15">
      <c r="C481" s="19" t="s">
        <v>45</v>
      </c>
      <c r="G481" s="20"/>
      <c r="I481" s="20"/>
      <c r="L481" s="1" t="s">
        <v>46</v>
      </c>
    </row>
    <row r="482" spans="1:13" hidden="1" x14ac:dyDescent="0.15">
      <c r="C482" s="19" t="s">
        <v>47</v>
      </c>
    </row>
    <row r="483" spans="1:13" ht="21" hidden="1" x14ac:dyDescent="0.15">
      <c r="C483" s="19" t="s">
        <v>48</v>
      </c>
    </row>
    <row r="484" spans="1:13" ht="21" hidden="1" x14ac:dyDescent="0.15">
      <c r="C484" s="19" t="s">
        <v>49</v>
      </c>
    </row>
    <row r="485" spans="1:13" hidden="1" x14ac:dyDescent="0.15">
      <c r="C485" s="19" t="s">
        <v>50</v>
      </c>
      <c r="H485" s="21"/>
      <c r="J485" s="21"/>
      <c r="M485" s="14" t="s">
        <v>51</v>
      </c>
    </row>
    <row r="486" spans="1:13" hidden="1" x14ac:dyDescent="0.15">
      <c r="C486" s="19" t="s">
        <v>52</v>
      </c>
      <c r="H486" s="21"/>
      <c r="J486" s="21"/>
      <c r="M486" s="14" t="s">
        <v>53</v>
      </c>
    </row>
    <row r="487" spans="1:13" hidden="1" x14ac:dyDescent="0.15">
      <c r="C487" s="19" t="s">
        <v>54</v>
      </c>
      <c r="H487" s="21"/>
      <c r="J487" s="21"/>
      <c r="M487" s="14" t="s">
        <v>55</v>
      </c>
    </row>
    <row r="488" spans="1:13" ht="21" hidden="1" x14ac:dyDescent="0.15">
      <c r="C488" s="19" t="s">
        <v>56</v>
      </c>
      <c r="H488" s="21"/>
      <c r="J488" s="21"/>
      <c r="M488" s="14" t="s">
        <v>57</v>
      </c>
    </row>
    <row r="489" spans="1:13" hidden="1" x14ac:dyDescent="0.15">
      <c r="C489" s="19" t="s">
        <v>58</v>
      </c>
      <c r="H489" s="21"/>
      <c r="J489" s="21"/>
      <c r="M489" s="14" t="s">
        <v>59</v>
      </c>
    </row>
    <row r="490" spans="1:13" hidden="1" x14ac:dyDescent="0.15">
      <c r="C490" s="19" t="s">
        <v>60</v>
      </c>
      <c r="H490" s="21"/>
      <c r="J490" s="21"/>
      <c r="M490" s="14" t="s">
        <v>61</v>
      </c>
    </row>
    <row r="491" spans="1:13" ht="52.5" x14ac:dyDescent="0.15">
      <c r="A491" s="22" t="s">
        <v>219</v>
      </c>
      <c r="B491" s="22" t="s">
        <v>220</v>
      </c>
      <c r="C491" s="22" t="s">
        <v>221</v>
      </c>
      <c r="D491" s="23" t="s">
        <v>105</v>
      </c>
      <c r="E491" s="24"/>
      <c r="F491" s="25"/>
      <c r="G491" s="26"/>
      <c r="H491" s="27"/>
      <c r="I491" s="26"/>
      <c r="J491" s="27"/>
      <c r="K491" s="28"/>
      <c r="L491" s="1" t="s">
        <v>34</v>
      </c>
    </row>
    <row r="492" spans="1:13" x14ac:dyDescent="0.15">
      <c r="C492" s="34" t="s">
        <v>222</v>
      </c>
    </row>
    <row r="493" spans="1:13" hidden="1" x14ac:dyDescent="0.15">
      <c r="A493" s="14" t="s">
        <v>223</v>
      </c>
      <c r="B493" s="14" t="s">
        <v>36</v>
      </c>
      <c r="C493" s="14" t="s">
        <v>37</v>
      </c>
      <c r="D493" s="15" t="s">
        <v>38</v>
      </c>
      <c r="E493" s="1">
        <v>0</v>
      </c>
      <c r="F493" s="1">
        <v>0</v>
      </c>
      <c r="G493" s="16">
        <f>IF(F493=0,0,ROUND(H493/F493,2))</f>
        <v>0</v>
      </c>
      <c r="H493" s="17"/>
      <c r="I493" s="16">
        <f>IF(F493=0,0,ROUND(J493/F493,2))</f>
        <v>0</v>
      </c>
      <c r="J493" s="17"/>
      <c r="K493" s="18">
        <f>IF(H493=0,0,ROUND(J493/H493,3))</f>
        <v>0</v>
      </c>
      <c r="M493" s="1" t="s">
        <v>39</v>
      </c>
    </row>
    <row r="494" spans="1:13" ht="52.5" hidden="1" x14ac:dyDescent="0.15">
      <c r="A494" s="14" t="s">
        <v>224</v>
      </c>
      <c r="B494" s="29" t="str">
        <f ca="1">ПОЛУЧШИФР(Ресурсы!A49,1)</f>
        <v>Х310-5026-2</v>
      </c>
      <c r="C494" s="14" t="str">
        <f>Ресурсы!B49</f>
        <v>Провозная плата за перевозки грузов тракторами с прицепами на расстояние сверх 25 за каждый 1 км добавлять (класс груза 2)(ДО 250 КМ)</v>
      </c>
      <c r="D494" s="15" t="s">
        <v>105</v>
      </c>
      <c r="E494" s="1">
        <v>1</v>
      </c>
      <c r="F494" s="1">
        <f>ОКРУГЛВСЕ(IF(E494="",0,E494)*IF(F491="",0,F491),11)</f>
        <v>0</v>
      </c>
      <c r="G494" s="16">
        <f>Ресурсы!C49</f>
        <v>4.8600000000000003</v>
      </c>
      <c r="H494" s="17">
        <f>ROUND(IF(F494="",0,F494)*IF(G494="",0,G494),0)</f>
        <v>0</v>
      </c>
      <c r="I494" s="16">
        <f>Ресурсы!D49</f>
        <v>24.79</v>
      </c>
      <c r="J494" s="17">
        <f>ROUND(IF(F494="",0,F494)*IF(I494="",0,I494),0)</f>
        <v>0</v>
      </c>
      <c r="K494" s="18">
        <f>IF(H494=0,0,ROUND(J494/H494,3))</f>
        <v>0</v>
      </c>
      <c r="L494" s="1" t="s">
        <v>89</v>
      </c>
      <c r="M494" s="1" t="s">
        <v>98</v>
      </c>
    </row>
    <row r="495" spans="1:13" hidden="1" x14ac:dyDescent="0.15">
      <c r="C495" s="19" t="s">
        <v>40</v>
      </c>
    </row>
    <row r="496" spans="1:13" hidden="1" x14ac:dyDescent="0.15">
      <c r="C496" s="19" t="s">
        <v>41</v>
      </c>
      <c r="H496" s="1">
        <v>74358</v>
      </c>
      <c r="J496" s="1">
        <v>379287</v>
      </c>
    </row>
    <row r="497" spans="1:13" hidden="1" x14ac:dyDescent="0.15">
      <c r="C497" s="19" t="s">
        <v>42</v>
      </c>
    </row>
    <row r="498" spans="1:13" hidden="1" x14ac:dyDescent="0.15">
      <c r="C498" s="19" t="s">
        <v>43</v>
      </c>
    </row>
    <row r="499" spans="1:13" ht="21" hidden="1" x14ac:dyDescent="0.15">
      <c r="C499" s="19" t="s">
        <v>44</v>
      </c>
    </row>
    <row r="500" spans="1:13" ht="21" hidden="1" x14ac:dyDescent="0.15">
      <c r="C500" s="19" t="s">
        <v>45</v>
      </c>
      <c r="G500" s="20"/>
      <c r="I500" s="20"/>
      <c r="L500" s="1" t="s">
        <v>46</v>
      </c>
    </row>
    <row r="501" spans="1:13" hidden="1" x14ac:dyDescent="0.15">
      <c r="C501" s="19" t="s">
        <v>47</v>
      </c>
    </row>
    <row r="502" spans="1:13" ht="21" hidden="1" x14ac:dyDescent="0.15">
      <c r="C502" s="19" t="s">
        <v>48</v>
      </c>
    </row>
    <row r="503" spans="1:13" ht="21" hidden="1" x14ac:dyDescent="0.15">
      <c r="C503" s="19" t="s">
        <v>49</v>
      </c>
    </row>
    <row r="504" spans="1:13" hidden="1" x14ac:dyDescent="0.15">
      <c r="C504" s="19" t="s">
        <v>50</v>
      </c>
      <c r="H504" s="21" t="str">
        <f>IF('Базовые цены с учетом расхода'!N27&gt;0,'Базовые цены с учетом расхода'!N27,IF('Базовые цены с учетом расхода'!N27&lt;0,'Базовые цены с учетом расхода'!N27,""))</f>
        <v/>
      </c>
      <c r="J504" s="21" t="str">
        <f>IF('Текущие цены с учетом расхода'!N27&gt;0,'Текущие цены с учетом расхода'!N27,IF('Текущие цены с учетом расхода'!N27&lt;0,'Текущие цены с учетом расхода'!N27,""))</f>
        <v/>
      </c>
      <c r="M504" s="14" t="s">
        <v>51</v>
      </c>
    </row>
    <row r="505" spans="1:13" hidden="1" x14ac:dyDescent="0.15">
      <c r="C505" s="19" t="s">
        <v>52</v>
      </c>
      <c r="H505" s="21" t="str">
        <f>IF('Базовые цены с учетом расхода'!P27&gt;0,'Базовые цены с учетом расхода'!P27,IF('Базовые цены с учетом расхода'!P27&lt;0,'Базовые цены с учетом расхода'!P27,""))</f>
        <v/>
      </c>
      <c r="J505" s="21" t="str">
        <f>IF('Текущие цены с учетом расхода'!P27&gt;0,'Текущие цены с учетом расхода'!P27,IF('Текущие цены с учетом расхода'!P27&lt;0,'Текущие цены с учетом расхода'!P27,""))</f>
        <v/>
      </c>
      <c r="M505" s="14" t="s">
        <v>53</v>
      </c>
    </row>
    <row r="506" spans="1:13" hidden="1" x14ac:dyDescent="0.15">
      <c r="C506" s="19" t="s">
        <v>54</v>
      </c>
      <c r="H506" s="21" t="str">
        <f>IF('Базовые цены с учетом расхода'!Q27&gt;0,'Базовые цены с учетом расхода'!Q27,IF('Базовые цены с учетом расхода'!Q27&lt;0,'Базовые цены с учетом расхода'!Q27,""))</f>
        <v/>
      </c>
      <c r="J506" s="21" t="str">
        <f>IF('Текущие цены с учетом расхода'!Q27&gt;0,'Текущие цены с учетом расхода'!Q27,IF('Текущие цены с учетом расхода'!Q27&lt;0,'Текущие цены с учетом расхода'!Q27,""))</f>
        <v/>
      </c>
      <c r="M506" s="14" t="s">
        <v>55</v>
      </c>
    </row>
    <row r="507" spans="1:13" ht="21" hidden="1" x14ac:dyDescent="0.15">
      <c r="C507" s="19" t="s">
        <v>56</v>
      </c>
      <c r="H507" s="21" t="str">
        <f>IF('Базовые цены с учетом расхода'!O27&gt;0,'Базовые цены с учетом расхода'!O27,IF('Базовые цены с учетом расхода'!O27&lt;0,'Базовые цены с учетом расхода'!O27,""))</f>
        <v/>
      </c>
      <c r="J507" s="21" t="str">
        <f>IF('Текущие цены с учетом расхода'!O27&gt;0,'Текущие цены с учетом расхода'!O27,IF('Текущие цены с учетом расхода'!O27&lt;0,'Текущие цены с учетом расхода'!O27,""))</f>
        <v/>
      </c>
      <c r="M507" s="14" t="s">
        <v>57</v>
      </c>
    </row>
    <row r="508" spans="1:13" hidden="1" x14ac:dyDescent="0.15">
      <c r="C508" s="19" t="s">
        <v>58</v>
      </c>
      <c r="H508" s="21" t="str">
        <f>IF('Базовые цены с учетом расхода'!R27&gt;0,'Базовые цены с учетом расхода'!R27,IF('Базовые цены с учетом расхода'!R27&lt;0,'Базовые цены с учетом расхода'!R27,""))</f>
        <v/>
      </c>
      <c r="J508" s="21" t="str">
        <f>IF('Текущие цены с учетом расхода'!R27&gt;0,'Текущие цены с учетом расхода'!R27,IF('Текущие цены с учетом расхода'!R27&lt;0,'Текущие цены с учетом расхода'!R27,""))</f>
        <v/>
      </c>
      <c r="M508" s="14" t="s">
        <v>59</v>
      </c>
    </row>
    <row r="509" spans="1:13" hidden="1" x14ac:dyDescent="0.15">
      <c r="C509" s="19" t="s">
        <v>60</v>
      </c>
      <c r="H509" s="21" t="str">
        <f>IF('Базовые цены с учетом расхода'!S27&gt;0,'Базовые цены с учетом расхода'!S27,IF('Базовые цены с учетом расхода'!S27&lt;0,'Базовые цены с учетом расхода'!S27,""))</f>
        <v/>
      </c>
      <c r="J509" s="21" t="str">
        <f>IF('Текущие цены с учетом расхода'!S27&gt;0,'Текущие цены с учетом расхода'!S27,IF('Текущие цены с учетом расхода'!S27&lt;0,'Текущие цены с учетом расхода'!S27,""))</f>
        <v/>
      </c>
      <c r="M509" s="14" t="s">
        <v>61</v>
      </c>
    </row>
    <row r="510" spans="1:13" x14ac:dyDescent="0.15">
      <c r="A510" s="24"/>
      <c r="B510" s="35" t="s">
        <v>579</v>
      </c>
      <c r="C510" s="24"/>
      <c r="D510" s="24"/>
      <c r="E510" s="24"/>
      <c r="F510" s="24"/>
      <c r="G510" s="24"/>
      <c r="H510" s="24"/>
      <c r="I510" s="24"/>
      <c r="J510" s="24"/>
      <c r="K510" s="24"/>
    </row>
    <row r="511" spans="1:13" x14ac:dyDescent="0.15">
      <c r="B511" s="36" t="s">
        <v>580</v>
      </c>
    </row>
    <row r="512" spans="1:13" x14ac:dyDescent="0.15">
      <c r="B512" s="36" t="s">
        <v>581</v>
      </c>
    </row>
    <row r="513" spans="1:11" x14ac:dyDescent="0.15">
      <c r="B513" s="36" t="s">
        <v>225</v>
      </c>
    </row>
    <row r="514" spans="1:11" x14ac:dyDescent="0.15">
      <c r="B514" s="36" t="s">
        <v>226</v>
      </c>
    </row>
    <row r="515" spans="1:11" x14ac:dyDescent="0.1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</row>
    <row r="516" spans="1:11" x14ac:dyDescent="0.15">
      <c r="B516" s="6" t="s">
        <v>227</v>
      </c>
      <c r="G516" s="11"/>
      <c r="H516" s="37"/>
      <c r="I516" s="11"/>
      <c r="J516" s="37">
        <f>J19+J36+J39+J40+J57+J60+J61+J78+J81+J82+J99+J102+J103+J120+J123+J124+J141+J144+J145++J156+J159+J160+J172+J175+J176+J217+J238+J286+J308+J309+J347+J369+J402+J430+J431+J472+J473+J491</f>
        <v>0</v>
      </c>
      <c r="K516" s="11">
        <f t="shared" ref="K516:K536" si="0">IF(H516=0,0,ROUND(J516/H516,3))</f>
        <v>0</v>
      </c>
    </row>
    <row r="517" spans="1:11" hidden="1" x14ac:dyDescent="0.15">
      <c r="B517" s="6" t="s">
        <v>228</v>
      </c>
      <c r="H517" s="37">
        <f>'Базовые концовки'!F8</f>
        <v>0</v>
      </c>
      <c r="J517" s="37">
        <f>'Текущие концовки'!F8</f>
        <v>0</v>
      </c>
      <c r="K517" s="11">
        <f t="shared" si="0"/>
        <v>0</v>
      </c>
    </row>
    <row r="518" spans="1:11" hidden="1" x14ac:dyDescent="0.15">
      <c r="B518" s="6" t="s">
        <v>229</v>
      </c>
      <c r="H518" s="37">
        <f ca="1">'Базовые концовки'!F9</f>
        <v>0</v>
      </c>
      <c r="J518" s="37">
        <f ca="1">'Текущие концовки'!F9</f>
        <v>0</v>
      </c>
      <c r="K518" s="11">
        <f t="shared" ca="1" si="0"/>
        <v>0</v>
      </c>
    </row>
    <row r="519" spans="1:11" hidden="1" x14ac:dyDescent="0.15">
      <c r="B519" s="6" t="s">
        <v>230</v>
      </c>
      <c r="H519" s="37">
        <f ca="1">'Базовые концовки'!F10</f>
        <v>0</v>
      </c>
      <c r="J519" s="37">
        <f ca="1">'Текущие концовки'!F10</f>
        <v>0</v>
      </c>
      <c r="K519" s="11">
        <f t="shared" ca="1" si="0"/>
        <v>0</v>
      </c>
    </row>
    <row r="520" spans="1:11" hidden="1" x14ac:dyDescent="0.15">
      <c r="B520" s="6" t="s">
        <v>231</v>
      </c>
      <c r="H520" s="37">
        <f ca="1">'Базовые концовки'!F11</f>
        <v>0</v>
      </c>
      <c r="J520" s="37">
        <f ca="1">'Текущие концовки'!F11</f>
        <v>0</v>
      </c>
      <c r="K520" s="11">
        <f t="shared" ca="1" si="0"/>
        <v>0</v>
      </c>
    </row>
    <row r="521" spans="1:11" hidden="1" x14ac:dyDescent="0.15">
      <c r="B521" s="6" t="s">
        <v>232</v>
      </c>
      <c r="H521" s="37">
        <f ca="1">'Базовые концовки'!F12</f>
        <v>0</v>
      </c>
      <c r="J521" s="37">
        <f ca="1">'Текущие концовки'!F12</f>
        <v>0</v>
      </c>
      <c r="K521" s="11">
        <f t="shared" ca="1" si="0"/>
        <v>0</v>
      </c>
    </row>
    <row r="522" spans="1:11" hidden="1" x14ac:dyDescent="0.15">
      <c r="B522" s="6" t="s">
        <v>233</v>
      </c>
      <c r="H522" s="37">
        <f ca="1">'Базовые концовки'!F13</f>
        <v>0</v>
      </c>
      <c r="J522" s="37">
        <f ca="1">'Текущие концовки'!F13</f>
        <v>0</v>
      </c>
      <c r="K522" s="11">
        <f t="shared" ca="1" si="0"/>
        <v>0</v>
      </c>
    </row>
    <row r="523" spans="1:11" hidden="1" x14ac:dyDescent="0.15">
      <c r="B523" s="6" t="s">
        <v>234</v>
      </c>
      <c r="H523" s="37">
        <f ca="1">'Базовые концовки'!F14</f>
        <v>0</v>
      </c>
      <c r="J523" s="37">
        <f ca="1">'Текущие концовки'!F14</f>
        <v>0</v>
      </c>
      <c r="K523" s="11">
        <f t="shared" ca="1" si="0"/>
        <v>0</v>
      </c>
    </row>
    <row r="524" spans="1:11" hidden="1" x14ac:dyDescent="0.15">
      <c r="B524" s="6" t="s">
        <v>235</v>
      </c>
      <c r="H524" s="37">
        <f ca="1">'Базовые концовки'!F15</f>
        <v>0</v>
      </c>
      <c r="J524" s="37">
        <f ca="1">'Текущие концовки'!F15</f>
        <v>0</v>
      </c>
      <c r="K524" s="11">
        <f t="shared" ca="1" si="0"/>
        <v>0</v>
      </c>
    </row>
    <row r="525" spans="1:11" hidden="1" x14ac:dyDescent="0.15">
      <c r="B525" s="6" t="s">
        <v>236</v>
      </c>
      <c r="H525" s="37">
        <f ca="1">'Базовые концовки'!F16</f>
        <v>0</v>
      </c>
      <c r="J525" s="37">
        <f ca="1">'Текущие концовки'!F16</f>
        <v>0</v>
      </c>
      <c r="K525" s="11">
        <f t="shared" ca="1" si="0"/>
        <v>0</v>
      </c>
    </row>
    <row r="526" spans="1:11" hidden="1" x14ac:dyDescent="0.15">
      <c r="B526" s="6" t="s">
        <v>237</v>
      </c>
      <c r="H526" s="37">
        <f ca="1">'Базовые концовки'!F17</f>
        <v>0</v>
      </c>
      <c r="J526" s="37">
        <f ca="1">'Текущие концовки'!F17</f>
        <v>0</v>
      </c>
      <c r="K526" s="11">
        <f t="shared" ca="1" si="0"/>
        <v>0</v>
      </c>
    </row>
    <row r="527" spans="1:11" hidden="1" x14ac:dyDescent="0.15">
      <c r="B527" s="6" t="s">
        <v>238</v>
      </c>
      <c r="H527" s="37">
        <f>'Базовые концовки'!F18</f>
        <v>0</v>
      </c>
      <c r="J527" s="37">
        <f>'Текущие концовки'!F18</f>
        <v>0</v>
      </c>
      <c r="K527" s="11">
        <f t="shared" si="0"/>
        <v>0</v>
      </c>
    </row>
    <row r="528" spans="1:11" hidden="1" x14ac:dyDescent="0.15">
      <c r="B528" s="6" t="s">
        <v>239</v>
      </c>
      <c r="H528" s="38"/>
      <c r="J528" s="38"/>
      <c r="K528" s="11">
        <f t="shared" si="0"/>
        <v>0</v>
      </c>
    </row>
    <row r="529" spans="2:13" hidden="1" x14ac:dyDescent="0.15">
      <c r="B529" s="6" t="s">
        <v>240</v>
      </c>
      <c r="H529" s="37">
        <f>'Базовые концовки'!G20</f>
        <v>0</v>
      </c>
      <c r="J529" s="37">
        <f>'Текущие концовки'!G20</f>
        <v>0</v>
      </c>
      <c r="K529" s="11">
        <f t="shared" si="0"/>
        <v>0</v>
      </c>
    </row>
    <row r="530" spans="2:13" hidden="1" x14ac:dyDescent="0.15">
      <c r="B530" s="6" t="s">
        <v>241</v>
      </c>
      <c r="H530" s="37">
        <f>'Базовые концовки'!F21</f>
        <v>0</v>
      </c>
      <c r="J530" s="37">
        <f>'Текущие концовки'!F21</f>
        <v>0</v>
      </c>
      <c r="K530" s="11">
        <f t="shared" si="0"/>
        <v>0</v>
      </c>
    </row>
    <row r="531" spans="2:13" hidden="1" x14ac:dyDescent="0.15">
      <c r="B531" s="6" t="s">
        <v>242</v>
      </c>
      <c r="H531" s="37">
        <f ca="1">'Базовые концовки'!F22</f>
        <v>0</v>
      </c>
      <c r="J531" s="37">
        <f ca="1">'Текущие концовки'!F22</f>
        <v>0</v>
      </c>
      <c r="K531" s="11">
        <f t="shared" ca="1" si="0"/>
        <v>0</v>
      </c>
    </row>
    <row r="532" spans="2:13" hidden="1" x14ac:dyDescent="0.15">
      <c r="B532" s="6" t="s">
        <v>243</v>
      </c>
      <c r="H532" s="37">
        <f>'Базовые концовки'!F23</f>
        <v>0</v>
      </c>
      <c r="J532" s="37">
        <f>'Текущие концовки'!F23</f>
        <v>0</v>
      </c>
      <c r="K532" s="11">
        <f t="shared" si="0"/>
        <v>0</v>
      </c>
    </row>
    <row r="533" spans="2:13" hidden="1" x14ac:dyDescent="0.15">
      <c r="B533" s="6" t="s">
        <v>244</v>
      </c>
      <c r="H533" s="37">
        <f>'Базовые концовки'!F24</f>
        <v>0</v>
      </c>
      <c r="J533" s="37">
        <f>'Текущие концовки'!F24</f>
        <v>0</v>
      </c>
      <c r="K533" s="11">
        <f t="shared" si="0"/>
        <v>0</v>
      </c>
    </row>
    <row r="534" spans="2:13" hidden="1" x14ac:dyDescent="0.15">
      <c r="B534" s="6" t="s">
        <v>245</v>
      </c>
      <c r="H534" s="37">
        <f>'Базовые концовки'!F25</f>
        <v>0</v>
      </c>
      <c r="J534" s="37">
        <f>'Текущие концовки'!F25</f>
        <v>0</v>
      </c>
      <c r="K534" s="11">
        <f t="shared" si="0"/>
        <v>0</v>
      </c>
    </row>
    <row r="535" spans="2:13" hidden="1" x14ac:dyDescent="0.15">
      <c r="B535" s="6" t="s">
        <v>236</v>
      </c>
      <c r="H535" s="37">
        <f ca="1">'Базовые концовки'!F26</f>
        <v>0</v>
      </c>
      <c r="J535" s="37">
        <f ca="1">'Текущие концовки'!F26</f>
        <v>0</v>
      </c>
      <c r="K535" s="11">
        <f t="shared" ca="1" si="0"/>
        <v>0</v>
      </c>
    </row>
    <row r="536" spans="2:13" hidden="1" x14ac:dyDescent="0.15">
      <c r="B536" s="6" t="s">
        <v>246</v>
      </c>
      <c r="H536" s="37">
        <f>'Базовые концовки'!F27</f>
        <v>0</v>
      </c>
      <c r="J536" s="37">
        <f>'Текущие концовки'!F27</f>
        <v>0</v>
      </c>
      <c r="K536" s="11">
        <f t="shared" si="0"/>
        <v>0</v>
      </c>
    </row>
    <row r="537" spans="2:13" x14ac:dyDescent="0.15">
      <c r="B537" s="6" t="s">
        <v>284</v>
      </c>
      <c r="G537" s="11"/>
      <c r="H537" s="37"/>
      <c r="I537" s="58">
        <v>0.18</v>
      </c>
      <c r="J537" s="37">
        <f>J516*I537</f>
        <v>0</v>
      </c>
      <c r="K537" s="11"/>
    </row>
    <row r="538" spans="2:13" x14ac:dyDescent="0.15">
      <c r="B538" s="6" t="s">
        <v>576</v>
      </c>
      <c r="G538" s="11"/>
      <c r="H538" s="37"/>
      <c r="I538" s="11"/>
      <c r="J538" s="37">
        <f>J537+J516</f>
        <v>0</v>
      </c>
      <c r="K538" s="11"/>
    </row>
    <row r="539" spans="2:13" x14ac:dyDescent="0.15">
      <c r="B539" s="6" t="s">
        <v>577</v>
      </c>
      <c r="G539" s="11"/>
      <c r="H539" s="37"/>
      <c r="I539" s="11"/>
      <c r="J539" s="37">
        <v>60000</v>
      </c>
      <c r="K539" s="11"/>
    </row>
    <row r="540" spans="2:13" x14ac:dyDescent="0.15">
      <c r="B540" s="6" t="s">
        <v>285</v>
      </c>
      <c r="G540" s="11"/>
      <c r="H540" s="37"/>
      <c r="I540" s="11"/>
      <c r="J540" s="37">
        <f>J538+J539</f>
        <v>60000</v>
      </c>
      <c r="K540" s="11"/>
    </row>
    <row r="542" spans="2:13" x14ac:dyDescent="0.15">
      <c r="B542" s="4" t="s">
        <v>286</v>
      </c>
      <c r="C542" s="59"/>
      <c r="D542" s="59"/>
      <c r="E542" s="59"/>
      <c r="F542" s="59"/>
      <c r="G542" s="59"/>
      <c r="H542" s="59"/>
      <c r="I542" s="59"/>
      <c r="J542" s="59"/>
      <c r="K542" s="59"/>
    </row>
    <row r="543" spans="2:13" x14ac:dyDescent="0.15">
      <c r="C543" s="60" t="s">
        <v>287</v>
      </c>
      <c r="D543" s="60"/>
      <c r="E543" s="60"/>
      <c r="F543" s="60"/>
      <c r="G543" s="60"/>
      <c r="H543" s="60"/>
      <c r="I543" s="60"/>
      <c r="J543" s="60"/>
      <c r="K543" s="60"/>
      <c r="L543" s="60"/>
      <c r="M543" s="60"/>
    </row>
    <row r="545" spans="1:13" x14ac:dyDescent="0.15">
      <c r="B545" s="4" t="s">
        <v>288</v>
      </c>
      <c r="C545" s="59"/>
      <c r="D545" s="59"/>
      <c r="E545" s="59"/>
      <c r="F545" s="59"/>
      <c r="G545" s="59"/>
      <c r="H545" s="59"/>
      <c r="I545" s="59"/>
      <c r="J545" s="59"/>
      <c r="K545" s="59"/>
    </row>
    <row r="546" spans="1:13" x14ac:dyDescent="0.15">
      <c r="C546" s="60" t="s">
        <v>287</v>
      </c>
      <c r="D546" s="60"/>
      <c r="E546" s="60"/>
      <c r="F546" s="60"/>
      <c r="G546" s="60"/>
      <c r="H546" s="60"/>
      <c r="I546" s="60"/>
      <c r="J546" s="60"/>
      <c r="K546" s="60"/>
      <c r="L546" s="60"/>
      <c r="M546" s="60"/>
    </row>
    <row r="547" spans="1:13" x14ac:dyDescent="0.15">
      <c r="A547" s="39"/>
    </row>
  </sheetData>
  <mergeCells count="133">
    <mergeCell ref="I13:J13"/>
    <mergeCell ref="G16:H16"/>
    <mergeCell ref="I16:J16"/>
    <mergeCell ref="A16:A17"/>
    <mergeCell ref="B16:B17"/>
    <mergeCell ref="C16:C17"/>
    <mergeCell ref="E16:F16"/>
    <mergeCell ref="A8:K8"/>
    <mergeCell ref="A9:K9"/>
    <mergeCell ref="A10:K10"/>
    <mergeCell ref="A14:K14"/>
    <mergeCell ref="I11:J11"/>
    <mergeCell ref="I12:J12"/>
    <mergeCell ref="A200:A201"/>
    <mergeCell ref="B200:B201"/>
    <mergeCell ref="C200:C201"/>
    <mergeCell ref="E200:E201"/>
    <mergeCell ref="K16:K17"/>
    <mergeCell ref="A179:A180"/>
    <mergeCell ref="B179:B180"/>
    <mergeCell ref="C179:C180"/>
    <mergeCell ref="E179:E180"/>
    <mergeCell ref="F179:F180"/>
    <mergeCell ref="A242:A243"/>
    <mergeCell ref="B242:B243"/>
    <mergeCell ref="C242:C243"/>
    <mergeCell ref="E242:E243"/>
    <mergeCell ref="F200:F201"/>
    <mergeCell ref="A221:A222"/>
    <mergeCell ref="B221:B222"/>
    <mergeCell ref="C221:C222"/>
    <mergeCell ref="E221:E222"/>
    <mergeCell ref="F221:F222"/>
    <mergeCell ref="A247:A248"/>
    <mergeCell ref="B247:B248"/>
    <mergeCell ref="C247:C248"/>
    <mergeCell ref="E247:E248"/>
    <mergeCell ref="F242:F243"/>
    <mergeCell ref="A245:A246"/>
    <mergeCell ref="B245:B246"/>
    <mergeCell ref="C245:C246"/>
    <mergeCell ref="E245:E246"/>
    <mergeCell ref="F245:F246"/>
    <mergeCell ref="A251:A252"/>
    <mergeCell ref="B251:B252"/>
    <mergeCell ref="C251:C252"/>
    <mergeCell ref="E251:E252"/>
    <mergeCell ref="F247:F248"/>
    <mergeCell ref="A249:A250"/>
    <mergeCell ref="B249:B250"/>
    <mergeCell ref="C249:C250"/>
    <mergeCell ref="E249:E250"/>
    <mergeCell ref="F249:F250"/>
    <mergeCell ref="A256:A257"/>
    <mergeCell ref="B256:B257"/>
    <mergeCell ref="C256:C257"/>
    <mergeCell ref="E256:E257"/>
    <mergeCell ref="F251:F252"/>
    <mergeCell ref="A253:A254"/>
    <mergeCell ref="B253:B254"/>
    <mergeCell ref="C253:C254"/>
    <mergeCell ref="E253:E254"/>
    <mergeCell ref="F253:F254"/>
    <mergeCell ref="A261:A262"/>
    <mergeCell ref="B261:B262"/>
    <mergeCell ref="C261:C262"/>
    <mergeCell ref="E261:E262"/>
    <mergeCell ref="F256:F257"/>
    <mergeCell ref="A259:A260"/>
    <mergeCell ref="B259:B260"/>
    <mergeCell ref="C259:C260"/>
    <mergeCell ref="E259:E260"/>
    <mergeCell ref="F259:F260"/>
    <mergeCell ref="A330:A331"/>
    <mergeCell ref="B330:B331"/>
    <mergeCell ref="C330:C331"/>
    <mergeCell ref="E330:E331"/>
    <mergeCell ref="F261:F262"/>
    <mergeCell ref="A290:A291"/>
    <mergeCell ref="B290:B291"/>
    <mergeCell ref="C290:C291"/>
    <mergeCell ref="E290:E291"/>
    <mergeCell ref="F290:F291"/>
    <mergeCell ref="A373:A374"/>
    <mergeCell ref="B373:B374"/>
    <mergeCell ref="C373:C374"/>
    <mergeCell ref="E373:E374"/>
    <mergeCell ref="F330:F331"/>
    <mergeCell ref="A351:A352"/>
    <mergeCell ref="B351:B352"/>
    <mergeCell ref="C351:C352"/>
    <mergeCell ref="E351:E352"/>
    <mergeCell ref="F351:F352"/>
    <mergeCell ref="A378:A379"/>
    <mergeCell ref="B378:B379"/>
    <mergeCell ref="C378:C379"/>
    <mergeCell ref="E378:E379"/>
    <mergeCell ref="F373:F374"/>
    <mergeCell ref="A376:A377"/>
    <mergeCell ref="B376:B377"/>
    <mergeCell ref="C376:C377"/>
    <mergeCell ref="E376:E377"/>
    <mergeCell ref="F376:F377"/>
    <mergeCell ref="A406:A407"/>
    <mergeCell ref="B406:B407"/>
    <mergeCell ref="C406:C407"/>
    <mergeCell ref="E406:E407"/>
    <mergeCell ref="F378:F379"/>
    <mergeCell ref="A380:A381"/>
    <mergeCell ref="B380:B381"/>
    <mergeCell ref="C380:C381"/>
    <mergeCell ref="E380:E381"/>
    <mergeCell ref="F380:F381"/>
    <mergeCell ref="A452:A453"/>
    <mergeCell ref="B452:B453"/>
    <mergeCell ref="C452:C453"/>
    <mergeCell ref="E452:E453"/>
    <mergeCell ref="F406:F407"/>
    <mergeCell ref="A409:A410"/>
    <mergeCell ref="B409:B410"/>
    <mergeCell ref="C409:C410"/>
    <mergeCell ref="E409:E410"/>
    <mergeCell ref="F409:F410"/>
    <mergeCell ref="C542:K542"/>
    <mergeCell ref="C543:M543"/>
    <mergeCell ref="C545:K545"/>
    <mergeCell ref="C546:M546"/>
    <mergeCell ref="F452:F453"/>
    <mergeCell ref="A455:A456"/>
    <mergeCell ref="B455:B456"/>
    <mergeCell ref="C455:C456"/>
    <mergeCell ref="E455:E456"/>
    <mergeCell ref="F455:F456"/>
  </mergeCells>
  <phoneticPr fontId="0" type="noConversion"/>
  <pageMargins left="0.39370078740157477" right="0.39370078740157477" top="0.78740157480314954" bottom="0.39370078740157477" header="0.78740157480314954" footer="0.39370078740157477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2:N95"/>
  <sheetViews>
    <sheetView workbookViewId="0"/>
  </sheetViews>
  <sheetFormatPr defaultRowHeight="10.5" x14ac:dyDescent="0.15"/>
  <cols>
    <col min="1" max="1" width="4.7109375" style="40" customWidth="1"/>
    <col min="2" max="2" width="44.42578125" style="5" customWidth="1"/>
    <col min="3" max="3" width="3.42578125" style="49" customWidth="1"/>
    <col min="4" max="4" width="6" style="52" customWidth="1"/>
    <col min="5" max="5" width="6" style="5" customWidth="1"/>
    <col min="6" max="9" width="10.7109375" style="52" customWidth="1"/>
    <col min="10" max="11" width="12.7109375" style="52" customWidth="1"/>
    <col min="12" max="12" width="10.7109375" style="52" customWidth="1"/>
    <col min="13" max="13" width="9.140625" style="52"/>
    <col min="14" max="14" width="3.42578125" style="49" hidden="1" customWidth="1"/>
    <col min="15" max="16384" width="9.140625" style="52"/>
  </cols>
  <sheetData>
    <row r="2" spans="1:14" x14ac:dyDescent="0.15">
      <c r="A2" s="78"/>
      <c r="B2" s="84"/>
      <c r="C2" s="84"/>
      <c r="D2" s="85"/>
      <c r="E2" s="84"/>
      <c r="F2" s="85"/>
      <c r="G2" s="85"/>
      <c r="H2" s="85"/>
      <c r="I2" s="85"/>
      <c r="J2" s="85"/>
      <c r="K2" s="85"/>
      <c r="N2" s="52"/>
    </row>
    <row r="3" spans="1:14" x14ac:dyDescent="0.15">
      <c r="A3" s="47"/>
      <c r="B3" s="80" t="s">
        <v>407</v>
      </c>
      <c r="C3" s="80"/>
      <c r="D3" s="80"/>
      <c r="E3" s="80"/>
      <c r="F3" s="80"/>
      <c r="G3" s="80"/>
      <c r="H3" s="80"/>
      <c r="I3" s="80"/>
      <c r="J3" s="80"/>
      <c r="K3" s="80"/>
      <c r="N3" s="52"/>
    </row>
    <row r="4" spans="1:14" x14ac:dyDescent="0.15">
      <c r="A4" s="47"/>
      <c r="B4" s="80" t="s">
        <v>408</v>
      </c>
      <c r="C4" s="80"/>
      <c r="D4" s="80"/>
      <c r="E4" s="80"/>
      <c r="F4" s="80"/>
      <c r="G4" s="80"/>
      <c r="H4" s="80"/>
      <c r="I4" s="80"/>
      <c r="J4" s="80"/>
      <c r="K4" s="80"/>
      <c r="N4" s="52"/>
    </row>
    <row r="5" spans="1:14" x14ac:dyDescent="0.15">
      <c r="A5" s="78"/>
      <c r="B5" s="84"/>
      <c r="C5" s="84"/>
      <c r="D5" s="85"/>
      <c r="E5" s="84"/>
      <c r="F5" s="85"/>
      <c r="G5" s="85"/>
      <c r="H5" s="85"/>
      <c r="I5" s="85"/>
      <c r="J5" s="85"/>
      <c r="K5" s="85"/>
      <c r="N5" s="52"/>
    </row>
    <row r="6" spans="1:14" s="45" customFormat="1" x14ac:dyDescent="0.15">
      <c r="A6" s="46"/>
      <c r="B6" s="45" t="s">
        <v>290</v>
      </c>
      <c r="C6" s="45" t="s">
        <v>471</v>
      </c>
      <c r="D6" s="41" t="s">
        <v>472</v>
      </c>
      <c r="E6" s="45" t="s">
        <v>473</v>
      </c>
      <c r="F6" s="45" t="s">
        <v>474</v>
      </c>
      <c r="G6" s="45" t="s">
        <v>475</v>
      </c>
      <c r="H6" s="45" t="s">
        <v>476</v>
      </c>
      <c r="I6" s="45" t="s">
        <v>477</v>
      </c>
      <c r="J6" s="45" t="s">
        <v>478</v>
      </c>
      <c r="K6" s="45" t="s">
        <v>479</v>
      </c>
      <c r="L6" s="45" t="s">
        <v>480</v>
      </c>
      <c r="M6" s="45" t="s">
        <v>481</v>
      </c>
    </row>
    <row r="7" spans="1:14" x14ac:dyDescent="0.15">
      <c r="A7" s="40">
        <v>1</v>
      </c>
      <c r="B7" s="5" t="s">
        <v>227</v>
      </c>
      <c r="C7" s="49" t="s">
        <v>482</v>
      </c>
      <c r="D7" s="52">
        <v>0</v>
      </c>
      <c r="E7" s="52"/>
      <c r="F7" s="48">
        <f>ROUND(SUM('Текущие цены с учетом расхода'!B6:B27),0)</f>
        <v>0</v>
      </c>
      <c r="G7" s="48">
        <f>ROUND(SUM('Текущие цены с учетом расхода'!C6:C27),0)</f>
        <v>0</v>
      </c>
      <c r="H7" s="48">
        <f>ROUND(SUM('Текущие цены с учетом расхода'!D6:D27),0)</f>
        <v>0</v>
      </c>
      <c r="I7" s="48">
        <f>ROUND(SUM('Текущие цены с учетом расхода'!E6:E27),0)</f>
        <v>0</v>
      </c>
      <c r="J7" s="44">
        <f>ROUND(SUM('Текущие цены с учетом расхода'!I6:I27),2)</f>
        <v>0</v>
      </c>
      <c r="K7" s="44">
        <f>ROUND(SUM('Текущие цены с учетом расхода'!K6:K27),2)</f>
        <v>0</v>
      </c>
      <c r="L7" s="48">
        <f>ROUND(SUM('Текущие цены с учетом расхода'!F6:F27),0)</f>
        <v>0</v>
      </c>
      <c r="N7" s="49" t="s">
        <v>467</v>
      </c>
    </row>
    <row r="8" spans="1:14" x14ac:dyDescent="0.15">
      <c r="A8" s="40">
        <v>2</v>
      </c>
      <c r="B8" s="5" t="s">
        <v>228</v>
      </c>
      <c r="C8" s="49" t="s">
        <v>483</v>
      </c>
      <c r="D8" s="52">
        <v>0</v>
      </c>
      <c r="F8" s="48">
        <f>ROUND(SUMIF(Определители!I6:I27,"= ",'Текущие цены с учетом расхода'!B6:B27),0)</f>
        <v>0</v>
      </c>
      <c r="G8" s="48">
        <f>ROUND(SUMIF(Определители!I6:I27,"= ",'Текущие цены с учетом расхода'!C6:C27),0)</f>
        <v>0</v>
      </c>
      <c r="H8" s="48">
        <f>ROUND(SUMIF(Определители!I6:I27,"= ",'Текущие цены с учетом расхода'!D6:D27),0)</f>
        <v>0</v>
      </c>
      <c r="I8" s="48">
        <f>ROUND(SUMIF(Определители!I6:I27,"= ",'Текущие цены с учетом расхода'!E6:E27),0)</f>
        <v>0</v>
      </c>
      <c r="J8" s="44">
        <f>ROUND(SUMIF(Определители!I6:I27,"= ",'Текущие цены с учетом расхода'!I6:I27),2)</f>
        <v>0</v>
      </c>
      <c r="K8" s="44">
        <f>ROUND(SUMIF(Определители!I6:I27,"= ",'Текущие цены с учетом расхода'!K6:K27),2)</f>
        <v>0</v>
      </c>
      <c r="L8" s="48">
        <f>ROUND(SUMIF(Определители!I6:I27,"= ",'Текущие цены с учетом расхода'!F6:F27),0)</f>
        <v>0</v>
      </c>
      <c r="N8" s="49" t="s">
        <v>470</v>
      </c>
    </row>
    <row r="9" spans="1:14" x14ac:dyDescent="0.15">
      <c r="A9" s="40">
        <v>3</v>
      </c>
      <c r="B9" s="5" t="s">
        <v>229</v>
      </c>
      <c r="C9" s="49" t="s">
        <v>483</v>
      </c>
      <c r="D9" s="52">
        <v>0</v>
      </c>
      <c r="F9" s="48">
        <f ca="1">ROUND(СУММПРОИЗВЕСЛИ(0.01,Определители!I6:I27," ",'Текущие цены с учетом расхода'!B6:B27,Начисления!X6:X27,0),0)</f>
        <v>0</v>
      </c>
      <c r="G9" s="48"/>
      <c r="H9" s="48"/>
      <c r="I9" s="48"/>
      <c r="J9" s="44"/>
      <c r="K9" s="44"/>
      <c r="L9" s="48"/>
      <c r="N9" s="49" t="s">
        <v>469</v>
      </c>
    </row>
    <row r="10" spans="1:14" x14ac:dyDescent="0.15">
      <c r="A10" s="40">
        <v>4</v>
      </c>
      <c r="B10" s="5" t="s">
        <v>230</v>
      </c>
      <c r="C10" s="49" t="s">
        <v>483</v>
      </c>
      <c r="D10" s="52">
        <v>0</v>
      </c>
      <c r="F10" s="48">
        <f ca="1">ROUND(СУММПРОИЗВЕСЛИ(0.01,Определители!I6:I27," ",'Текущие цены с учетом расхода'!B6:B27,Начисления!Y6:Y27,0),0)</f>
        <v>0</v>
      </c>
      <c r="G10" s="48"/>
      <c r="H10" s="48"/>
      <c r="I10" s="48"/>
      <c r="J10" s="44"/>
      <c r="K10" s="44"/>
      <c r="L10" s="48"/>
      <c r="N10" s="49" t="s">
        <v>484</v>
      </c>
    </row>
    <row r="11" spans="1:14" x14ac:dyDescent="0.15">
      <c r="A11" s="40">
        <v>5</v>
      </c>
      <c r="B11" s="5" t="s">
        <v>231</v>
      </c>
      <c r="C11" s="49" t="s">
        <v>483</v>
      </c>
      <c r="D11" s="52">
        <v>0</v>
      </c>
      <c r="F11" s="48">
        <f ca="1">ROUND(ТРАНСПРАСХОД(Определители!B6:B27,Определители!H6:H27,Определители!I6:I27,'Текущие цены с учетом расхода'!B6:B27,Начисления!Z6:Z27,Начисления!AA6:AA27),0)</f>
        <v>0</v>
      </c>
      <c r="G11" s="48"/>
      <c r="H11" s="48"/>
      <c r="I11" s="48"/>
      <c r="J11" s="44"/>
      <c r="K11" s="44"/>
      <c r="L11" s="48"/>
      <c r="N11" s="49" t="s">
        <v>485</v>
      </c>
    </row>
    <row r="12" spans="1:14" x14ac:dyDescent="0.15">
      <c r="A12" s="40">
        <v>6</v>
      </c>
      <c r="B12" s="5" t="s">
        <v>232</v>
      </c>
      <c r="C12" s="49" t="s">
        <v>483</v>
      </c>
      <c r="D12" s="52">
        <v>0</v>
      </c>
      <c r="F12" s="48">
        <f ca="1">ROUND(СУММПРОИЗВЕСЛИ(0.01,Определители!I6:I27," ",'Текущие цены с учетом расхода'!B6:B27,Начисления!AC6:AC27,0),0)</f>
        <v>0</v>
      </c>
      <c r="G12" s="48"/>
      <c r="H12" s="48"/>
      <c r="I12" s="48"/>
      <c r="J12" s="44"/>
      <c r="K12" s="44"/>
      <c r="L12" s="48"/>
      <c r="N12" s="49" t="s">
        <v>486</v>
      </c>
    </row>
    <row r="13" spans="1:14" x14ac:dyDescent="0.15">
      <c r="A13" s="40">
        <v>7</v>
      </c>
      <c r="B13" s="5" t="s">
        <v>233</v>
      </c>
      <c r="C13" s="49" t="s">
        <v>483</v>
      </c>
      <c r="D13" s="52">
        <v>0</v>
      </c>
      <c r="F13" s="48">
        <f ca="1">ROUND(СУММПРОИЗВЕСЛИ(0.01,Определители!I6:I27," ",'Текущие цены с учетом расхода'!B6:B27,Начисления!AF6:AF27,0),0)</f>
        <v>0</v>
      </c>
      <c r="G13" s="48"/>
      <c r="H13" s="48"/>
      <c r="I13" s="48"/>
      <c r="J13" s="44"/>
      <c r="K13" s="44"/>
      <c r="L13" s="48"/>
      <c r="N13" s="49" t="s">
        <v>487</v>
      </c>
    </row>
    <row r="14" spans="1:14" x14ac:dyDescent="0.15">
      <c r="A14" s="40">
        <v>8</v>
      </c>
      <c r="B14" s="5" t="s">
        <v>234</v>
      </c>
      <c r="C14" s="49" t="s">
        <v>483</v>
      </c>
      <c r="D14" s="52">
        <v>0</v>
      </c>
      <c r="F14" s="48">
        <f ca="1">ROUND(ЗАГОТСКЛАДРАСХОД(Определители!B6:B27,Определители!H6:H27,Определители!I6:I27,'Текущие цены с учетом расхода'!B6:B27,Начисления!X6:X27,Начисления!Y6:Y27,Начисления!Z6:Z27,Начисления!AA6:AA27,Начисления!AB6:AB27,Начисления!AC6:AC27,Начисления!AF6:AF27),0)</f>
        <v>0</v>
      </c>
      <c r="G14" s="48"/>
      <c r="H14" s="48"/>
      <c r="I14" s="48"/>
      <c r="J14" s="44"/>
      <c r="K14" s="44"/>
      <c r="L14" s="48"/>
      <c r="N14" s="49" t="s">
        <v>488</v>
      </c>
    </row>
    <row r="15" spans="1:14" x14ac:dyDescent="0.15">
      <c r="A15" s="40">
        <v>9</v>
      </c>
      <c r="B15" s="5" t="s">
        <v>235</v>
      </c>
      <c r="C15" s="49" t="s">
        <v>483</v>
      </c>
      <c r="D15" s="52">
        <v>0</v>
      </c>
      <c r="F15" s="48">
        <f ca="1">ROUND(СУММПРОИЗВЕСЛИ(1,Определители!I6:I27," ",'Текущие цены с учетом расхода'!M6:M27,Начисления!I6:I27,0),0)</f>
        <v>0</v>
      </c>
      <c r="G15" s="48"/>
      <c r="H15" s="48"/>
      <c r="I15" s="48"/>
      <c r="J15" s="44"/>
      <c r="K15" s="44"/>
      <c r="L15" s="48"/>
      <c r="N15" s="49" t="s">
        <v>489</v>
      </c>
    </row>
    <row r="16" spans="1:14" x14ac:dyDescent="0.15">
      <c r="A16" s="40">
        <v>10</v>
      </c>
      <c r="B16" s="5" t="s">
        <v>236</v>
      </c>
      <c r="C16" s="49" t="s">
        <v>490</v>
      </c>
      <c r="D16" s="52">
        <v>0</v>
      </c>
      <c r="F16" s="48">
        <f ca="1">ROUND((F15+F26+F46),0)</f>
        <v>0</v>
      </c>
      <c r="G16" s="48"/>
      <c r="H16" s="48"/>
      <c r="I16" s="48"/>
      <c r="J16" s="44"/>
      <c r="K16" s="44"/>
      <c r="L16" s="48"/>
      <c r="N16" s="49" t="s">
        <v>491</v>
      </c>
    </row>
    <row r="17" spans="1:14" x14ac:dyDescent="0.15">
      <c r="A17" s="40">
        <v>11</v>
      </c>
      <c r="B17" s="5" t="s">
        <v>237</v>
      </c>
      <c r="C17" s="49" t="s">
        <v>490</v>
      </c>
      <c r="D17" s="52">
        <v>0</v>
      </c>
      <c r="F17" s="48">
        <f ca="1">ROUND((F8+F9+F10+F11+F12+F13+F14+F16),0)</f>
        <v>0</v>
      </c>
      <c r="G17" s="48"/>
      <c r="H17" s="48"/>
      <c r="I17" s="48"/>
      <c r="J17" s="44"/>
      <c r="K17" s="44"/>
      <c r="L17" s="48"/>
      <c r="N17" s="49" t="s">
        <v>492</v>
      </c>
    </row>
    <row r="18" spans="1:14" x14ac:dyDescent="0.15">
      <c r="A18" s="40">
        <v>12</v>
      </c>
      <c r="B18" s="5" t="s">
        <v>238</v>
      </c>
      <c r="C18" s="49" t="s">
        <v>483</v>
      </c>
      <c r="D18" s="52">
        <v>0</v>
      </c>
      <c r="F18" s="48">
        <f>ROUND(SUMIF(Определители!I6:I27,"=1",'Текущие цены с учетом расхода'!B6:B27),0)</f>
        <v>0</v>
      </c>
      <c r="G18" s="48">
        <f>ROUND(SUMIF(Определители!I6:I27,"=1",'Текущие цены с учетом расхода'!C6:C27),0)</f>
        <v>0</v>
      </c>
      <c r="H18" s="48">
        <f>ROUND(SUMIF(Определители!I6:I27,"=1",'Текущие цены с учетом расхода'!D6:D27),0)</f>
        <v>0</v>
      </c>
      <c r="I18" s="48">
        <f>ROUND(SUMIF(Определители!I6:I27,"=1",'Текущие цены с учетом расхода'!E6:E27),0)</f>
        <v>0</v>
      </c>
      <c r="J18" s="44">
        <f>ROUND(SUMIF(Определители!I6:I27,"=1",'Текущие цены с учетом расхода'!I6:I27),2)</f>
        <v>0</v>
      </c>
      <c r="K18" s="44">
        <f>ROUND(SUMIF(Определители!I6:I27,"=1",'Текущие цены с учетом расхода'!K6:K27),2)</f>
        <v>0</v>
      </c>
      <c r="L18" s="48">
        <f>ROUND(SUMIF(Определители!I6:I27,"=1",'Текущие цены с учетом расхода'!F6:F27),0)</f>
        <v>0</v>
      </c>
      <c r="N18" s="49" t="s">
        <v>493</v>
      </c>
    </row>
    <row r="19" spans="1:14" x14ac:dyDescent="0.15">
      <c r="A19" s="40">
        <v>13</v>
      </c>
      <c r="B19" s="5" t="s">
        <v>239</v>
      </c>
      <c r="C19" s="49" t="s">
        <v>483</v>
      </c>
      <c r="D19" s="52">
        <v>0</v>
      </c>
      <c r="F19" s="48"/>
      <c r="G19" s="48"/>
      <c r="H19" s="48"/>
      <c r="I19" s="48"/>
      <c r="J19" s="44"/>
      <c r="K19" s="44"/>
      <c r="L19" s="48"/>
      <c r="N19" s="49" t="s">
        <v>494</v>
      </c>
    </row>
    <row r="20" spans="1:14" x14ac:dyDescent="0.15">
      <c r="A20" s="40">
        <v>14</v>
      </c>
      <c r="B20" s="5" t="s">
        <v>240</v>
      </c>
      <c r="C20" s="49" t="s">
        <v>483</v>
      </c>
      <c r="D20" s="52">
        <v>0</v>
      </c>
      <c r="F20" s="48"/>
      <c r="G20" s="48">
        <f>ROUND(SUMIF(Определители!I6:I27,"=1",'Текущие цены с учетом расхода'!U6:U27),0)</f>
        <v>0</v>
      </c>
      <c r="H20" s="48"/>
      <c r="I20" s="48"/>
      <c r="J20" s="44"/>
      <c r="K20" s="44"/>
      <c r="L20" s="48"/>
      <c r="N20" s="49" t="s">
        <v>495</v>
      </c>
    </row>
    <row r="21" spans="1:14" x14ac:dyDescent="0.15">
      <c r="A21" s="40">
        <v>15</v>
      </c>
      <c r="B21" s="5" t="s">
        <v>241</v>
      </c>
      <c r="C21" s="49" t="s">
        <v>483</v>
      </c>
      <c r="D21" s="52">
        <v>0</v>
      </c>
      <c r="F21" s="48">
        <f>ROUND(SUMIF(Определители!I6:I27,"=1",'Текущие цены с учетом расхода'!V6:V27),0)</f>
        <v>0</v>
      </c>
      <c r="G21" s="48"/>
      <c r="H21" s="48"/>
      <c r="I21" s="48"/>
      <c r="J21" s="44"/>
      <c r="K21" s="44"/>
      <c r="L21" s="48"/>
      <c r="N21" s="49" t="s">
        <v>496</v>
      </c>
    </row>
    <row r="22" spans="1:14" x14ac:dyDescent="0.15">
      <c r="A22" s="40">
        <v>16</v>
      </c>
      <c r="B22" s="5" t="s">
        <v>242</v>
      </c>
      <c r="C22" s="49" t="s">
        <v>483</v>
      </c>
      <c r="D22" s="52">
        <v>0</v>
      </c>
      <c r="F22" s="48">
        <f ca="1">ROUND(СУММЕСЛИ2(Определители!I6:I27,"1",Определители!G6:G27,"1",'Текущие цены с учетом расхода'!B6:B27),0)</f>
        <v>0</v>
      </c>
      <c r="G22" s="48"/>
      <c r="H22" s="48"/>
      <c r="I22" s="48"/>
      <c r="J22" s="44"/>
      <c r="K22" s="44"/>
      <c r="L22" s="48"/>
      <c r="N22" s="49" t="s">
        <v>497</v>
      </c>
    </row>
    <row r="23" spans="1:14" x14ac:dyDescent="0.15">
      <c r="A23" s="40">
        <v>17</v>
      </c>
      <c r="B23" s="5" t="s">
        <v>243</v>
      </c>
      <c r="C23" s="49" t="s">
        <v>483</v>
      </c>
      <c r="D23" s="52">
        <v>0</v>
      </c>
      <c r="F23" s="48">
        <f>ROUND(SUMIF(Определители!I6:I27,"=1",'Текущие цены с учетом расхода'!H6:H27),0)</f>
        <v>0</v>
      </c>
      <c r="G23" s="48"/>
      <c r="H23" s="48"/>
      <c r="I23" s="48"/>
      <c r="J23" s="44"/>
      <c r="K23" s="44"/>
      <c r="L23" s="48"/>
      <c r="N23" s="49" t="s">
        <v>498</v>
      </c>
    </row>
    <row r="24" spans="1:14" x14ac:dyDescent="0.15">
      <c r="A24" s="40">
        <v>18</v>
      </c>
      <c r="B24" s="5" t="s">
        <v>244</v>
      </c>
      <c r="C24" s="49" t="s">
        <v>483</v>
      </c>
      <c r="D24" s="52">
        <v>0</v>
      </c>
      <c r="F24" s="48">
        <f>ROUND(SUMIF(Определители!I6:I27,"=1",'Текущие цены с учетом расхода'!N6:N27),0)</f>
        <v>0</v>
      </c>
      <c r="G24" s="48"/>
      <c r="H24" s="48"/>
      <c r="I24" s="48"/>
      <c r="J24" s="44"/>
      <c r="K24" s="44"/>
      <c r="L24" s="48"/>
      <c r="N24" s="49" t="s">
        <v>499</v>
      </c>
    </row>
    <row r="25" spans="1:14" x14ac:dyDescent="0.15">
      <c r="A25" s="40">
        <v>19</v>
      </c>
      <c r="B25" s="5" t="s">
        <v>245</v>
      </c>
      <c r="C25" s="49" t="s">
        <v>483</v>
      </c>
      <c r="D25" s="52">
        <v>0</v>
      </c>
      <c r="F25" s="48">
        <f>ROUND(SUMIF(Определители!I6:I27,"=1",'Текущие цены с учетом расхода'!O6:O27),0)</f>
        <v>0</v>
      </c>
      <c r="G25" s="48"/>
      <c r="H25" s="48"/>
      <c r="I25" s="48"/>
      <c r="J25" s="44"/>
      <c r="K25" s="44"/>
      <c r="L25" s="48"/>
      <c r="N25" s="49" t="s">
        <v>500</v>
      </c>
    </row>
    <row r="26" spans="1:14" x14ac:dyDescent="0.15">
      <c r="A26" s="40">
        <v>20</v>
      </c>
      <c r="B26" s="5" t="s">
        <v>236</v>
      </c>
      <c r="C26" s="49" t="s">
        <v>483</v>
      </c>
      <c r="D26" s="52">
        <v>0</v>
      </c>
      <c r="F26" s="48">
        <f ca="1">ROUND(СУММПРОИЗВЕСЛИ(1,Определители!I6:I27," ",'Текущие цены с учетом расхода'!M6:M27,Начисления!I6:I27,0),0)</f>
        <v>0</v>
      </c>
      <c r="G26" s="48"/>
      <c r="H26" s="48"/>
      <c r="I26" s="48"/>
      <c r="J26" s="44"/>
      <c r="K26" s="44"/>
      <c r="L26" s="48"/>
      <c r="N26" s="49" t="s">
        <v>501</v>
      </c>
    </row>
    <row r="27" spans="1:14" x14ac:dyDescent="0.15">
      <c r="A27" s="40">
        <v>21</v>
      </c>
      <c r="B27" s="5" t="s">
        <v>246</v>
      </c>
      <c r="C27" s="49" t="s">
        <v>490</v>
      </c>
      <c r="D27" s="52">
        <v>0</v>
      </c>
      <c r="F27" s="48">
        <f>ROUND((F18+F24+F25),0)</f>
        <v>0</v>
      </c>
      <c r="G27" s="48"/>
      <c r="H27" s="48"/>
      <c r="I27" s="48"/>
      <c r="J27" s="44"/>
      <c r="K27" s="44"/>
      <c r="L27" s="48"/>
      <c r="N27" s="49" t="s">
        <v>502</v>
      </c>
    </row>
    <row r="28" spans="1:14" x14ac:dyDescent="0.15">
      <c r="A28" s="40">
        <v>22</v>
      </c>
      <c r="B28" s="5" t="s">
        <v>247</v>
      </c>
      <c r="C28" s="49" t="s">
        <v>483</v>
      </c>
      <c r="D28" s="52">
        <v>0</v>
      </c>
      <c r="F28" s="48">
        <f>ROUND(SUMIF(Определители!I6:I27,"=2",'Текущие цены с учетом расхода'!B6:B27),0)</f>
        <v>0</v>
      </c>
      <c r="G28" s="48">
        <f>ROUND(SUMIF(Определители!I6:I27,"=2",'Текущие цены с учетом расхода'!C6:C27),0)</f>
        <v>0</v>
      </c>
      <c r="H28" s="48">
        <f>ROUND(SUMIF(Определители!I6:I27,"=2",'Текущие цены с учетом расхода'!D6:D27),0)</f>
        <v>0</v>
      </c>
      <c r="I28" s="48">
        <f>ROUND(SUMIF(Определители!I6:I27,"=2",'Текущие цены с учетом расхода'!E6:E27),0)</f>
        <v>0</v>
      </c>
      <c r="J28" s="44">
        <f>ROUND(SUMIF(Определители!I6:I27,"=2",'Текущие цены с учетом расхода'!I6:I27),2)</f>
        <v>0</v>
      </c>
      <c r="K28" s="44">
        <f>ROUND(SUMIF(Определители!I6:I27,"=2",'Текущие цены с учетом расхода'!K6:K27),2)</f>
        <v>0</v>
      </c>
      <c r="L28" s="48">
        <f>ROUND(SUMIF(Определители!I6:I27,"=2",'Текущие цены с учетом расхода'!F6:F27),0)</f>
        <v>0</v>
      </c>
      <c r="N28" s="49" t="s">
        <v>503</v>
      </c>
    </row>
    <row r="29" spans="1:14" x14ac:dyDescent="0.15">
      <c r="A29" s="40">
        <v>23</v>
      </c>
      <c r="B29" s="5" t="s">
        <v>239</v>
      </c>
      <c r="C29" s="49" t="s">
        <v>483</v>
      </c>
      <c r="D29" s="52">
        <v>0</v>
      </c>
      <c r="F29" s="48"/>
      <c r="G29" s="48"/>
      <c r="H29" s="48"/>
      <c r="I29" s="48"/>
      <c r="J29" s="44"/>
      <c r="K29" s="44"/>
      <c r="L29" s="48"/>
      <c r="N29" s="49" t="s">
        <v>504</v>
      </c>
    </row>
    <row r="30" spans="1:14" x14ac:dyDescent="0.15">
      <c r="A30" s="40">
        <v>24</v>
      </c>
      <c r="B30" s="5" t="s">
        <v>248</v>
      </c>
      <c r="C30" s="49" t="s">
        <v>483</v>
      </c>
      <c r="D30" s="52">
        <v>0</v>
      </c>
      <c r="F30" s="48">
        <f ca="1">ROUND(СУММЕСЛИ2(Определители!I6:I27,"2",Определители!G6:G27,"1",'Текущие цены с учетом расхода'!B6:B27),0)</f>
        <v>0</v>
      </c>
      <c r="G30" s="48"/>
      <c r="H30" s="48"/>
      <c r="I30" s="48"/>
      <c r="J30" s="44"/>
      <c r="K30" s="44"/>
      <c r="L30" s="48"/>
      <c r="N30" s="49" t="s">
        <v>505</v>
      </c>
    </row>
    <row r="31" spans="1:14" x14ac:dyDescent="0.15">
      <c r="A31" s="40">
        <v>25</v>
      </c>
      <c r="B31" s="5" t="s">
        <v>243</v>
      </c>
      <c r="C31" s="49" t="s">
        <v>483</v>
      </c>
      <c r="D31" s="52">
        <v>0</v>
      </c>
      <c r="F31" s="48">
        <f>ROUND(SUMIF(Определители!I6:I27,"=2",'Текущие цены с учетом расхода'!H6:H27),0)</f>
        <v>0</v>
      </c>
      <c r="G31" s="48"/>
      <c r="H31" s="48"/>
      <c r="I31" s="48"/>
      <c r="J31" s="44"/>
      <c r="K31" s="44"/>
      <c r="L31" s="48"/>
      <c r="N31" s="49" t="s">
        <v>506</v>
      </c>
    </row>
    <row r="32" spans="1:14" x14ac:dyDescent="0.15">
      <c r="A32" s="40">
        <v>26</v>
      </c>
      <c r="B32" s="5" t="s">
        <v>244</v>
      </c>
      <c r="C32" s="49" t="s">
        <v>483</v>
      </c>
      <c r="D32" s="52">
        <v>0</v>
      </c>
      <c r="F32" s="48">
        <f>ROUND(SUMIF(Определители!I6:I27,"=2",'Текущие цены с учетом расхода'!N6:N27),0)</f>
        <v>0</v>
      </c>
      <c r="G32" s="48"/>
      <c r="H32" s="48"/>
      <c r="I32" s="48"/>
      <c r="J32" s="44"/>
      <c r="K32" s="44"/>
      <c r="L32" s="48"/>
      <c r="N32" s="49" t="s">
        <v>507</v>
      </c>
    </row>
    <row r="33" spans="1:14" x14ac:dyDescent="0.15">
      <c r="A33" s="40">
        <v>27</v>
      </c>
      <c r="B33" s="5" t="s">
        <v>245</v>
      </c>
      <c r="C33" s="49" t="s">
        <v>483</v>
      </c>
      <c r="D33" s="52">
        <v>0</v>
      </c>
      <c r="F33" s="48">
        <f>ROUND(SUMIF(Определители!I6:I27,"=2",'Текущие цены с учетом расхода'!O6:O27),0)</f>
        <v>0</v>
      </c>
      <c r="G33" s="48"/>
      <c r="H33" s="48"/>
      <c r="I33" s="48"/>
      <c r="J33" s="44"/>
      <c r="K33" s="44"/>
      <c r="L33" s="48"/>
      <c r="N33" s="49" t="s">
        <v>508</v>
      </c>
    </row>
    <row r="34" spans="1:14" x14ac:dyDescent="0.15">
      <c r="A34" s="40">
        <v>28</v>
      </c>
      <c r="B34" s="5" t="s">
        <v>249</v>
      </c>
      <c r="C34" s="49" t="s">
        <v>490</v>
      </c>
      <c r="D34" s="52">
        <v>0</v>
      </c>
      <c r="F34" s="48">
        <f>ROUND((F28+F32+F33),0)</f>
        <v>0</v>
      </c>
      <c r="G34" s="48"/>
      <c r="H34" s="48"/>
      <c r="I34" s="48"/>
      <c r="J34" s="44"/>
      <c r="K34" s="44"/>
      <c r="L34" s="48"/>
      <c r="N34" s="49" t="s">
        <v>509</v>
      </c>
    </row>
    <row r="35" spans="1:14" x14ac:dyDescent="0.15">
      <c r="A35" s="40">
        <v>29</v>
      </c>
      <c r="B35" s="5" t="s">
        <v>250</v>
      </c>
      <c r="C35" s="49" t="s">
        <v>483</v>
      </c>
      <c r="D35" s="52">
        <v>0</v>
      </c>
      <c r="F35" s="48">
        <f>ROUND(SUMIF(Определители!I6:I27,"=3",'Текущие цены с учетом расхода'!B6:B27),0)</f>
        <v>0</v>
      </c>
      <c r="G35" s="48">
        <f>ROUND(SUMIF(Определители!I6:I27,"=3",'Текущие цены с учетом расхода'!C6:C27),0)</f>
        <v>0</v>
      </c>
      <c r="H35" s="48">
        <f>ROUND(SUMIF(Определители!I6:I27,"=3",'Текущие цены с учетом расхода'!D6:D27),0)</f>
        <v>0</v>
      </c>
      <c r="I35" s="48">
        <f>ROUND(SUMIF(Определители!I6:I27,"=3",'Текущие цены с учетом расхода'!E6:E27),0)</f>
        <v>0</v>
      </c>
      <c r="J35" s="44">
        <f>ROUND(SUMIF(Определители!I6:I27,"=3",'Текущие цены с учетом расхода'!I6:I27),2)</f>
        <v>0</v>
      </c>
      <c r="K35" s="44">
        <f>ROUND(SUMIF(Определители!I6:I27,"=3",'Текущие цены с учетом расхода'!K6:K27),2)</f>
        <v>0</v>
      </c>
      <c r="L35" s="48">
        <f>ROUND(SUMIF(Определители!I6:I27,"=3",'Текущие цены с учетом расхода'!F6:F27),0)</f>
        <v>0</v>
      </c>
      <c r="N35" s="49" t="s">
        <v>510</v>
      </c>
    </row>
    <row r="36" spans="1:14" x14ac:dyDescent="0.15">
      <c r="A36" s="40">
        <v>30</v>
      </c>
      <c r="B36" s="5" t="s">
        <v>243</v>
      </c>
      <c r="C36" s="49" t="s">
        <v>483</v>
      </c>
      <c r="D36" s="52">
        <v>0</v>
      </c>
      <c r="F36" s="48">
        <f>ROUND(SUMIF(Определители!I6:I27,"=3",'Текущие цены с учетом расхода'!H6:H27),0)</f>
        <v>0</v>
      </c>
      <c r="G36" s="48"/>
      <c r="H36" s="48"/>
      <c r="I36" s="48"/>
      <c r="J36" s="44"/>
      <c r="K36" s="44"/>
      <c r="L36" s="48"/>
      <c r="N36" s="49" t="s">
        <v>511</v>
      </c>
    </row>
    <row r="37" spans="1:14" x14ac:dyDescent="0.15">
      <c r="A37" s="40">
        <v>31</v>
      </c>
      <c r="B37" s="5" t="s">
        <v>244</v>
      </c>
      <c r="C37" s="49" t="s">
        <v>483</v>
      </c>
      <c r="D37" s="52">
        <v>0</v>
      </c>
      <c r="F37" s="48">
        <f>ROUND(SUMIF(Определители!I6:I27,"=3",'Текущие цены с учетом расхода'!N6:N27),0)</f>
        <v>0</v>
      </c>
      <c r="G37" s="48"/>
      <c r="H37" s="48"/>
      <c r="I37" s="48"/>
      <c r="J37" s="44"/>
      <c r="K37" s="44"/>
      <c r="L37" s="48"/>
      <c r="N37" s="49" t="s">
        <v>512</v>
      </c>
    </row>
    <row r="38" spans="1:14" x14ac:dyDescent="0.15">
      <c r="A38" s="40">
        <v>32</v>
      </c>
      <c r="B38" s="5" t="s">
        <v>245</v>
      </c>
      <c r="C38" s="49" t="s">
        <v>483</v>
      </c>
      <c r="D38" s="52">
        <v>0</v>
      </c>
      <c r="F38" s="48">
        <f>ROUND(SUMIF(Определители!I6:I27,"=3",'Текущие цены с учетом расхода'!O6:O27),0)</f>
        <v>0</v>
      </c>
      <c r="G38" s="48"/>
      <c r="H38" s="48"/>
      <c r="I38" s="48"/>
      <c r="J38" s="44"/>
      <c r="K38" s="44"/>
      <c r="L38" s="48"/>
      <c r="N38" s="49" t="s">
        <v>513</v>
      </c>
    </row>
    <row r="39" spans="1:14" x14ac:dyDescent="0.15">
      <c r="A39" s="40">
        <v>33</v>
      </c>
      <c r="B39" s="5" t="s">
        <v>251</v>
      </c>
      <c r="C39" s="49" t="s">
        <v>490</v>
      </c>
      <c r="D39" s="52">
        <v>0</v>
      </c>
      <c r="F39" s="48">
        <f>ROUND((F35+F37+F38),0)</f>
        <v>0</v>
      </c>
      <c r="G39" s="48"/>
      <c r="H39" s="48"/>
      <c r="I39" s="48"/>
      <c r="J39" s="44"/>
      <c r="K39" s="44"/>
      <c r="L39" s="48"/>
      <c r="N39" s="49" t="s">
        <v>514</v>
      </c>
    </row>
    <row r="40" spans="1:14" x14ac:dyDescent="0.15">
      <c r="A40" s="40">
        <v>34</v>
      </c>
      <c r="B40" s="5" t="s">
        <v>252</v>
      </c>
      <c r="C40" s="49" t="s">
        <v>483</v>
      </c>
      <c r="D40" s="52">
        <v>0</v>
      </c>
      <c r="F40" s="48">
        <f>ROUND(SUMIF(Определители!I6:I27,"=4",'Текущие цены с учетом расхода'!B6:B27),0)</f>
        <v>0</v>
      </c>
      <c r="G40" s="48">
        <f>ROUND(SUMIF(Определители!I6:I27,"=4",'Текущие цены с учетом расхода'!C6:C27),0)</f>
        <v>0</v>
      </c>
      <c r="H40" s="48">
        <f>ROUND(SUMIF(Определители!I6:I27,"=4",'Текущие цены с учетом расхода'!D6:D27),0)</f>
        <v>0</v>
      </c>
      <c r="I40" s="48">
        <f>ROUND(SUMIF(Определители!I6:I27,"=4",'Текущие цены с учетом расхода'!E6:E27),0)</f>
        <v>0</v>
      </c>
      <c r="J40" s="44">
        <f>ROUND(SUMIF(Определители!I6:I27,"=4",'Текущие цены с учетом расхода'!I6:I27),2)</f>
        <v>0</v>
      </c>
      <c r="K40" s="44">
        <f>ROUND(SUMIF(Определители!I6:I27,"=4",'Текущие цены с учетом расхода'!K6:K27),2)</f>
        <v>0</v>
      </c>
      <c r="L40" s="48">
        <f>ROUND(SUMIF(Определители!I6:I27,"=4",'Текущие цены с учетом расхода'!F6:F27),0)</f>
        <v>0</v>
      </c>
      <c r="N40" s="49" t="s">
        <v>515</v>
      </c>
    </row>
    <row r="41" spans="1:14" x14ac:dyDescent="0.15">
      <c r="A41" s="40">
        <v>35</v>
      </c>
      <c r="B41" s="5" t="s">
        <v>239</v>
      </c>
      <c r="C41" s="49" t="s">
        <v>483</v>
      </c>
      <c r="D41" s="52">
        <v>0</v>
      </c>
      <c r="F41" s="48"/>
      <c r="G41" s="48"/>
      <c r="H41" s="48"/>
      <c r="I41" s="48"/>
      <c r="J41" s="44"/>
      <c r="K41" s="44"/>
      <c r="L41" s="48"/>
      <c r="N41" s="49" t="s">
        <v>516</v>
      </c>
    </row>
    <row r="42" spans="1:14" x14ac:dyDescent="0.15">
      <c r="A42" s="40">
        <v>36</v>
      </c>
      <c r="B42" s="5" t="s">
        <v>253</v>
      </c>
      <c r="C42" s="49" t="s">
        <v>483</v>
      </c>
      <c r="D42" s="52">
        <v>0</v>
      </c>
      <c r="F42" s="48"/>
      <c r="G42" s="48"/>
      <c r="H42" s="48"/>
      <c r="I42" s="48"/>
      <c r="J42" s="44"/>
      <c r="K42" s="44"/>
      <c r="L42" s="48"/>
      <c r="N42" s="49" t="s">
        <v>517</v>
      </c>
    </row>
    <row r="43" spans="1:14" x14ac:dyDescent="0.15">
      <c r="A43" s="40">
        <v>37</v>
      </c>
      <c r="B43" s="5" t="s">
        <v>243</v>
      </c>
      <c r="C43" s="49" t="s">
        <v>483</v>
      </c>
      <c r="D43" s="52">
        <v>0</v>
      </c>
      <c r="F43" s="48">
        <f>ROUND(SUMIF(Определители!I6:I27,"=4",'Текущие цены с учетом расхода'!H6:H27),0)</f>
        <v>0</v>
      </c>
      <c r="G43" s="48"/>
      <c r="H43" s="48"/>
      <c r="I43" s="48"/>
      <c r="J43" s="44"/>
      <c r="K43" s="44"/>
      <c r="L43" s="48"/>
      <c r="N43" s="49" t="s">
        <v>518</v>
      </c>
    </row>
    <row r="44" spans="1:14" x14ac:dyDescent="0.15">
      <c r="A44" s="40">
        <v>38</v>
      </c>
      <c r="B44" s="5" t="s">
        <v>244</v>
      </c>
      <c r="C44" s="49" t="s">
        <v>483</v>
      </c>
      <c r="D44" s="52">
        <v>0</v>
      </c>
      <c r="F44" s="48">
        <f>ROUND(SUMIF(Определители!I6:I27,"=4",'Текущие цены с учетом расхода'!N6:N27),0)</f>
        <v>0</v>
      </c>
      <c r="G44" s="48"/>
      <c r="H44" s="48"/>
      <c r="I44" s="48"/>
      <c r="J44" s="44"/>
      <c r="K44" s="44"/>
      <c r="L44" s="48"/>
      <c r="N44" s="49" t="s">
        <v>519</v>
      </c>
    </row>
    <row r="45" spans="1:14" x14ac:dyDescent="0.15">
      <c r="A45" s="40">
        <v>39</v>
      </c>
      <c r="B45" s="5" t="s">
        <v>245</v>
      </c>
      <c r="C45" s="49" t="s">
        <v>483</v>
      </c>
      <c r="D45" s="52">
        <v>0</v>
      </c>
      <c r="F45" s="48">
        <f>ROUND(SUMIF(Определители!I6:I27,"=4",'Текущие цены с учетом расхода'!O6:O27),0)</f>
        <v>0</v>
      </c>
      <c r="G45" s="48"/>
      <c r="H45" s="48"/>
      <c r="I45" s="48"/>
      <c r="J45" s="44"/>
      <c r="K45" s="44"/>
      <c r="L45" s="48"/>
      <c r="N45" s="49" t="s">
        <v>520</v>
      </c>
    </row>
    <row r="46" spans="1:14" x14ac:dyDescent="0.15">
      <c r="A46" s="40">
        <v>40</v>
      </c>
      <c r="B46" s="5" t="s">
        <v>236</v>
      </c>
      <c r="C46" s="49" t="s">
        <v>483</v>
      </c>
      <c r="D46" s="52">
        <v>0</v>
      </c>
      <c r="F46" s="48">
        <f ca="1">ROUND(СУММПРОИЗВЕСЛИ(1,Определители!I6:I27," ",'Текущие цены с учетом расхода'!M6:M27,Начисления!I6:I27,0),0)</f>
        <v>0</v>
      </c>
      <c r="G46" s="48"/>
      <c r="H46" s="48"/>
      <c r="I46" s="48"/>
      <c r="J46" s="44"/>
      <c r="K46" s="44"/>
      <c r="L46" s="48"/>
      <c r="N46" s="49" t="s">
        <v>521</v>
      </c>
    </row>
    <row r="47" spans="1:14" x14ac:dyDescent="0.15">
      <c r="A47" s="40">
        <v>41</v>
      </c>
      <c r="B47" s="5" t="s">
        <v>254</v>
      </c>
      <c r="C47" s="49" t="s">
        <v>490</v>
      </c>
      <c r="D47" s="52">
        <v>0</v>
      </c>
      <c r="F47" s="48">
        <f>ROUND((F40+F44+F45),0)</f>
        <v>0</v>
      </c>
      <c r="G47" s="48"/>
      <c r="H47" s="48"/>
      <c r="I47" s="48"/>
      <c r="J47" s="44"/>
      <c r="K47" s="44"/>
      <c r="L47" s="48"/>
      <c r="N47" s="49" t="s">
        <v>522</v>
      </c>
    </row>
    <row r="48" spans="1:14" x14ac:dyDescent="0.15">
      <c r="A48" s="40">
        <v>42</v>
      </c>
      <c r="B48" s="5" t="s">
        <v>255</v>
      </c>
      <c r="C48" s="49" t="s">
        <v>483</v>
      </c>
      <c r="D48" s="52">
        <v>0</v>
      </c>
      <c r="F48" s="48">
        <f>ROUND(SUMIF(Определители!I6:I27,"=5",'Текущие цены с учетом расхода'!B6:B27),0)</f>
        <v>0</v>
      </c>
      <c r="G48" s="48">
        <f>ROUND(SUMIF(Определители!I6:I27,"=5",'Текущие цены с учетом расхода'!C6:C27),0)</f>
        <v>0</v>
      </c>
      <c r="H48" s="48">
        <f>ROUND(SUMIF(Определители!I6:I27,"=5",'Текущие цены с учетом расхода'!D6:D27),0)</f>
        <v>0</v>
      </c>
      <c r="I48" s="48">
        <f>ROUND(SUMIF(Определители!I6:I27,"=5",'Текущие цены с учетом расхода'!E6:E27),0)</f>
        <v>0</v>
      </c>
      <c r="J48" s="44">
        <f>ROUND(SUMIF(Определители!I6:I27,"=5",'Текущие цены с учетом расхода'!I6:I27),2)</f>
        <v>0</v>
      </c>
      <c r="K48" s="44">
        <f>ROUND(SUMIF(Определители!I6:I27,"=5",'Текущие цены с учетом расхода'!K6:K27),2)</f>
        <v>0</v>
      </c>
      <c r="L48" s="48">
        <f>ROUND(SUMIF(Определители!I6:I27,"=5",'Текущие цены с учетом расхода'!F6:F27),0)</f>
        <v>0</v>
      </c>
      <c r="N48" s="49" t="s">
        <v>523</v>
      </c>
    </row>
    <row r="49" spans="1:14" x14ac:dyDescent="0.15">
      <c r="A49" s="40">
        <v>43</v>
      </c>
      <c r="B49" s="5" t="s">
        <v>243</v>
      </c>
      <c r="C49" s="49" t="s">
        <v>483</v>
      </c>
      <c r="D49" s="52">
        <v>0</v>
      </c>
      <c r="F49" s="48">
        <f>ROUND(SUMIF(Определители!I6:I27,"=5",'Текущие цены с учетом расхода'!H6:H27),0)</f>
        <v>0</v>
      </c>
      <c r="G49" s="48"/>
      <c r="H49" s="48"/>
      <c r="I49" s="48"/>
      <c r="J49" s="44"/>
      <c r="K49" s="44"/>
      <c r="L49" s="48"/>
      <c r="N49" s="49" t="s">
        <v>524</v>
      </c>
    </row>
    <row r="50" spans="1:14" x14ac:dyDescent="0.15">
      <c r="A50" s="40">
        <v>44</v>
      </c>
      <c r="B50" s="5" t="s">
        <v>244</v>
      </c>
      <c r="C50" s="49" t="s">
        <v>483</v>
      </c>
      <c r="D50" s="52">
        <v>0</v>
      </c>
      <c r="F50" s="48">
        <f>ROUND(SUMIF(Определители!I6:I27,"=5",'Текущие цены с учетом расхода'!N6:N27),0)</f>
        <v>0</v>
      </c>
      <c r="G50" s="48"/>
      <c r="H50" s="48"/>
      <c r="I50" s="48"/>
      <c r="J50" s="44"/>
      <c r="K50" s="44"/>
      <c r="L50" s="48"/>
      <c r="N50" s="49" t="s">
        <v>525</v>
      </c>
    </row>
    <row r="51" spans="1:14" x14ac:dyDescent="0.15">
      <c r="A51" s="40">
        <v>45</v>
      </c>
      <c r="B51" s="5" t="s">
        <v>245</v>
      </c>
      <c r="C51" s="49" t="s">
        <v>483</v>
      </c>
      <c r="D51" s="52">
        <v>0</v>
      </c>
      <c r="F51" s="48">
        <f>ROUND(SUMIF(Определители!I6:I27,"=5",'Текущие цены с учетом расхода'!O6:O27),0)</f>
        <v>0</v>
      </c>
      <c r="G51" s="48"/>
      <c r="H51" s="48"/>
      <c r="I51" s="48"/>
      <c r="J51" s="44"/>
      <c r="K51" s="44"/>
      <c r="L51" s="48"/>
      <c r="N51" s="49" t="s">
        <v>526</v>
      </c>
    </row>
    <row r="52" spans="1:14" x14ac:dyDescent="0.15">
      <c r="A52" s="40">
        <v>46</v>
      </c>
      <c r="B52" s="5" t="s">
        <v>256</v>
      </c>
      <c r="C52" s="49" t="s">
        <v>490</v>
      </c>
      <c r="D52" s="52">
        <v>0</v>
      </c>
      <c r="F52" s="48">
        <f>ROUND((F48+F50+F51),0)</f>
        <v>0</v>
      </c>
      <c r="G52" s="48"/>
      <c r="H52" s="48"/>
      <c r="I52" s="48"/>
      <c r="J52" s="44"/>
      <c r="K52" s="44"/>
      <c r="L52" s="48"/>
      <c r="N52" s="49" t="s">
        <v>527</v>
      </c>
    </row>
    <row r="53" spans="1:14" x14ac:dyDescent="0.15">
      <c r="A53" s="40">
        <v>47</v>
      </c>
      <c r="B53" s="5" t="s">
        <v>257</v>
      </c>
      <c r="C53" s="49" t="s">
        <v>483</v>
      </c>
      <c r="D53" s="52">
        <v>0</v>
      </c>
      <c r="F53" s="48">
        <f>ROUND(SUMIF(Определители!I6:I27,"=6",'Текущие цены с учетом расхода'!B6:B27),0)</f>
        <v>0</v>
      </c>
      <c r="G53" s="48">
        <f>ROUND(SUMIF(Определители!I6:I27,"=6",'Текущие цены с учетом расхода'!C6:C27),0)</f>
        <v>0</v>
      </c>
      <c r="H53" s="48">
        <f>ROUND(SUMIF(Определители!I6:I27,"=6",'Текущие цены с учетом расхода'!D6:D27),0)</f>
        <v>0</v>
      </c>
      <c r="I53" s="48">
        <f>ROUND(SUMIF(Определители!I6:I27,"=6",'Текущие цены с учетом расхода'!E6:E27),0)</f>
        <v>0</v>
      </c>
      <c r="J53" s="44">
        <f>ROUND(SUMIF(Определители!I6:I27,"=6",'Текущие цены с учетом расхода'!I6:I27),2)</f>
        <v>0</v>
      </c>
      <c r="K53" s="44">
        <f>ROUND(SUMIF(Определители!I6:I27,"=6",'Текущие цены с учетом расхода'!K6:K27),2)</f>
        <v>0</v>
      </c>
      <c r="L53" s="48">
        <f>ROUND(SUMIF(Определители!I6:I27,"=6",'Текущие цены с учетом расхода'!F6:F27),0)</f>
        <v>0</v>
      </c>
      <c r="N53" s="49" t="s">
        <v>528</v>
      </c>
    </row>
    <row r="54" spans="1:14" x14ac:dyDescent="0.15">
      <c r="A54" s="40">
        <v>48</v>
      </c>
      <c r="B54" s="5" t="s">
        <v>243</v>
      </c>
      <c r="C54" s="49" t="s">
        <v>483</v>
      </c>
      <c r="D54" s="52">
        <v>0</v>
      </c>
      <c r="F54" s="48">
        <f>ROUND(SUMIF(Определители!I6:I27,"=6",'Текущие цены с учетом расхода'!H6:H27),0)</f>
        <v>0</v>
      </c>
      <c r="G54" s="48"/>
      <c r="H54" s="48"/>
      <c r="I54" s="48"/>
      <c r="J54" s="44"/>
      <c r="K54" s="44"/>
      <c r="L54" s="48"/>
      <c r="N54" s="49" t="s">
        <v>529</v>
      </c>
    </row>
    <row r="55" spans="1:14" x14ac:dyDescent="0.15">
      <c r="A55" s="40">
        <v>49</v>
      </c>
      <c r="B55" s="5" t="s">
        <v>244</v>
      </c>
      <c r="C55" s="49" t="s">
        <v>483</v>
      </c>
      <c r="D55" s="52">
        <v>0</v>
      </c>
      <c r="F55" s="48">
        <f>ROUND(SUMIF(Определители!I6:I27,"=6",'Текущие цены с учетом расхода'!N6:N27),0)</f>
        <v>0</v>
      </c>
      <c r="G55" s="48"/>
      <c r="H55" s="48"/>
      <c r="I55" s="48"/>
      <c r="J55" s="44"/>
      <c r="K55" s="44"/>
      <c r="L55" s="48"/>
      <c r="N55" s="49" t="s">
        <v>530</v>
      </c>
    </row>
    <row r="56" spans="1:14" x14ac:dyDescent="0.15">
      <c r="A56" s="40">
        <v>50</v>
      </c>
      <c r="B56" s="5" t="s">
        <v>245</v>
      </c>
      <c r="C56" s="49" t="s">
        <v>483</v>
      </c>
      <c r="D56" s="52">
        <v>0</v>
      </c>
      <c r="F56" s="48">
        <f>ROUND(SUMIF(Определители!I6:I27,"=6",'Текущие цены с учетом расхода'!O6:O27),0)</f>
        <v>0</v>
      </c>
      <c r="G56" s="48"/>
      <c r="H56" s="48"/>
      <c r="I56" s="48"/>
      <c r="J56" s="44"/>
      <c r="K56" s="44"/>
      <c r="L56" s="48"/>
      <c r="N56" s="49" t="s">
        <v>531</v>
      </c>
    </row>
    <row r="57" spans="1:14" x14ac:dyDescent="0.15">
      <c r="A57" s="40">
        <v>51</v>
      </c>
      <c r="B57" s="5" t="s">
        <v>258</v>
      </c>
      <c r="C57" s="49" t="s">
        <v>490</v>
      </c>
      <c r="D57" s="52">
        <v>0</v>
      </c>
      <c r="F57" s="48">
        <f>ROUND((F53+F55+F56),0)</f>
        <v>0</v>
      </c>
      <c r="G57" s="48"/>
      <c r="H57" s="48"/>
      <c r="I57" s="48"/>
      <c r="J57" s="44"/>
      <c r="K57" s="44"/>
      <c r="L57" s="48"/>
      <c r="N57" s="49" t="s">
        <v>532</v>
      </c>
    </row>
    <row r="58" spans="1:14" x14ac:dyDescent="0.15">
      <c r="A58" s="40">
        <v>52</v>
      </c>
      <c r="B58" s="5" t="s">
        <v>259</v>
      </c>
      <c r="C58" s="49" t="s">
        <v>483</v>
      </c>
      <c r="D58" s="52">
        <v>0</v>
      </c>
      <c r="F58" s="48">
        <f>ROUND(SUMIF(Определители!I6:I27,"=7",'Текущие цены с учетом расхода'!B6:B27),0)</f>
        <v>0</v>
      </c>
      <c r="G58" s="48">
        <f>ROUND(SUMIF(Определители!I6:I27,"=7",'Текущие цены с учетом расхода'!C6:C27),0)</f>
        <v>0</v>
      </c>
      <c r="H58" s="48">
        <f>ROUND(SUMIF(Определители!I6:I27,"=7",'Текущие цены с учетом расхода'!D6:D27),0)</f>
        <v>0</v>
      </c>
      <c r="I58" s="48">
        <f>ROUND(SUMIF(Определители!I6:I27,"=7",'Текущие цены с учетом расхода'!E6:E27),0)</f>
        <v>0</v>
      </c>
      <c r="J58" s="44">
        <f>ROUND(SUMIF(Определители!I6:I27,"=7",'Текущие цены с учетом расхода'!I6:I27),2)</f>
        <v>0</v>
      </c>
      <c r="K58" s="44">
        <f>ROUND(SUMIF(Определители!I6:I27,"=7",'Текущие цены с учетом расхода'!K6:K27),2)</f>
        <v>0</v>
      </c>
      <c r="L58" s="48">
        <f>ROUND(SUMIF(Определители!I6:I27,"=7",'Текущие цены с учетом расхода'!F6:F27),0)</f>
        <v>0</v>
      </c>
      <c r="N58" s="49" t="s">
        <v>533</v>
      </c>
    </row>
    <row r="59" spans="1:14" x14ac:dyDescent="0.15">
      <c r="A59" s="40">
        <v>53</v>
      </c>
      <c r="B59" s="5" t="s">
        <v>239</v>
      </c>
      <c r="C59" s="49" t="s">
        <v>483</v>
      </c>
      <c r="D59" s="52">
        <v>0</v>
      </c>
      <c r="F59" s="48"/>
      <c r="G59" s="48"/>
      <c r="H59" s="48"/>
      <c r="I59" s="48"/>
      <c r="J59" s="44"/>
      <c r="K59" s="44"/>
      <c r="L59" s="48"/>
      <c r="N59" s="49" t="s">
        <v>534</v>
      </c>
    </row>
    <row r="60" spans="1:14" x14ac:dyDescent="0.15">
      <c r="A60" s="40">
        <v>54</v>
      </c>
      <c r="B60" s="5" t="s">
        <v>260</v>
      </c>
      <c r="C60" s="49" t="s">
        <v>483</v>
      </c>
      <c r="D60" s="52">
        <v>0</v>
      </c>
      <c r="F60" s="48">
        <f ca="1">ROUND(СУММЕСЛИ2(Определители!I6:I27,"2",Определители!G6:G27,"1",'Текущие цены с учетом расхода'!B6:B27),0)</f>
        <v>0</v>
      </c>
      <c r="G60" s="48"/>
      <c r="H60" s="48"/>
      <c r="I60" s="48"/>
      <c r="J60" s="44"/>
      <c r="K60" s="44"/>
      <c r="L60" s="48"/>
      <c r="N60" s="49" t="s">
        <v>535</v>
      </c>
    </row>
    <row r="61" spans="1:14" x14ac:dyDescent="0.15">
      <c r="A61" s="40">
        <v>55</v>
      </c>
      <c r="B61" s="5" t="s">
        <v>243</v>
      </c>
      <c r="C61" s="49" t="s">
        <v>483</v>
      </c>
      <c r="D61" s="52">
        <v>0</v>
      </c>
      <c r="F61" s="48">
        <f>ROUND(SUMIF(Определители!I6:I27,"=7",'Текущие цены с учетом расхода'!H6:H27),0)</f>
        <v>0</v>
      </c>
      <c r="G61" s="48"/>
      <c r="H61" s="48"/>
      <c r="I61" s="48"/>
      <c r="J61" s="44"/>
      <c r="K61" s="44"/>
      <c r="L61" s="48"/>
      <c r="N61" s="49" t="s">
        <v>536</v>
      </c>
    </row>
    <row r="62" spans="1:14" x14ac:dyDescent="0.15">
      <c r="A62" s="40">
        <v>56</v>
      </c>
      <c r="B62" s="5" t="s">
        <v>261</v>
      </c>
      <c r="C62" s="49" t="s">
        <v>483</v>
      </c>
      <c r="D62" s="52">
        <v>0</v>
      </c>
      <c r="F62" s="48">
        <f>ROUND(SUMIF(Определители!I6:I27,"=7",'Текущие цены с учетом расхода'!N6:N27),0)</f>
        <v>0</v>
      </c>
      <c r="G62" s="48"/>
      <c r="H62" s="48"/>
      <c r="I62" s="48"/>
      <c r="J62" s="44"/>
      <c r="K62" s="44"/>
      <c r="L62" s="48"/>
      <c r="N62" s="49" t="s">
        <v>537</v>
      </c>
    </row>
    <row r="63" spans="1:14" x14ac:dyDescent="0.15">
      <c r="A63" s="40">
        <v>57</v>
      </c>
      <c r="B63" s="5" t="s">
        <v>245</v>
      </c>
      <c r="C63" s="49" t="s">
        <v>483</v>
      </c>
      <c r="D63" s="52">
        <v>0</v>
      </c>
      <c r="F63" s="48">
        <f>ROUND(SUMIF(Определители!I6:I27,"=7",'Текущие цены с учетом расхода'!O6:O27),0)</f>
        <v>0</v>
      </c>
      <c r="G63" s="48"/>
      <c r="H63" s="48"/>
      <c r="I63" s="48"/>
      <c r="J63" s="44"/>
      <c r="K63" s="44"/>
      <c r="L63" s="48"/>
      <c r="N63" s="49" t="s">
        <v>538</v>
      </c>
    </row>
    <row r="64" spans="1:14" x14ac:dyDescent="0.15">
      <c r="A64" s="40">
        <v>58</v>
      </c>
      <c r="B64" s="5" t="s">
        <v>262</v>
      </c>
      <c r="C64" s="49" t="s">
        <v>490</v>
      </c>
      <c r="D64" s="52">
        <v>0</v>
      </c>
      <c r="F64" s="48">
        <f>ROUND((F58+F62+F63),0)</f>
        <v>0</v>
      </c>
      <c r="G64" s="48"/>
      <c r="H64" s="48"/>
      <c r="I64" s="48"/>
      <c r="J64" s="44"/>
      <c r="K64" s="44"/>
      <c r="L64" s="48"/>
      <c r="N64" s="49" t="s">
        <v>539</v>
      </c>
    </row>
    <row r="65" spans="1:14" x14ac:dyDescent="0.15">
      <c r="A65" s="40">
        <v>59</v>
      </c>
      <c r="B65" s="5" t="s">
        <v>263</v>
      </c>
      <c r="C65" s="49" t="s">
        <v>483</v>
      </c>
      <c r="D65" s="52">
        <v>0</v>
      </c>
      <c r="F65" s="48">
        <f>ROUND(SUMIF(Определители!I6:I27,"=9",'Текущие цены с учетом расхода'!B6:B27),0)</f>
        <v>0</v>
      </c>
      <c r="G65" s="48">
        <f>ROUND(SUMIF(Определители!I6:I27,"=9",'Текущие цены с учетом расхода'!C6:C27),0)</f>
        <v>0</v>
      </c>
      <c r="H65" s="48">
        <f>ROUND(SUMIF(Определители!I6:I27,"=9",'Текущие цены с учетом расхода'!D6:D27),0)</f>
        <v>0</v>
      </c>
      <c r="I65" s="48">
        <f>ROUND(SUMIF(Определители!I6:I27,"=9",'Текущие цены с учетом расхода'!E6:E27),0)</f>
        <v>0</v>
      </c>
      <c r="J65" s="44">
        <f>ROUND(SUMIF(Определители!I6:I27,"=9",'Текущие цены с учетом расхода'!I6:I27),2)</f>
        <v>0</v>
      </c>
      <c r="K65" s="44">
        <f>ROUND(SUMIF(Определители!I6:I27,"=9",'Текущие цены с учетом расхода'!K6:K27),2)</f>
        <v>0</v>
      </c>
      <c r="L65" s="48">
        <f>ROUND(SUMIF(Определители!I6:I27,"=9",'Текущие цены с учетом расхода'!F6:F27),0)</f>
        <v>0</v>
      </c>
      <c r="N65" s="49" t="s">
        <v>540</v>
      </c>
    </row>
    <row r="66" spans="1:14" x14ac:dyDescent="0.15">
      <c r="A66" s="40">
        <v>60</v>
      </c>
      <c r="B66" s="5" t="s">
        <v>261</v>
      </c>
      <c r="C66" s="49" t="s">
        <v>483</v>
      </c>
      <c r="D66" s="52">
        <v>0</v>
      </c>
      <c r="F66" s="48">
        <f>ROUND(SUMIF(Определители!I6:I27,"=9",'Текущие цены с учетом расхода'!N6:N27),0)</f>
        <v>0</v>
      </c>
      <c r="G66" s="48"/>
      <c r="H66" s="48"/>
      <c r="I66" s="48"/>
      <c r="J66" s="44"/>
      <c r="K66" s="44"/>
      <c r="L66" s="48"/>
      <c r="N66" s="49" t="s">
        <v>541</v>
      </c>
    </row>
    <row r="67" spans="1:14" x14ac:dyDescent="0.15">
      <c r="A67" s="40">
        <v>61</v>
      </c>
      <c r="B67" s="5" t="s">
        <v>245</v>
      </c>
      <c r="C67" s="49" t="s">
        <v>483</v>
      </c>
      <c r="D67" s="52">
        <v>0</v>
      </c>
      <c r="F67" s="48">
        <f>ROUND(SUMIF(Определители!I6:I27,"=9",'Текущие цены с учетом расхода'!O6:O27),0)</f>
        <v>0</v>
      </c>
      <c r="G67" s="48"/>
      <c r="H67" s="48"/>
      <c r="I67" s="48"/>
      <c r="J67" s="44"/>
      <c r="K67" s="44"/>
      <c r="L67" s="48"/>
      <c r="N67" s="49" t="s">
        <v>542</v>
      </c>
    </row>
    <row r="68" spans="1:14" x14ac:dyDescent="0.15">
      <c r="A68" s="40">
        <v>62</v>
      </c>
      <c r="B68" s="5" t="s">
        <v>264</v>
      </c>
      <c r="C68" s="49" t="s">
        <v>490</v>
      </c>
      <c r="D68" s="52">
        <v>0</v>
      </c>
      <c r="F68" s="48">
        <f>ROUND((F65+F66+F67),0)</f>
        <v>0</v>
      </c>
      <c r="G68" s="48"/>
      <c r="H68" s="48"/>
      <c r="I68" s="48"/>
      <c r="J68" s="44"/>
      <c r="K68" s="44"/>
      <c r="L68" s="48"/>
      <c r="N68" s="49" t="s">
        <v>543</v>
      </c>
    </row>
    <row r="69" spans="1:14" x14ac:dyDescent="0.15">
      <c r="A69" s="40">
        <v>63</v>
      </c>
      <c r="B69" s="5" t="s">
        <v>265</v>
      </c>
      <c r="C69" s="49" t="s">
        <v>483</v>
      </c>
      <c r="D69" s="52">
        <v>0</v>
      </c>
      <c r="F69" s="48">
        <f>ROUND(SUMIF(Определители!I6:I27,"=:",'Текущие цены с учетом расхода'!B6:B27),0)</f>
        <v>0</v>
      </c>
      <c r="G69" s="48">
        <f>ROUND(SUMIF(Определители!I6:I27,"=:",'Текущие цены с учетом расхода'!C6:C27),0)</f>
        <v>0</v>
      </c>
      <c r="H69" s="48">
        <f>ROUND(SUMIF(Определители!I6:I27,"=:",'Текущие цены с учетом расхода'!D6:D27),0)</f>
        <v>0</v>
      </c>
      <c r="I69" s="48">
        <f>ROUND(SUMIF(Определители!I6:I27,"=:",'Текущие цены с учетом расхода'!E6:E27),0)</f>
        <v>0</v>
      </c>
      <c r="J69" s="44">
        <f>ROUND(SUMIF(Определители!I6:I27,"=:",'Текущие цены с учетом расхода'!I6:I27),2)</f>
        <v>0</v>
      </c>
      <c r="K69" s="44">
        <f>ROUND(SUMIF(Определители!I6:I27,"=:",'Текущие цены с учетом расхода'!K6:K27),2)</f>
        <v>0</v>
      </c>
      <c r="L69" s="48">
        <f>ROUND(SUMIF(Определители!I6:I27,"=:",'Текущие цены с учетом расхода'!F6:F27),0)</f>
        <v>0</v>
      </c>
      <c r="N69" s="49" t="s">
        <v>544</v>
      </c>
    </row>
    <row r="70" spans="1:14" x14ac:dyDescent="0.15">
      <c r="A70" s="40">
        <v>64</v>
      </c>
      <c r="B70" s="5" t="s">
        <v>243</v>
      </c>
      <c r="C70" s="49" t="s">
        <v>483</v>
      </c>
      <c r="D70" s="52">
        <v>0</v>
      </c>
      <c r="F70" s="48">
        <f>ROUND(SUMIF(Определители!I6:I27,"=:",'Текущие цены с учетом расхода'!H6:H27),0)</f>
        <v>0</v>
      </c>
      <c r="G70" s="48"/>
      <c r="H70" s="48"/>
      <c r="I70" s="48"/>
      <c r="J70" s="44"/>
      <c r="K70" s="44"/>
      <c r="L70" s="48"/>
      <c r="N70" s="49" t="s">
        <v>545</v>
      </c>
    </row>
    <row r="71" spans="1:14" x14ac:dyDescent="0.15">
      <c r="A71" s="40">
        <v>65</v>
      </c>
      <c r="B71" s="5" t="s">
        <v>261</v>
      </c>
      <c r="C71" s="49" t="s">
        <v>483</v>
      </c>
      <c r="D71" s="52">
        <v>0</v>
      </c>
      <c r="F71" s="48">
        <f>ROUND(SUMIF(Определители!I6:I27,"=:",'Текущие цены с учетом расхода'!N6:N27),0)</f>
        <v>0</v>
      </c>
      <c r="G71" s="48"/>
      <c r="H71" s="48"/>
      <c r="I71" s="48"/>
      <c r="J71" s="44"/>
      <c r="K71" s="44"/>
      <c r="L71" s="48"/>
      <c r="N71" s="49" t="s">
        <v>546</v>
      </c>
    </row>
    <row r="72" spans="1:14" x14ac:dyDescent="0.15">
      <c r="A72" s="40">
        <v>66</v>
      </c>
      <c r="B72" s="5" t="s">
        <v>245</v>
      </c>
      <c r="C72" s="49" t="s">
        <v>483</v>
      </c>
      <c r="D72" s="52">
        <v>0</v>
      </c>
      <c r="F72" s="48">
        <f>ROUND(SUMIF(Определители!I6:I27,"=:",'Текущие цены с учетом расхода'!O6:O27),0)</f>
        <v>0</v>
      </c>
      <c r="G72" s="48"/>
      <c r="H72" s="48"/>
      <c r="I72" s="48"/>
      <c r="J72" s="44"/>
      <c r="K72" s="44"/>
      <c r="L72" s="48"/>
      <c r="N72" s="49" t="s">
        <v>547</v>
      </c>
    </row>
    <row r="73" spans="1:14" x14ac:dyDescent="0.15">
      <c r="A73" s="40">
        <v>67</v>
      </c>
      <c r="B73" s="5" t="s">
        <v>266</v>
      </c>
      <c r="C73" s="49" t="s">
        <v>490</v>
      </c>
      <c r="D73" s="52">
        <v>0</v>
      </c>
      <c r="F73" s="48">
        <f>ROUND((F69+F71+F72),0)</f>
        <v>0</v>
      </c>
      <c r="G73" s="48"/>
      <c r="H73" s="48"/>
      <c r="I73" s="48"/>
      <c r="J73" s="44"/>
      <c r="K73" s="44"/>
      <c r="L73" s="48"/>
      <c r="N73" s="49" t="s">
        <v>548</v>
      </c>
    </row>
    <row r="74" spans="1:14" x14ac:dyDescent="0.15">
      <c r="A74" s="40">
        <v>68</v>
      </c>
      <c r="B74" s="5" t="s">
        <v>267</v>
      </c>
      <c r="C74" s="49" t="s">
        <v>483</v>
      </c>
      <c r="D74" s="52">
        <v>0</v>
      </c>
      <c r="F74" s="48">
        <f>ROUND(SUMIF(Определители!I6:I27,"=8",'Текущие цены с учетом расхода'!B6:B27),0)</f>
        <v>0</v>
      </c>
      <c r="G74" s="48">
        <f>ROUND(SUMIF(Определители!I6:I27,"=8",'Текущие цены с учетом расхода'!C6:C27),0)</f>
        <v>0</v>
      </c>
      <c r="H74" s="48">
        <f>ROUND(SUMIF(Определители!I6:I27,"=8",'Текущие цены с учетом расхода'!D6:D27),0)</f>
        <v>0</v>
      </c>
      <c r="I74" s="48">
        <f>ROUND(SUMIF(Определители!I6:I27,"=8",'Текущие цены с учетом расхода'!E6:E27),0)</f>
        <v>0</v>
      </c>
      <c r="J74" s="44">
        <f>ROUND(SUMIF(Определители!I6:I27,"=8",'Текущие цены с учетом расхода'!I6:I27),2)</f>
        <v>0</v>
      </c>
      <c r="K74" s="44">
        <f>ROUND(SUMIF(Определители!I6:I27,"=8",'Текущие цены с учетом расхода'!K6:K27),2)</f>
        <v>0</v>
      </c>
      <c r="L74" s="48">
        <f>ROUND(SUMIF(Определители!I6:I27,"=8",'Текущие цены с учетом расхода'!F6:F27),0)</f>
        <v>0</v>
      </c>
      <c r="N74" s="49" t="s">
        <v>549</v>
      </c>
    </row>
    <row r="75" spans="1:14" x14ac:dyDescent="0.15">
      <c r="A75" s="40">
        <v>69</v>
      </c>
      <c r="B75" s="5" t="s">
        <v>243</v>
      </c>
      <c r="C75" s="49" t="s">
        <v>483</v>
      </c>
      <c r="D75" s="52">
        <v>0</v>
      </c>
      <c r="F75" s="48">
        <f>ROUND(SUMIF(Определители!I6:I27,"=8",'Текущие цены с учетом расхода'!H6:H27),0)</f>
        <v>0</v>
      </c>
      <c r="G75" s="48"/>
      <c r="H75" s="48"/>
      <c r="I75" s="48"/>
      <c r="J75" s="44"/>
      <c r="K75" s="44"/>
      <c r="L75" s="48"/>
      <c r="N75" s="49" t="s">
        <v>550</v>
      </c>
    </row>
    <row r="76" spans="1:14" x14ac:dyDescent="0.15">
      <c r="A76" s="40">
        <v>70</v>
      </c>
      <c r="B76" s="5" t="s">
        <v>268</v>
      </c>
      <c r="C76" s="49" t="s">
        <v>490</v>
      </c>
      <c r="D76" s="52">
        <v>0</v>
      </c>
      <c r="F76" s="48">
        <f ca="1">ROUND((F17+F27+F34+F39+F47+F52+F57+F64+F68+F73+F74),0)</f>
        <v>0</v>
      </c>
      <c r="G76" s="48">
        <f>ROUND((G17+G27+G34+G39+G47+G52+G57+G64+G68+G73+G74),0)</f>
        <v>0</v>
      </c>
      <c r="H76" s="48">
        <f>ROUND((H17+H27+H34+H39+H47+H52+H57+H64+H68+H73+H74),0)</f>
        <v>0</v>
      </c>
      <c r="I76" s="48">
        <f>ROUND((I17+I27+I34+I39+I47+I52+I57+I64+I68+I73+I74),0)</f>
        <v>0</v>
      </c>
      <c r="J76" s="44">
        <f>ROUND((J17+J27+J34+J39+J47+J52+J57+J64+J68+J73+J74),2)</f>
        <v>0</v>
      </c>
      <c r="K76" s="44">
        <f>ROUND((K17+K27+K34+K39+K47+K52+K57+K64+K68+K73+K74),2)</f>
        <v>0</v>
      </c>
      <c r="L76" s="48">
        <f>ROUND((L17+L27+L34+L39+L47+L52+L57+L64+L68+L73+L74),0)</f>
        <v>0</v>
      </c>
      <c r="N76" s="49" t="s">
        <v>551</v>
      </c>
    </row>
    <row r="77" spans="1:14" x14ac:dyDescent="0.15">
      <c r="A77" s="40">
        <v>71</v>
      </c>
      <c r="B77" s="5" t="s">
        <v>269</v>
      </c>
      <c r="C77" s="49" t="s">
        <v>490</v>
      </c>
      <c r="D77" s="52">
        <v>0</v>
      </c>
      <c r="F77" s="48">
        <f>ROUND((F23+F31+F36+F43+F49+F54+F61+F70+F75),0)</f>
        <v>0</v>
      </c>
      <c r="G77" s="48"/>
      <c r="H77" s="48"/>
      <c r="I77" s="48"/>
      <c r="J77" s="44"/>
      <c r="K77" s="44"/>
      <c r="L77" s="48"/>
      <c r="N77" s="49" t="s">
        <v>552</v>
      </c>
    </row>
    <row r="78" spans="1:14" x14ac:dyDescent="0.15">
      <c r="A78" s="40">
        <v>72</v>
      </c>
      <c r="B78" s="5" t="s">
        <v>270</v>
      </c>
      <c r="C78" s="49" t="s">
        <v>490</v>
      </c>
      <c r="D78" s="52">
        <v>0</v>
      </c>
      <c r="F78" s="48">
        <f>ROUND((F24+F32+F37+F44+F50+F55+F62+F66+F71),0)</f>
        <v>0</v>
      </c>
      <c r="G78" s="48"/>
      <c r="H78" s="48"/>
      <c r="I78" s="48"/>
      <c r="J78" s="44"/>
      <c r="K78" s="44"/>
      <c r="L78" s="48"/>
      <c r="N78" s="49" t="s">
        <v>553</v>
      </c>
    </row>
    <row r="79" spans="1:14" x14ac:dyDescent="0.15">
      <c r="A79" s="40">
        <v>73</v>
      </c>
      <c r="B79" s="5" t="s">
        <v>271</v>
      </c>
      <c r="C79" s="49" t="s">
        <v>490</v>
      </c>
      <c r="D79" s="52">
        <v>0</v>
      </c>
      <c r="F79" s="48">
        <f>ROUND((F25+F33+F38+F45+F51+F56+F63+F67+F72),0)</f>
        <v>0</v>
      </c>
      <c r="G79" s="48"/>
      <c r="H79" s="48"/>
      <c r="I79" s="48"/>
      <c r="J79" s="44"/>
      <c r="K79" s="44"/>
      <c r="L79" s="48"/>
      <c r="N79" s="49" t="s">
        <v>554</v>
      </c>
    </row>
    <row r="80" spans="1:14" x14ac:dyDescent="0.15">
      <c r="A80" s="40">
        <v>74</v>
      </c>
      <c r="C80" s="49" t="s">
        <v>555</v>
      </c>
      <c r="D80" s="52">
        <v>100</v>
      </c>
      <c r="F80" s="48">
        <f>ROUND((F78)*D80,0)</f>
        <v>0</v>
      </c>
      <c r="G80" s="48"/>
      <c r="H80" s="48"/>
      <c r="I80" s="48"/>
      <c r="J80" s="44"/>
      <c r="K80" s="44"/>
      <c r="L80" s="48"/>
      <c r="N80" s="49" t="s">
        <v>556</v>
      </c>
    </row>
    <row r="81" spans="1:14" x14ac:dyDescent="0.15">
      <c r="A81" s="40">
        <v>75</v>
      </c>
      <c r="B81" s="5" t="s">
        <v>272</v>
      </c>
      <c r="C81" s="49" t="s">
        <v>557</v>
      </c>
      <c r="D81" s="52">
        <v>0</v>
      </c>
      <c r="F81" s="48" t="e">
        <f>ROUND((F80/F87),0)</f>
        <v>#DIV/0!</v>
      </c>
      <c r="G81" s="48"/>
      <c r="H81" s="48"/>
      <c r="I81" s="48"/>
      <c r="J81" s="44"/>
      <c r="K81" s="44"/>
      <c r="L81" s="48"/>
      <c r="N81" s="49" t="s">
        <v>558</v>
      </c>
    </row>
    <row r="82" spans="1:14" x14ac:dyDescent="0.15">
      <c r="A82" s="40">
        <v>76</v>
      </c>
      <c r="C82" s="49" t="s">
        <v>555</v>
      </c>
      <c r="D82" s="52">
        <v>100</v>
      </c>
      <c r="F82" s="48">
        <f>ROUND((F79)*D82,0)</f>
        <v>0</v>
      </c>
      <c r="G82" s="48"/>
      <c r="H82" s="48"/>
      <c r="I82" s="48"/>
      <c r="J82" s="44"/>
      <c r="K82" s="44"/>
      <c r="L82" s="48"/>
      <c r="N82" s="49" t="s">
        <v>559</v>
      </c>
    </row>
    <row r="83" spans="1:14" x14ac:dyDescent="0.15">
      <c r="A83" s="40">
        <v>77</v>
      </c>
      <c r="B83" s="5" t="s">
        <v>273</v>
      </c>
      <c r="C83" s="49" t="s">
        <v>557</v>
      </c>
      <c r="D83" s="52">
        <v>0</v>
      </c>
      <c r="F83" s="48" t="e">
        <f>ROUND((F82/F87),0)</f>
        <v>#DIV/0!</v>
      </c>
      <c r="G83" s="48"/>
      <c r="H83" s="48"/>
      <c r="I83" s="48"/>
      <c r="J83" s="44"/>
      <c r="K83" s="44"/>
      <c r="L83" s="48"/>
      <c r="N83" s="49" t="s">
        <v>560</v>
      </c>
    </row>
    <row r="84" spans="1:14" x14ac:dyDescent="0.15">
      <c r="A84" s="40">
        <v>78</v>
      </c>
      <c r="B84" s="5" t="s">
        <v>274</v>
      </c>
      <c r="C84" s="49" t="s">
        <v>561</v>
      </c>
      <c r="D84" s="52">
        <v>0</v>
      </c>
      <c r="F84" s="48"/>
      <c r="G84" s="48"/>
      <c r="H84" s="48"/>
      <c r="I84" s="48"/>
      <c r="J84" s="44"/>
      <c r="K84" s="44"/>
      <c r="L84" s="48">
        <f>ROUND(SUM('Текущие цены с учетом расхода'!X6:X27),0)</f>
        <v>0</v>
      </c>
      <c r="N84" s="49" t="s">
        <v>562</v>
      </c>
    </row>
    <row r="85" spans="1:14" x14ac:dyDescent="0.15">
      <c r="A85" s="40">
        <v>79</v>
      </c>
      <c r="B85" s="5" t="s">
        <v>275</v>
      </c>
      <c r="C85" s="49" t="s">
        <v>561</v>
      </c>
      <c r="D85" s="52">
        <v>0</v>
      </c>
      <c r="F85" s="48">
        <f>ROUND(SUM('Текущие цены с учетом расхода'!C6:C27),0)</f>
        <v>0</v>
      </c>
      <c r="G85" s="48"/>
      <c r="H85" s="48"/>
      <c r="I85" s="48"/>
      <c r="J85" s="44"/>
      <c r="K85" s="44"/>
      <c r="L85" s="48"/>
      <c r="N85" s="49" t="s">
        <v>563</v>
      </c>
    </row>
    <row r="86" spans="1:14" x14ac:dyDescent="0.15">
      <c r="A86" s="40">
        <v>80</v>
      </c>
      <c r="B86" s="5" t="s">
        <v>276</v>
      </c>
      <c r="C86" s="49" t="s">
        <v>561</v>
      </c>
      <c r="D86" s="52">
        <v>0</v>
      </c>
      <c r="F86" s="48">
        <f>ROUND(SUM('Текущие цены с учетом расхода'!E6:E27),0)</f>
        <v>0</v>
      </c>
      <c r="G86" s="48"/>
      <c r="H86" s="48"/>
      <c r="I86" s="48"/>
      <c r="J86" s="44"/>
      <c r="K86" s="44"/>
      <c r="L86" s="48"/>
      <c r="N86" s="49" t="s">
        <v>564</v>
      </c>
    </row>
    <row r="87" spans="1:14" x14ac:dyDescent="0.15">
      <c r="A87" s="40">
        <v>81</v>
      </c>
      <c r="B87" s="5" t="s">
        <v>277</v>
      </c>
      <c r="C87" s="49" t="s">
        <v>89</v>
      </c>
      <c r="D87" s="52">
        <v>0</v>
      </c>
      <c r="F87" s="48">
        <f>ROUND((F85+F86),0)</f>
        <v>0</v>
      </c>
      <c r="G87" s="48"/>
      <c r="H87" s="48"/>
      <c r="I87" s="48"/>
      <c r="J87" s="44"/>
      <c r="K87" s="44"/>
      <c r="L87" s="48"/>
      <c r="N87" s="49" t="s">
        <v>565</v>
      </c>
    </row>
    <row r="88" spans="1:14" x14ac:dyDescent="0.15">
      <c r="A88" s="40">
        <v>82</v>
      </c>
      <c r="B88" s="5" t="s">
        <v>278</v>
      </c>
      <c r="C88" s="49" t="s">
        <v>561</v>
      </c>
      <c r="D88" s="52">
        <v>0</v>
      </c>
      <c r="F88" s="48">
        <f>ROUND(SUM('Текущие цены с учетом расхода'!I6:I27),0)</f>
        <v>0</v>
      </c>
      <c r="G88" s="48"/>
      <c r="H88" s="48"/>
      <c r="I88" s="48"/>
      <c r="J88" s="44">
        <f>ROUND(SUM('Текущие цены с учетом расхода'!I6:I27),2)</f>
        <v>0</v>
      </c>
      <c r="K88" s="44"/>
      <c r="L88" s="48"/>
      <c r="N88" s="49" t="s">
        <v>566</v>
      </c>
    </row>
    <row r="89" spans="1:14" x14ac:dyDescent="0.15">
      <c r="A89" s="40">
        <v>83</v>
      </c>
      <c r="B89" s="5" t="s">
        <v>279</v>
      </c>
      <c r="C89" s="49" t="s">
        <v>561</v>
      </c>
      <c r="D89" s="52">
        <v>0</v>
      </c>
      <c r="F89" s="48">
        <f>ROUND(SUM('Текущие цены с учетом расхода'!K6:K27),0)</f>
        <v>0</v>
      </c>
      <c r="G89" s="48"/>
      <c r="H89" s="48"/>
      <c r="I89" s="48"/>
      <c r="J89" s="44"/>
      <c r="K89" s="44">
        <f>ROUND(SUM('Текущие цены с учетом расхода'!K6:K27),2)</f>
        <v>0</v>
      </c>
      <c r="L89" s="48"/>
      <c r="N89" s="49" t="s">
        <v>567</v>
      </c>
    </row>
    <row r="90" spans="1:14" x14ac:dyDescent="0.15">
      <c r="A90" s="40">
        <v>84</v>
      </c>
      <c r="B90" s="5" t="s">
        <v>280</v>
      </c>
      <c r="C90" s="49" t="s">
        <v>89</v>
      </c>
      <c r="D90" s="52">
        <v>0</v>
      </c>
      <c r="F90" s="48">
        <f>ROUND(SUM(G90:N90),0)</f>
        <v>0</v>
      </c>
      <c r="G90" s="48"/>
      <c r="H90" s="48"/>
      <c r="I90" s="48"/>
      <c r="J90" s="44">
        <f>ROUND((J88+J89),2)</f>
        <v>0</v>
      </c>
      <c r="K90" s="44">
        <f>ROUND((K88+K89),2)</f>
        <v>0</v>
      </c>
      <c r="L90" s="48"/>
      <c r="N90" s="49" t="s">
        <v>568</v>
      </c>
    </row>
    <row r="91" spans="1:14" x14ac:dyDescent="0.15">
      <c r="A91" s="40">
        <v>85</v>
      </c>
      <c r="B91" s="5" t="s">
        <v>281</v>
      </c>
      <c r="C91" s="49" t="s">
        <v>569</v>
      </c>
      <c r="D91" s="52">
        <v>0</v>
      </c>
      <c r="F91" s="48">
        <f ca="1">ROUND((F76)*D91/100,0)</f>
        <v>0</v>
      </c>
      <c r="G91" s="48"/>
      <c r="H91" s="48"/>
      <c r="I91" s="48"/>
      <c r="J91" s="44"/>
      <c r="K91" s="44"/>
      <c r="L91" s="48"/>
      <c r="N91" s="49" t="s">
        <v>570</v>
      </c>
    </row>
    <row r="92" spans="1:14" x14ac:dyDescent="0.15">
      <c r="A92" s="40">
        <v>86</v>
      </c>
      <c r="B92" s="5" t="s">
        <v>282</v>
      </c>
      <c r="C92" s="49" t="s">
        <v>89</v>
      </c>
      <c r="D92" s="52">
        <v>0</v>
      </c>
      <c r="F92" s="48">
        <f ca="1">ROUND((F91+F76),0)</f>
        <v>0</v>
      </c>
      <c r="G92" s="48"/>
      <c r="H92" s="48"/>
      <c r="I92" s="48"/>
      <c r="J92" s="44"/>
      <c r="K92" s="44"/>
      <c r="L92" s="48"/>
      <c r="N92" s="49" t="s">
        <v>571</v>
      </c>
    </row>
    <row r="93" spans="1:14" x14ac:dyDescent="0.15">
      <c r="A93" s="40">
        <v>87</v>
      </c>
      <c r="B93" s="5" t="s">
        <v>283</v>
      </c>
      <c r="C93" s="49" t="s">
        <v>555</v>
      </c>
      <c r="D93" s="52">
        <v>5.2786429999999998</v>
      </c>
      <c r="F93" s="48">
        <f ca="1">ROUND((F92)*D93,0)</f>
        <v>0</v>
      </c>
      <c r="G93" s="48"/>
      <c r="H93" s="48"/>
      <c r="I93" s="48"/>
      <c r="J93" s="44"/>
      <c r="K93" s="44"/>
      <c r="L93" s="48"/>
      <c r="N93" s="49" t="s">
        <v>572</v>
      </c>
    </row>
    <row r="94" spans="1:14" x14ac:dyDescent="0.15">
      <c r="A94" s="40">
        <v>88</v>
      </c>
      <c r="B94" s="5" t="s">
        <v>284</v>
      </c>
      <c r="C94" s="49" t="s">
        <v>569</v>
      </c>
      <c r="D94" s="52">
        <v>18</v>
      </c>
      <c r="F94" s="48">
        <f ca="1">ROUND((F93)*D94/100,0)</f>
        <v>0</v>
      </c>
      <c r="G94" s="48"/>
      <c r="H94" s="48"/>
      <c r="I94" s="48"/>
      <c r="J94" s="44"/>
      <c r="K94" s="44"/>
      <c r="L94" s="48"/>
      <c r="N94" s="49" t="s">
        <v>573</v>
      </c>
    </row>
    <row r="95" spans="1:14" x14ac:dyDescent="0.15">
      <c r="A95" s="40">
        <v>89</v>
      </c>
      <c r="B95" s="5" t="s">
        <v>285</v>
      </c>
      <c r="C95" s="49" t="s">
        <v>89</v>
      </c>
      <c r="D95" s="52">
        <v>0</v>
      </c>
      <c r="F95" s="48">
        <f ca="1">ROUND((F94+F93),0)</f>
        <v>0</v>
      </c>
      <c r="G95" s="48"/>
      <c r="H95" s="48"/>
      <c r="I95" s="48"/>
      <c r="J95" s="44"/>
      <c r="K95" s="44"/>
      <c r="L95" s="48"/>
      <c r="N95" s="49" t="s">
        <v>574</v>
      </c>
    </row>
  </sheetData>
  <mergeCells count="4">
    <mergeCell ref="A2:K2"/>
    <mergeCell ref="B3:K3"/>
    <mergeCell ref="B4:K4"/>
    <mergeCell ref="A5:K5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49"/>
  <sheetViews>
    <sheetView tabSelected="1" workbookViewId="0">
      <selection sqref="A1:A2"/>
    </sheetView>
  </sheetViews>
  <sheetFormatPr defaultRowHeight="10.5" x14ac:dyDescent="0.15"/>
  <cols>
    <col min="1" max="1" width="13.7109375" style="40" customWidth="1"/>
    <col min="2" max="2" width="32.7109375" style="40" customWidth="1"/>
    <col min="3" max="6" width="11.7109375" style="40" customWidth="1"/>
    <col min="7" max="7" width="17.28515625" style="40" customWidth="1"/>
    <col min="8" max="8" width="17.28515625" style="40" hidden="1" customWidth="1"/>
    <col min="9" max="16384" width="9.140625" style="40"/>
  </cols>
  <sheetData>
    <row r="1" spans="1:8" s="41" customFormat="1" x14ac:dyDescent="0.15">
      <c r="A1" s="73" t="s">
        <v>289</v>
      </c>
      <c r="B1" s="73" t="s">
        <v>290</v>
      </c>
      <c r="C1" s="76" t="s">
        <v>291</v>
      </c>
      <c r="D1" s="77"/>
      <c r="E1" s="76" t="s">
        <v>292</v>
      </c>
      <c r="F1" s="77"/>
      <c r="G1" s="73" t="s">
        <v>293</v>
      </c>
      <c r="H1" s="73" t="s">
        <v>294</v>
      </c>
    </row>
    <row r="2" spans="1:8" x14ac:dyDescent="0.15">
      <c r="A2" s="75"/>
      <c r="B2" s="74"/>
      <c r="C2" s="42" t="s">
        <v>295</v>
      </c>
      <c r="D2" s="42" t="s">
        <v>296</v>
      </c>
      <c r="E2" s="42" t="s">
        <v>295</v>
      </c>
      <c r="F2" s="42" t="s">
        <v>296</v>
      </c>
      <c r="G2" s="74"/>
      <c r="H2" s="74"/>
    </row>
    <row r="3" spans="1:8" ht="21" x14ac:dyDescent="0.15">
      <c r="A3" s="14" t="s">
        <v>297</v>
      </c>
      <c r="B3" s="14" t="s">
        <v>298</v>
      </c>
      <c r="C3" s="43">
        <v>7.8</v>
      </c>
      <c r="D3" s="43">
        <v>93.6</v>
      </c>
      <c r="E3" s="43"/>
      <c r="F3" s="43"/>
      <c r="G3" s="40">
        <v>0</v>
      </c>
      <c r="H3" s="4" t="s">
        <v>299</v>
      </c>
    </row>
    <row r="4" spans="1:8" ht="21" x14ac:dyDescent="0.15">
      <c r="A4" s="14" t="s">
        <v>300</v>
      </c>
      <c r="B4" s="14" t="s">
        <v>301</v>
      </c>
      <c r="C4" s="43">
        <v>8.4499999999999993</v>
      </c>
      <c r="D4" s="43">
        <v>101.4</v>
      </c>
      <c r="E4" s="43"/>
      <c r="F4" s="43"/>
      <c r="G4" s="40">
        <v>0</v>
      </c>
      <c r="H4" s="4" t="s">
        <v>299</v>
      </c>
    </row>
    <row r="5" spans="1:8" ht="21" x14ac:dyDescent="0.15">
      <c r="A5" s="14" t="s">
        <v>85</v>
      </c>
      <c r="B5" s="14" t="s">
        <v>86</v>
      </c>
      <c r="C5" s="43">
        <v>8.75</v>
      </c>
      <c r="D5" s="43">
        <v>105</v>
      </c>
      <c r="E5" s="43"/>
      <c r="F5" s="43"/>
      <c r="G5" s="40">
        <v>0</v>
      </c>
      <c r="H5" s="4" t="s">
        <v>299</v>
      </c>
    </row>
    <row r="6" spans="1:8" ht="21" x14ac:dyDescent="0.15">
      <c r="A6" s="14" t="s">
        <v>302</v>
      </c>
      <c r="B6" s="14" t="s">
        <v>303</v>
      </c>
      <c r="C6" s="43">
        <v>8.74</v>
      </c>
      <c r="D6" s="43">
        <v>104.88</v>
      </c>
      <c r="E6" s="43"/>
      <c r="F6" s="43"/>
      <c r="G6" s="40">
        <v>0</v>
      </c>
      <c r="H6" s="4" t="s">
        <v>299</v>
      </c>
    </row>
    <row r="7" spans="1:8" ht="21" x14ac:dyDescent="0.15">
      <c r="A7" s="14" t="s">
        <v>304</v>
      </c>
      <c r="B7" s="14" t="s">
        <v>305</v>
      </c>
      <c r="C7" s="43">
        <v>8.9700000000000006</v>
      </c>
      <c r="D7" s="43">
        <v>107.64</v>
      </c>
      <c r="E7" s="43"/>
      <c r="F7" s="43"/>
      <c r="G7" s="40">
        <v>0</v>
      </c>
      <c r="H7" s="4" t="s">
        <v>299</v>
      </c>
    </row>
    <row r="8" spans="1:8" ht="21" x14ac:dyDescent="0.15">
      <c r="A8" s="14" t="s">
        <v>306</v>
      </c>
      <c r="B8" s="14" t="s">
        <v>307</v>
      </c>
      <c r="C8" s="43">
        <v>9.2899999999999991</v>
      </c>
      <c r="D8" s="43">
        <v>111.48</v>
      </c>
      <c r="E8" s="43"/>
      <c r="F8" s="43"/>
      <c r="G8" s="40">
        <v>0</v>
      </c>
      <c r="H8" s="4" t="s">
        <v>299</v>
      </c>
    </row>
    <row r="9" spans="1:8" ht="21" x14ac:dyDescent="0.15">
      <c r="A9" s="14" t="s">
        <v>308</v>
      </c>
      <c r="B9" s="14" t="s">
        <v>309</v>
      </c>
      <c r="C9" s="43">
        <v>10.64</v>
      </c>
      <c r="D9" s="43">
        <v>127.68</v>
      </c>
      <c r="E9" s="43"/>
      <c r="F9" s="43"/>
      <c r="G9" s="40">
        <v>0</v>
      </c>
      <c r="H9" s="4" t="s">
        <v>299</v>
      </c>
    </row>
    <row r="10" spans="1:8" x14ac:dyDescent="0.15">
      <c r="A10" s="14" t="s">
        <v>36</v>
      </c>
      <c r="B10" s="14" t="s">
        <v>37</v>
      </c>
    </row>
    <row r="11" spans="1:8" ht="31.5" x14ac:dyDescent="0.15">
      <c r="A11" s="14" t="s">
        <v>310</v>
      </c>
      <c r="B11" s="14" t="s">
        <v>311</v>
      </c>
      <c r="C11" s="43">
        <v>5964.71</v>
      </c>
      <c r="D11" s="43">
        <v>29763.9</v>
      </c>
      <c r="E11" s="43">
        <v>5278.5</v>
      </c>
      <c r="F11" s="43"/>
      <c r="G11" s="40">
        <v>0</v>
      </c>
      <c r="H11" s="4" t="s">
        <v>299</v>
      </c>
    </row>
    <row r="12" spans="1:8" ht="21" x14ac:dyDescent="0.15">
      <c r="A12" s="14" t="s">
        <v>312</v>
      </c>
      <c r="B12" s="14" t="s">
        <v>313</v>
      </c>
      <c r="C12" s="43">
        <v>5964.71</v>
      </c>
      <c r="D12" s="43">
        <v>29763.9</v>
      </c>
      <c r="E12" s="43">
        <v>5278.5</v>
      </c>
      <c r="F12" s="43"/>
      <c r="G12" s="40">
        <v>0</v>
      </c>
      <c r="H12" s="4" t="s">
        <v>299</v>
      </c>
    </row>
    <row r="13" spans="1:8" ht="31.5" x14ac:dyDescent="0.15">
      <c r="A13" s="14" t="s">
        <v>314</v>
      </c>
      <c r="B13" s="14" t="s">
        <v>315</v>
      </c>
      <c r="C13" s="43">
        <v>5964.71</v>
      </c>
      <c r="D13" s="43">
        <v>29763.9</v>
      </c>
      <c r="E13" s="43">
        <v>5278.5</v>
      </c>
      <c r="F13" s="43"/>
      <c r="G13" s="40">
        <v>0</v>
      </c>
      <c r="H13" s="4" t="s">
        <v>299</v>
      </c>
    </row>
    <row r="14" spans="1:8" x14ac:dyDescent="0.15">
      <c r="A14" s="14" t="s">
        <v>316</v>
      </c>
      <c r="B14" s="14" t="s">
        <v>317</v>
      </c>
      <c r="C14" s="43">
        <v>22054.82</v>
      </c>
      <c r="D14" s="43">
        <v>110053.55</v>
      </c>
      <c r="E14" s="43">
        <v>19517.53</v>
      </c>
      <c r="F14" s="43"/>
      <c r="G14" s="40">
        <v>0</v>
      </c>
      <c r="H14" s="4" t="s">
        <v>299</v>
      </c>
    </row>
    <row r="15" spans="1:8" x14ac:dyDescent="0.15">
      <c r="A15" s="14" t="s">
        <v>318</v>
      </c>
      <c r="B15" s="14" t="s">
        <v>319</v>
      </c>
      <c r="C15" s="43">
        <v>14.8</v>
      </c>
      <c r="D15" s="43">
        <v>73.849999999999994</v>
      </c>
      <c r="E15" s="43">
        <v>13.09</v>
      </c>
      <c r="F15" s="43"/>
      <c r="G15" s="40">
        <v>0</v>
      </c>
      <c r="H15" s="4" t="s">
        <v>299</v>
      </c>
    </row>
    <row r="16" spans="1:8" ht="21" x14ac:dyDescent="0.15">
      <c r="A16" s="14" t="s">
        <v>320</v>
      </c>
      <c r="B16" s="14" t="s">
        <v>321</v>
      </c>
      <c r="C16" s="43">
        <v>9.36</v>
      </c>
      <c r="D16" s="43">
        <v>46.71</v>
      </c>
      <c r="E16" s="43">
        <v>8.2799999999999994</v>
      </c>
      <c r="F16" s="43"/>
      <c r="G16" s="40">
        <v>0</v>
      </c>
      <c r="H16" s="4" t="s">
        <v>299</v>
      </c>
    </row>
    <row r="17" spans="1:8" x14ac:dyDescent="0.15">
      <c r="A17" s="14" t="s">
        <v>322</v>
      </c>
      <c r="B17" s="14" t="s">
        <v>323</v>
      </c>
      <c r="C17" s="43">
        <v>71.28</v>
      </c>
      <c r="D17" s="43">
        <v>355.69</v>
      </c>
      <c r="E17" s="43">
        <v>63.08</v>
      </c>
      <c r="F17" s="43"/>
      <c r="G17" s="40">
        <v>0</v>
      </c>
      <c r="H17" s="4" t="s">
        <v>299</v>
      </c>
    </row>
    <row r="18" spans="1:8" ht="31.5" x14ac:dyDescent="0.15">
      <c r="A18" s="14" t="s">
        <v>324</v>
      </c>
      <c r="B18" s="14" t="s">
        <v>325</v>
      </c>
      <c r="C18" s="43">
        <v>10084.450000000001</v>
      </c>
      <c r="D18" s="43">
        <v>50321.41</v>
      </c>
      <c r="E18" s="43">
        <v>8924.2900000000009</v>
      </c>
      <c r="F18" s="43"/>
      <c r="G18" s="40">
        <v>0</v>
      </c>
      <c r="H18" s="4" t="s">
        <v>299</v>
      </c>
    </row>
    <row r="19" spans="1:8" ht="21" x14ac:dyDescent="0.15">
      <c r="A19" s="14" t="s">
        <v>326</v>
      </c>
      <c r="B19" s="14" t="s">
        <v>327</v>
      </c>
      <c r="C19" s="43">
        <v>12086.83</v>
      </c>
      <c r="D19" s="43">
        <v>60313.279999999999</v>
      </c>
      <c r="E19" s="43">
        <v>10696.31</v>
      </c>
      <c r="F19" s="43"/>
      <c r="G19" s="40">
        <v>0</v>
      </c>
      <c r="H19" s="4" t="s">
        <v>299</v>
      </c>
    </row>
    <row r="20" spans="1:8" ht="21" x14ac:dyDescent="0.15">
      <c r="A20" s="14" t="s">
        <v>328</v>
      </c>
      <c r="B20" s="14" t="s">
        <v>329</v>
      </c>
      <c r="C20" s="43">
        <v>5083.71</v>
      </c>
      <c r="D20" s="43">
        <v>25367.71</v>
      </c>
      <c r="E20" s="43">
        <v>4498.87</v>
      </c>
      <c r="F20" s="43"/>
      <c r="G20" s="40">
        <v>0</v>
      </c>
      <c r="H20" s="4" t="s">
        <v>299</v>
      </c>
    </row>
    <row r="21" spans="1:8" ht="31.5" x14ac:dyDescent="0.15">
      <c r="A21" s="14" t="s">
        <v>330</v>
      </c>
      <c r="B21" s="14" t="s">
        <v>331</v>
      </c>
      <c r="C21" s="43">
        <v>420.07</v>
      </c>
      <c r="D21" s="43">
        <v>2096.15</v>
      </c>
      <c r="E21" s="43"/>
      <c r="F21" s="43"/>
      <c r="G21" s="40">
        <v>0</v>
      </c>
      <c r="H21" s="4" t="s">
        <v>299</v>
      </c>
    </row>
    <row r="22" spans="1:8" ht="73.5" x14ac:dyDescent="0.15">
      <c r="A22" s="14" t="s">
        <v>332</v>
      </c>
      <c r="B22" s="14" t="s">
        <v>333</v>
      </c>
      <c r="C22" s="43">
        <v>11648.93</v>
      </c>
      <c r="D22" s="43">
        <v>58128.160000000003</v>
      </c>
      <c r="E22" s="43">
        <v>10308.790000000001</v>
      </c>
      <c r="F22" s="43"/>
      <c r="G22" s="40">
        <v>0</v>
      </c>
      <c r="H22" s="4" t="s">
        <v>299</v>
      </c>
    </row>
    <row r="23" spans="1:8" ht="31.5" x14ac:dyDescent="0.15">
      <c r="A23" s="14" t="s">
        <v>204</v>
      </c>
      <c r="B23" s="14" t="s">
        <v>199</v>
      </c>
      <c r="C23" s="43">
        <v>15030</v>
      </c>
      <c r="D23" s="43">
        <v>74999.7</v>
      </c>
      <c r="E23" s="43"/>
      <c r="F23" s="43"/>
      <c r="G23" s="40">
        <v>0</v>
      </c>
      <c r="H23" s="4" t="s">
        <v>299</v>
      </c>
    </row>
    <row r="24" spans="1:8" ht="42" x14ac:dyDescent="0.15">
      <c r="A24" s="14" t="s">
        <v>154</v>
      </c>
      <c r="B24" s="14" t="s">
        <v>155</v>
      </c>
      <c r="C24" s="43">
        <v>13999.09</v>
      </c>
      <c r="D24" s="43">
        <v>69855.460000000006</v>
      </c>
      <c r="E24" s="43">
        <v>13083.26</v>
      </c>
      <c r="F24" s="43"/>
      <c r="G24" s="40">
        <v>0</v>
      </c>
      <c r="H24" s="4" t="s">
        <v>299</v>
      </c>
    </row>
    <row r="25" spans="1:8" ht="21" x14ac:dyDescent="0.15">
      <c r="A25" s="14" t="s">
        <v>334</v>
      </c>
      <c r="B25" s="14" t="s">
        <v>335</v>
      </c>
      <c r="C25" s="43">
        <v>57.19</v>
      </c>
      <c r="D25" s="43">
        <v>285.38</v>
      </c>
      <c r="E25" s="43">
        <v>50.61</v>
      </c>
      <c r="F25" s="43"/>
      <c r="G25" s="40">
        <v>0</v>
      </c>
      <c r="H25" s="4" t="s">
        <v>299</v>
      </c>
    </row>
    <row r="26" spans="1:8" x14ac:dyDescent="0.15">
      <c r="A26" s="14" t="s">
        <v>336</v>
      </c>
      <c r="B26" s="14" t="s">
        <v>337</v>
      </c>
      <c r="C26" s="43">
        <v>2.5299999999999998</v>
      </c>
      <c r="D26" s="43">
        <v>12.62</v>
      </c>
      <c r="E26" s="43">
        <v>2.2400000000000002</v>
      </c>
      <c r="F26" s="43"/>
      <c r="G26" s="40">
        <v>0</v>
      </c>
      <c r="H26" s="4" t="s">
        <v>299</v>
      </c>
    </row>
    <row r="27" spans="1:8" x14ac:dyDescent="0.15">
      <c r="A27" s="14" t="s">
        <v>338</v>
      </c>
      <c r="B27" s="14" t="s">
        <v>339</v>
      </c>
      <c r="C27" s="43">
        <v>0.45</v>
      </c>
      <c r="D27" s="43">
        <v>2.25</v>
      </c>
      <c r="E27" s="43">
        <v>0.39</v>
      </c>
      <c r="F27" s="43"/>
      <c r="G27" s="40">
        <v>0</v>
      </c>
      <c r="H27" s="4" t="s">
        <v>299</v>
      </c>
    </row>
    <row r="28" spans="1:8" ht="31.5" x14ac:dyDescent="0.15">
      <c r="A28" s="14" t="s">
        <v>340</v>
      </c>
      <c r="B28" s="14" t="s">
        <v>341</v>
      </c>
      <c r="C28" s="43">
        <v>236.72</v>
      </c>
      <c r="D28" s="43">
        <v>1207.26</v>
      </c>
      <c r="E28" s="43">
        <v>13.37</v>
      </c>
      <c r="F28" s="43"/>
      <c r="G28" s="40">
        <v>1</v>
      </c>
      <c r="H28" s="4" t="s">
        <v>299</v>
      </c>
    </row>
    <row r="29" spans="1:8" ht="42" x14ac:dyDescent="0.15">
      <c r="A29" s="14" t="s">
        <v>342</v>
      </c>
      <c r="B29" s="14" t="s">
        <v>343</v>
      </c>
      <c r="C29" s="43">
        <v>133.30000000000001</v>
      </c>
      <c r="D29" s="43">
        <v>679.83</v>
      </c>
      <c r="E29" s="43">
        <v>13.37</v>
      </c>
      <c r="F29" s="43"/>
      <c r="G29" s="40">
        <v>1</v>
      </c>
      <c r="H29" s="4" t="s">
        <v>299</v>
      </c>
    </row>
    <row r="30" spans="1:8" ht="84" x14ac:dyDescent="0.15">
      <c r="A30" s="14" t="s">
        <v>92</v>
      </c>
      <c r="B30" s="14" t="s">
        <v>93</v>
      </c>
      <c r="C30" s="43">
        <v>106.74</v>
      </c>
      <c r="D30" s="43">
        <v>544.37</v>
      </c>
      <c r="E30" s="43">
        <v>11.6</v>
      </c>
      <c r="F30" s="43"/>
      <c r="G30" s="40">
        <v>1</v>
      </c>
      <c r="H30" s="4" t="s">
        <v>299</v>
      </c>
    </row>
    <row r="31" spans="1:8" ht="52.5" x14ac:dyDescent="0.15">
      <c r="A31" s="14" t="s">
        <v>344</v>
      </c>
      <c r="B31" s="14" t="s">
        <v>345</v>
      </c>
      <c r="C31" s="43">
        <v>87.13</v>
      </c>
      <c r="D31" s="43">
        <v>444.36</v>
      </c>
      <c r="E31" s="43">
        <v>11.47</v>
      </c>
      <c r="F31" s="43"/>
      <c r="G31" s="40">
        <v>1</v>
      </c>
      <c r="H31" s="4" t="s">
        <v>299</v>
      </c>
    </row>
    <row r="32" spans="1:8" ht="42" x14ac:dyDescent="0.15">
      <c r="A32" s="14" t="s">
        <v>346</v>
      </c>
      <c r="B32" s="14" t="s">
        <v>347</v>
      </c>
      <c r="C32" s="43">
        <v>110.87</v>
      </c>
      <c r="D32" s="43">
        <v>565.42999999999995</v>
      </c>
      <c r="E32" s="43">
        <v>13.37</v>
      </c>
      <c r="F32" s="43"/>
      <c r="G32" s="40">
        <v>1</v>
      </c>
      <c r="H32" s="4" t="s">
        <v>299</v>
      </c>
    </row>
    <row r="33" spans="1:8" ht="21" x14ac:dyDescent="0.15">
      <c r="A33" s="14" t="s">
        <v>348</v>
      </c>
      <c r="B33" s="14" t="s">
        <v>349</v>
      </c>
      <c r="C33" s="43">
        <v>0.99</v>
      </c>
      <c r="D33" s="43">
        <v>5.05</v>
      </c>
      <c r="E33" s="43"/>
      <c r="F33" s="43"/>
      <c r="G33" s="40">
        <v>0</v>
      </c>
      <c r="H33" s="4" t="s">
        <v>299</v>
      </c>
    </row>
    <row r="34" spans="1:8" ht="31.5" x14ac:dyDescent="0.15">
      <c r="A34" s="14" t="s">
        <v>350</v>
      </c>
      <c r="B34" s="14" t="s">
        <v>351</v>
      </c>
      <c r="C34" s="43">
        <v>84.15</v>
      </c>
      <c r="D34" s="43">
        <v>429.16</v>
      </c>
      <c r="E34" s="43">
        <v>11.48</v>
      </c>
      <c r="F34" s="43"/>
      <c r="G34" s="40">
        <v>1</v>
      </c>
      <c r="H34" s="4" t="s">
        <v>299</v>
      </c>
    </row>
    <row r="35" spans="1:8" ht="21" x14ac:dyDescent="0.15">
      <c r="A35" s="14" t="s">
        <v>352</v>
      </c>
      <c r="B35" s="14" t="s">
        <v>353</v>
      </c>
      <c r="C35" s="43">
        <v>8.02</v>
      </c>
      <c r="D35" s="43">
        <v>40.9</v>
      </c>
      <c r="E35" s="43"/>
      <c r="F35" s="43"/>
      <c r="G35" s="40">
        <v>0</v>
      </c>
      <c r="H35" s="4" t="s">
        <v>299</v>
      </c>
    </row>
    <row r="36" spans="1:8" ht="42" x14ac:dyDescent="0.15">
      <c r="A36" s="14" t="s">
        <v>354</v>
      </c>
      <c r="B36" s="14" t="s">
        <v>355</v>
      </c>
      <c r="C36" s="43">
        <v>69.31</v>
      </c>
      <c r="D36" s="43">
        <v>353.48</v>
      </c>
      <c r="E36" s="43">
        <v>11.48</v>
      </c>
      <c r="F36" s="43"/>
      <c r="G36" s="40">
        <v>1</v>
      </c>
      <c r="H36" s="4" t="s">
        <v>299</v>
      </c>
    </row>
    <row r="37" spans="1:8" ht="31.5" x14ac:dyDescent="0.15">
      <c r="A37" s="14" t="s">
        <v>356</v>
      </c>
      <c r="B37" s="14" t="s">
        <v>357</v>
      </c>
      <c r="C37" s="43">
        <v>60.69</v>
      </c>
      <c r="D37" s="43">
        <v>309.52</v>
      </c>
      <c r="E37" s="43">
        <v>13.37</v>
      </c>
      <c r="F37" s="43"/>
      <c r="G37" s="40">
        <v>1</v>
      </c>
      <c r="H37" s="4" t="s">
        <v>299</v>
      </c>
    </row>
    <row r="38" spans="1:8" ht="21" x14ac:dyDescent="0.15">
      <c r="A38" s="14" t="s">
        <v>358</v>
      </c>
      <c r="B38" s="14" t="s">
        <v>359</v>
      </c>
      <c r="C38" s="43">
        <v>119.79</v>
      </c>
      <c r="D38" s="43">
        <v>610.91999999999996</v>
      </c>
      <c r="E38" s="43">
        <v>14.26</v>
      </c>
      <c r="F38" s="43"/>
      <c r="G38" s="40">
        <v>1</v>
      </c>
      <c r="H38" s="4" t="s">
        <v>299</v>
      </c>
    </row>
    <row r="39" spans="1:8" x14ac:dyDescent="0.15">
      <c r="A39" s="14" t="s">
        <v>360</v>
      </c>
      <c r="B39" s="14" t="s">
        <v>361</v>
      </c>
      <c r="C39" s="43">
        <v>108.9</v>
      </c>
      <c r="D39" s="43">
        <v>555.39</v>
      </c>
      <c r="E39" s="43">
        <v>11.48</v>
      </c>
      <c r="F39" s="43"/>
      <c r="G39" s="40">
        <v>1</v>
      </c>
      <c r="H39" s="4" t="s">
        <v>299</v>
      </c>
    </row>
    <row r="40" spans="1:8" x14ac:dyDescent="0.15">
      <c r="A40" s="14" t="s">
        <v>362</v>
      </c>
      <c r="B40" s="14" t="s">
        <v>363</v>
      </c>
      <c r="C40" s="43">
        <v>1.49</v>
      </c>
      <c r="D40" s="43">
        <v>7.6</v>
      </c>
      <c r="E40" s="43"/>
      <c r="F40" s="43"/>
      <c r="G40" s="40">
        <v>0</v>
      </c>
      <c r="H40" s="4" t="s">
        <v>299</v>
      </c>
    </row>
    <row r="41" spans="1:8" ht="21" x14ac:dyDescent="0.15">
      <c r="A41" s="14" t="s">
        <v>364</v>
      </c>
      <c r="B41" s="14" t="s">
        <v>365</v>
      </c>
      <c r="C41" s="43">
        <v>156.32</v>
      </c>
      <c r="D41" s="43">
        <v>797.23</v>
      </c>
      <c r="E41" s="43">
        <v>14.26</v>
      </c>
      <c r="F41" s="43"/>
      <c r="G41" s="40">
        <v>1</v>
      </c>
      <c r="H41" s="4" t="s">
        <v>299</v>
      </c>
    </row>
    <row r="42" spans="1:8" ht="21" x14ac:dyDescent="0.15">
      <c r="A42" s="14" t="s">
        <v>366</v>
      </c>
      <c r="B42" s="14" t="s">
        <v>367</v>
      </c>
      <c r="C42" s="43">
        <v>137.15</v>
      </c>
      <c r="D42" s="43">
        <v>699.46</v>
      </c>
      <c r="E42" s="43">
        <v>11.48</v>
      </c>
      <c r="F42" s="43"/>
      <c r="G42" s="40">
        <v>1</v>
      </c>
      <c r="H42" s="4" t="s">
        <v>299</v>
      </c>
    </row>
    <row r="43" spans="1:8" x14ac:dyDescent="0.15">
      <c r="A43" s="14" t="s">
        <v>368</v>
      </c>
      <c r="B43" s="14" t="s">
        <v>369</v>
      </c>
      <c r="C43" s="43">
        <v>1.04</v>
      </c>
      <c r="D43" s="43">
        <v>5.3</v>
      </c>
      <c r="E43" s="43"/>
      <c r="F43" s="43"/>
      <c r="G43" s="40">
        <v>0</v>
      </c>
      <c r="H43" s="4" t="s">
        <v>299</v>
      </c>
    </row>
    <row r="44" spans="1:8" ht="21" x14ac:dyDescent="0.15">
      <c r="A44" s="14" t="s">
        <v>370</v>
      </c>
      <c r="B44" s="14" t="s">
        <v>371</v>
      </c>
      <c r="C44" s="43">
        <v>74.650000000000006</v>
      </c>
      <c r="D44" s="43">
        <v>380.71</v>
      </c>
      <c r="E44" s="43">
        <v>21.08</v>
      </c>
      <c r="F44" s="43"/>
      <c r="G44" s="40">
        <v>1</v>
      </c>
      <c r="H44" s="4" t="s">
        <v>299</v>
      </c>
    </row>
    <row r="45" spans="1:8" ht="21" x14ac:dyDescent="0.15">
      <c r="A45" s="14" t="s">
        <v>372</v>
      </c>
      <c r="B45" s="14" t="s">
        <v>373</v>
      </c>
      <c r="C45" s="43">
        <v>94.57</v>
      </c>
      <c r="D45" s="43">
        <v>482.3</v>
      </c>
      <c r="E45" s="43">
        <v>21.08</v>
      </c>
      <c r="F45" s="43"/>
      <c r="G45" s="40">
        <v>1</v>
      </c>
      <c r="H45" s="4" t="s">
        <v>299</v>
      </c>
    </row>
    <row r="46" spans="1:8" ht="21" x14ac:dyDescent="0.15">
      <c r="A46" s="14" t="s">
        <v>374</v>
      </c>
      <c r="B46" s="14" t="s">
        <v>375</v>
      </c>
      <c r="C46" s="43">
        <v>113.18</v>
      </c>
      <c r="D46" s="43">
        <v>577.21</v>
      </c>
      <c r="E46" s="43">
        <v>24.73</v>
      </c>
      <c r="F46" s="43"/>
      <c r="G46" s="40">
        <v>1</v>
      </c>
      <c r="H46" s="4" t="s">
        <v>299</v>
      </c>
    </row>
    <row r="47" spans="1:8" ht="21" x14ac:dyDescent="0.15">
      <c r="A47" s="14" t="s">
        <v>376</v>
      </c>
      <c r="B47" s="14" t="s">
        <v>377</v>
      </c>
      <c r="C47" s="43">
        <v>11.88</v>
      </c>
      <c r="D47" s="43">
        <v>60.59</v>
      </c>
      <c r="E47" s="43"/>
      <c r="F47" s="43"/>
      <c r="G47" s="40">
        <v>0</v>
      </c>
      <c r="H47" s="4" t="s">
        <v>299</v>
      </c>
    </row>
    <row r="48" spans="1:8" ht="31.5" x14ac:dyDescent="0.15">
      <c r="A48" s="14" t="s">
        <v>215</v>
      </c>
      <c r="B48" s="14" t="s">
        <v>216</v>
      </c>
      <c r="C48" s="43">
        <v>132.58000000000001</v>
      </c>
      <c r="D48" s="43">
        <v>676.15</v>
      </c>
      <c r="E48" s="43"/>
      <c r="F48" s="43"/>
      <c r="G48" s="40">
        <v>0</v>
      </c>
      <c r="H48" s="4" t="s">
        <v>299</v>
      </c>
    </row>
    <row r="49" spans="1:8" ht="52.5" x14ac:dyDescent="0.15">
      <c r="A49" s="14" t="s">
        <v>220</v>
      </c>
      <c r="B49" s="14" t="s">
        <v>221</v>
      </c>
      <c r="C49" s="43">
        <v>4.8600000000000003</v>
      </c>
      <c r="D49" s="43">
        <v>24.79</v>
      </c>
      <c r="E49" s="43"/>
      <c r="F49" s="43"/>
      <c r="G49" s="40">
        <v>0</v>
      </c>
      <c r="H49" s="4" t="s">
        <v>299</v>
      </c>
    </row>
  </sheetData>
  <mergeCells count="6">
    <mergeCell ref="G1:G2"/>
    <mergeCell ref="H1:H2"/>
    <mergeCell ref="A1:A2"/>
    <mergeCell ref="B1:B2"/>
    <mergeCell ref="C1:D1"/>
    <mergeCell ref="E1:F1"/>
  </mergeCells>
  <phoneticPr fontId="0" type="noConversion"/>
  <pageMargins left="0.39370078740157477" right="0.39370078740157477" top="0.78740157480314954" bottom="0.39370078740157477" header="0.78740157480314954" footer="0.3937007874015747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E27"/>
  <sheetViews>
    <sheetView workbookViewId="0">
      <selection activeCell="K1" sqref="K1"/>
    </sheetView>
  </sheetViews>
  <sheetFormatPr defaultRowHeight="10.5" x14ac:dyDescent="0.15"/>
  <cols>
    <col min="1" max="1" width="5.7109375" style="40" customWidth="1"/>
    <col min="2" max="2" width="10.140625" style="44" customWidth="1"/>
    <col min="3" max="16384" width="9.140625" style="44"/>
  </cols>
  <sheetData>
    <row r="1" spans="1:31" s="45" customFormat="1" x14ac:dyDescent="0.15">
      <c r="A1" s="46"/>
      <c r="B1" s="45" t="s">
        <v>378</v>
      </c>
      <c r="C1" s="45" t="s">
        <v>379</v>
      </c>
      <c r="D1" s="45" t="s">
        <v>380</v>
      </c>
      <c r="E1" s="45" t="s">
        <v>381</v>
      </c>
      <c r="F1" s="45" t="s">
        <v>382</v>
      </c>
      <c r="G1" s="45" t="s">
        <v>383</v>
      </c>
      <c r="H1" s="45" t="s">
        <v>384</v>
      </c>
      <c r="I1" s="45" t="s">
        <v>385</v>
      </c>
      <c r="J1" s="45" t="s">
        <v>386</v>
      </c>
      <c r="K1" s="45" t="s">
        <v>387</v>
      </c>
      <c r="L1" s="45" t="s">
        <v>388</v>
      </c>
      <c r="M1" s="45" t="s">
        <v>389</v>
      </c>
      <c r="N1" s="45" t="s">
        <v>390</v>
      </c>
      <c r="O1" s="45" t="s">
        <v>391</v>
      </c>
      <c r="P1" s="45" t="s">
        <v>392</v>
      </c>
      <c r="Q1" s="45" t="s">
        <v>393</v>
      </c>
      <c r="R1" s="45" t="s">
        <v>394</v>
      </c>
      <c r="S1" s="45" t="s">
        <v>395</v>
      </c>
      <c r="T1" s="45" t="s">
        <v>396</v>
      </c>
      <c r="U1" s="45" t="s">
        <v>397</v>
      </c>
      <c r="V1" s="45" t="s">
        <v>398</v>
      </c>
      <c r="X1" s="45" t="s">
        <v>399</v>
      </c>
      <c r="Y1" s="45" t="s">
        <v>400</v>
      </c>
      <c r="Z1" s="45" t="s">
        <v>401</v>
      </c>
      <c r="AA1" s="45" t="s">
        <v>402</v>
      </c>
      <c r="AB1" s="45" t="s">
        <v>403</v>
      </c>
      <c r="AC1" s="45" t="s">
        <v>404</v>
      </c>
      <c r="AD1" s="45" t="s">
        <v>405</v>
      </c>
      <c r="AE1" s="45" t="s">
        <v>406</v>
      </c>
    </row>
    <row r="2" spans="1:31" x14ac:dyDescent="0.1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31" x14ac:dyDescent="0.15">
      <c r="A3" s="47"/>
      <c r="B3" s="80" t="s">
        <v>407</v>
      </c>
      <c r="C3" s="80"/>
      <c r="D3" s="80"/>
      <c r="E3" s="80"/>
      <c r="F3" s="80"/>
      <c r="G3" s="80"/>
      <c r="H3" s="80"/>
      <c r="I3" s="80"/>
      <c r="J3" s="80"/>
      <c r="K3" s="80"/>
    </row>
    <row r="4" spans="1:31" x14ac:dyDescent="0.15">
      <c r="A4" s="47"/>
      <c r="B4" s="80" t="s">
        <v>408</v>
      </c>
      <c r="C4" s="80"/>
      <c r="D4" s="80"/>
      <c r="E4" s="80"/>
      <c r="F4" s="80"/>
      <c r="G4" s="80"/>
      <c r="H4" s="80"/>
      <c r="I4" s="80"/>
      <c r="J4" s="80"/>
      <c r="K4" s="80"/>
    </row>
    <row r="5" spans="1:31" x14ac:dyDescent="0.15">
      <c r="A5" s="78"/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31" x14ac:dyDescent="0.15">
      <c r="A6" s="44" t="str">
        <f>'Форма по МДС 81-35.2004'!A19</f>
        <v>1.</v>
      </c>
      <c r="B6" s="44">
        <f t="shared" ref="B6:B12" ca="1" si="0">ROUND(C6+D6+F6,2)</f>
        <v>0</v>
      </c>
      <c r="C6" s="44">
        <f ca="1">ROUND(СУММПРОИЗВЕСЛИ(1,'Форма по МДС 81-35.2004'!M19:M35,"Г",'Форма по МДС 81-35.2004'!E19:E35,'Форма по МДС 81-35.2004'!G19:G35,0),2)</f>
        <v>0</v>
      </c>
      <c r="D6" s="44">
        <f ca="1">ROUND(СУММПРОИЗВЕСЛИ(1,'Форма по МДС 81-35.2004'!M19:M35,"IsMash",'Форма по МДС 81-35.2004'!E19:E35,'Форма по МДС 81-35.2004'!G19:G35,0),2)</f>
        <v>0</v>
      </c>
      <c r="E6" s="44">
        <f ca="1">ROUND(СУММПРОИЗВЕСЛИ(1,'Форма по МДС 81-35.2004'!M19:M35,"Ж",'Форма по МДС 81-35.2004'!E19:E35,'Форма по МДС 81-35.2004'!G19:G35,0),2)</f>
        <v>0</v>
      </c>
      <c r="F6" s="44">
        <f ca="1">ROUND(СУММПРОИЗВЕСЛИ(1,'Форма по МДС 81-35.2004'!M19:M35,"IsMater",'Форма по МДС 81-35.2004'!E19:E35,'Форма по МДС 81-35.2004'!G19:G35,0),2)</f>
        <v>0</v>
      </c>
      <c r="G6" s="44">
        <v>0</v>
      </c>
      <c r="H6" s="44">
        <v>0</v>
      </c>
      <c r="I6" s="40">
        <f>ОКРУГЛВСЕ(SUMIF('Форма по МДС 81-35.2004'!M19:M35,"Г",'Форма по МДС 81-35.2004'!E19:E35),2)</f>
        <v>0</v>
      </c>
      <c r="J6" s="40">
        <v>0</v>
      </c>
      <c r="K6" s="40">
        <f>ОКРУГЛВСЕ(SUMIF('Форма по МДС 81-35.2004'!M19:M35,"Ж",'Форма по МДС 81-35.2004'!E19:E35),2)</f>
        <v>0</v>
      </c>
      <c r="L6" s="44">
        <v>0</v>
      </c>
      <c r="M6" s="44">
        <v>0</v>
      </c>
      <c r="N6" s="44">
        <v>0</v>
      </c>
      <c r="O6" s="44">
        <v>0</v>
      </c>
      <c r="P6" s="44">
        <v>0</v>
      </c>
      <c r="Q6" s="44">
        <v>0</v>
      </c>
      <c r="R6" s="44">
        <v>0</v>
      </c>
      <c r="S6" s="44">
        <v>0</v>
      </c>
      <c r="T6" s="44">
        <v>0</v>
      </c>
      <c r="U6" s="44">
        <v>0</v>
      </c>
      <c r="V6" s="44">
        <v>0</v>
      </c>
      <c r="X6" s="44">
        <v>0</v>
      </c>
      <c r="Y6" s="44">
        <v>0</v>
      </c>
      <c r="Z6" s="44">
        <v>0</v>
      </c>
      <c r="AA6" s="44">
        <v>0</v>
      </c>
      <c r="AB6" s="44">
        <v>0</v>
      </c>
      <c r="AC6" s="44">
        <v>0</v>
      </c>
      <c r="AD6" s="44">
        <v>0</v>
      </c>
      <c r="AE6" s="44">
        <v>0</v>
      </c>
    </row>
    <row r="7" spans="1:31" x14ac:dyDescent="0.15">
      <c r="A7" s="44" t="str">
        <f>'Форма по МДС 81-35.2004'!A40</f>
        <v>2.</v>
      </c>
      <c r="B7" s="44">
        <f t="shared" ca="1" si="0"/>
        <v>0</v>
      </c>
      <c r="C7" s="44">
        <f ca="1">ROUND(СУММПРОИЗВЕСЛИ(1,'Форма по МДС 81-35.2004'!M40:M56,"Г",'Форма по МДС 81-35.2004'!E40:E56,'Форма по МДС 81-35.2004'!G40:G56,0),2)</f>
        <v>0</v>
      </c>
      <c r="D7" s="44">
        <f ca="1">ROUND(СУММПРОИЗВЕСЛИ(1,'Форма по МДС 81-35.2004'!M40:M56,"IsMash",'Форма по МДС 81-35.2004'!E40:E56,'Форма по МДС 81-35.2004'!G40:G56,0),2)</f>
        <v>0</v>
      </c>
      <c r="E7" s="44">
        <f ca="1">ROUND(СУММПРОИЗВЕСЛИ(1,'Форма по МДС 81-35.2004'!M40:M56,"Ж",'Форма по МДС 81-35.2004'!E40:E56,'Форма по МДС 81-35.2004'!G40:G56,0),2)</f>
        <v>0</v>
      </c>
      <c r="F7" s="44">
        <f ca="1">ROUND(СУММПРОИЗВЕСЛИ(1,'Форма по МДС 81-35.2004'!M40:M56,"IsMater",'Форма по МДС 81-35.2004'!E40:E56,'Форма по МДС 81-35.2004'!G40:G56,0),2)</f>
        <v>0</v>
      </c>
      <c r="G7" s="44">
        <v>0</v>
      </c>
      <c r="H7" s="44">
        <v>0</v>
      </c>
      <c r="I7" s="40">
        <f>ОКРУГЛВСЕ(SUMIF('Форма по МДС 81-35.2004'!M40:M56,"Г",'Форма по МДС 81-35.2004'!E40:E56),2)</f>
        <v>0</v>
      </c>
      <c r="J7" s="40">
        <v>0</v>
      </c>
      <c r="K7" s="40">
        <f>ОКРУГЛВСЕ(SUMIF('Форма по МДС 81-35.2004'!M40:M56,"Ж",'Форма по МДС 81-35.2004'!E40:E56),2)</f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X7" s="44">
        <v>0</v>
      </c>
      <c r="Y7" s="44">
        <v>0</v>
      </c>
      <c r="Z7" s="44">
        <v>0</v>
      </c>
      <c r="AA7" s="44">
        <v>0</v>
      </c>
      <c r="AB7" s="44">
        <v>0</v>
      </c>
      <c r="AC7" s="44">
        <v>0</v>
      </c>
      <c r="AD7" s="44">
        <v>0</v>
      </c>
      <c r="AE7" s="44">
        <v>0</v>
      </c>
    </row>
    <row r="8" spans="1:31" x14ac:dyDescent="0.15">
      <c r="A8" s="44" t="str">
        <f>'Форма по МДС 81-35.2004'!A61</f>
        <v>3.</v>
      </c>
      <c r="B8" s="44">
        <f t="shared" ca="1" si="0"/>
        <v>0</v>
      </c>
      <c r="C8" s="44">
        <f ca="1">ROUND(СУММПРОИЗВЕСЛИ(1,'Форма по МДС 81-35.2004'!M61:M77,"Г",'Форма по МДС 81-35.2004'!E61:E77,'Форма по МДС 81-35.2004'!G61:G77,0),2)</f>
        <v>0</v>
      </c>
      <c r="D8" s="44">
        <f ca="1">ROUND(СУММПРОИЗВЕСЛИ(1,'Форма по МДС 81-35.2004'!M61:M77,"IsMash",'Форма по МДС 81-35.2004'!E61:E77,'Форма по МДС 81-35.2004'!G61:G77,0),2)</f>
        <v>0</v>
      </c>
      <c r="E8" s="44">
        <f ca="1">ROUND(СУММПРОИЗВЕСЛИ(1,'Форма по МДС 81-35.2004'!M61:M77,"Ж",'Форма по МДС 81-35.2004'!E61:E77,'Форма по МДС 81-35.2004'!G61:G77,0),2)</f>
        <v>0</v>
      </c>
      <c r="F8" s="44">
        <f ca="1">ROUND(СУММПРОИЗВЕСЛИ(1,'Форма по МДС 81-35.2004'!M61:M77,"IsMater",'Форма по МДС 81-35.2004'!E61:E77,'Форма по МДС 81-35.2004'!G61:G77,0),2)</f>
        <v>0</v>
      </c>
      <c r="G8" s="44">
        <v>0</v>
      </c>
      <c r="H8" s="44">
        <v>0</v>
      </c>
      <c r="I8" s="40">
        <f>ОКРУГЛВСЕ(SUMIF('Форма по МДС 81-35.2004'!M61:M77,"Г",'Форма по МДС 81-35.2004'!E61:E77),2)</f>
        <v>0</v>
      </c>
      <c r="J8" s="40">
        <v>0</v>
      </c>
      <c r="K8" s="40">
        <f>ОКРУГЛВСЕ(SUMIF('Форма по МДС 81-35.2004'!M61:M77,"Ж",'Форма по МДС 81-35.2004'!E61:E77),2)</f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X8" s="44">
        <v>0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4">
        <v>0</v>
      </c>
      <c r="AE8" s="44">
        <v>0</v>
      </c>
    </row>
    <row r="9" spans="1:31" x14ac:dyDescent="0.15">
      <c r="A9" s="44" t="str">
        <f>'Форма по МДС 81-35.2004'!A82</f>
        <v>4.</v>
      </c>
      <c r="B9" s="44">
        <f t="shared" ca="1" si="0"/>
        <v>0</v>
      </c>
      <c r="C9" s="44">
        <f ca="1">ROUND(СУММПРОИЗВЕСЛИ(1,'Форма по МДС 81-35.2004'!M82:M98,"Г",'Форма по МДС 81-35.2004'!E82:E98,'Форма по МДС 81-35.2004'!G82:G98,0),2)</f>
        <v>0</v>
      </c>
      <c r="D9" s="44">
        <f ca="1">ROUND(СУММПРОИЗВЕСЛИ(1,'Форма по МДС 81-35.2004'!M82:M98,"IsMash",'Форма по МДС 81-35.2004'!E82:E98,'Форма по МДС 81-35.2004'!G82:G98,0),2)</f>
        <v>0</v>
      </c>
      <c r="E9" s="44">
        <f ca="1">ROUND(СУММПРОИЗВЕСЛИ(1,'Форма по МДС 81-35.2004'!M82:M98,"Ж",'Форма по МДС 81-35.2004'!E82:E98,'Форма по МДС 81-35.2004'!G82:G98,0),2)</f>
        <v>0</v>
      </c>
      <c r="F9" s="44">
        <f ca="1">ROUND(СУММПРОИЗВЕСЛИ(1,'Форма по МДС 81-35.2004'!M82:M98,"IsMater",'Форма по МДС 81-35.2004'!E82:E98,'Форма по МДС 81-35.2004'!G82:G98,0),2)</f>
        <v>0</v>
      </c>
      <c r="G9" s="44">
        <v>0</v>
      </c>
      <c r="H9" s="44">
        <v>0</v>
      </c>
      <c r="I9" s="40">
        <f>ОКРУГЛВСЕ(SUMIF('Форма по МДС 81-35.2004'!M82:M98,"Г",'Форма по МДС 81-35.2004'!E82:E98),2)</f>
        <v>0</v>
      </c>
      <c r="J9" s="40">
        <v>0</v>
      </c>
      <c r="K9" s="40">
        <f>ОКРУГЛВСЕ(SUMIF('Форма по МДС 81-35.2004'!M82:M98,"Ж",'Форма по МДС 81-35.2004'!E82:E98),2)</f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44">
        <v>0</v>
      </c>
      <c r="T9" s="44">
        <v>0</v>
      </c>
      <c r="U9" s="44">
        <v>0</v>
      </c>
      <c r="V9" s="44">
        <v>0</v>
      </c>
      <c r="X9" s="44">
        <v>0</v>
      </c>
      <c r="Y9" s="44">
        <v>0</v>
      </c>
      <c r="Z9" s="44">
        <v>0</v>
      </c>
      <c r="AA9" s="44">
        <v>0</v>
      </c>
      <c r="AB9" s="44">
        <v>0</v>
      </c>
      <c r="AC9" s="44">
        <v>0</v>
      </c>
      <c r="AD9" s="44">
        <v>0</v>
      </c>
      <c r="AE9" s="44">
        <v>0</v>
      </c>
    </row>
    <row r="10" spans="1:31" x14ac:dyDescent="0.15">
      <c r="A10" s="44" t="str">
        <f>'Форма по МДС 81-35.2004'!A103</f>
        <v>5.</v>
      </c>
      <c r="B10" s="44">
        <f t="shared" ca="1" si="0"/>
        <v>0</v>
      </c>
      <c r="C10" s="44">
        <f ca="1">ROUND(СУММПРОИЗВЕСЛИ(1,'Форма по МДС 81-35.2004'!M103:M119,"Г",'Форма по МДС 81-35.2004'!E103:E119,'Форма по МДС 81-35.2004'!G103:G119,0),2)</f>
        <v>0</v>
      </c>
      <c r="D10" s="44">
        <f ca="1">ROUND(СУММПРОИЗВЕСЛИ(1,'Форма по МДС 81-35.2004'!M103:M119,"IsMash",'Форма по МДС 81-35.2004'!E103:E119,'Форма по МДС 81-35.2004'!G103:G119,0),2)</f>
        <v>0</v>
      </c>
      <c r="E10" s="44">
        <f ca="1">ROUND(СУММПРОИЗВЕСЛИ(1,'Форма по МДС 81-35.2004'!M103:M119,"Ж",'Форма по МДС 81-35.2004'!E103:E119,'Форма по МДС 81-35.2004'!G103:G119,0),2)</f>
        <v>0</v>
      </c>
      <c r="F10" s="44">
        <f ca="1">ROUND(СУММПРОИЗВЕСЛИ(1,'Форма по МДС 81-35.2004'!M103:M119,"IsMater",'Форма по МДС 81-35.2004'!E103:E119,'Форма по МДС 81-35.2004'!G103:G119,0),2)</f>
        <v>0</v>
      </c>
      <c r="G10" s="44">
        <v>0</v>
      </c>
      <c r="H10" s="44">
        <v>0</v>
      </c>
      <c r="I10" s="40">
        <f>ОКРУГЛВСЕ(SUMIF('Форма по МДС 81-35.2004'!M103:M119,"Г",'Форма по МДС 81-35.2004'!E103:E119),2)</f>
        <v>0</v>
      </c>
      <c r="J10" s="40">
        <v>0</v>
      </c>
      <c r="K10" s="40">
        <f>ОКРУГЛВСЕ(SUMIF('Форма по МДС 81-35.2004'!M103:M119,"Ж",'Форма по МДС 81-35.2004'!E103:E119),2)</f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</row>
    <row r="11" spans="1:31" x14ac:dyDescent="0.15">
      <c r="A11" s="44" t="str">
        <f>'Форма по МДС 81-35.2004'!A124</f>
        <v>6.</v>
      </c>
      <c r="B11" s="44">
        <f t="shared" ca="1" si="0"/>
        <v>0</v>
      </c>
      <c r="C11" s="44">
        <f ca="1">ROUND(СУММПРОИЗВЕСЛИ(1,'Форма по МДС 81-35.2004'!M124:M140,"Г",'Форма по МДС 81-35.2004'!E124:E140,'Форма по МДС 81-35.2004'!G124:G140,0),2)</f>
        <v>0</v>
      </c>
      <c r="D11" s="44">
        <f ca="1">ROUND(СУММПРОИЗВЕСЛИ(1,'Форма по МДС 81-35.2004'!M124:M140,"IsMash",'Форма по МДС 81-35.2004'!E124:E140,'Форма по МДС 81-35.2004'!G124:G140,0),2)</f>
        <v>0</v>
      </c>
      <c r="E11" s="44">
        <f ca="1">ROUND(СУММПРОИЗВЕСЛИ(1,'Форма по МДС 81-35.2004'!M124:M140,"Ж",'Форма по МДС 81-35.2004'!E124:E140,'Форма по МДС 81-35.2004'!G124:G140,0),2)</f>
        <v>0</v>
      </c>
      <c r="F11" s="44">
        <f ca="1">ROUND(СУММПРОИЗВЕСЛИ(1,'Форма по МДС 81-35.2004'!M124:M140,"IsMater",'Форма по МДС 81-35.2004'!E124:E140,'Форма по МДС 81-35.2004'!G124:G140,0),2)</f>
        <v>0</v>
      </c>
      <c r="G11" s="44">
        <v>0</v>
      </c>
      <c r="H11" s="44">
        <v>0</v>
      </c>
      <c r="I11" s="40">
        <f>ОКРУГЛВСЕ(SUMIF('Форма по МДС 81-35.2004'!M124:M140,"Г",'Форма по МДС 81-35.2004'!E124:E140),2)</f>
        <v>0</v>
      </c>
      <c r="J11" s="40">
        <v>0</v>
      </c>
      <c r="K11" s="40">
        <f>ОКРУГЛВСЕ(SUMIF('Форма по МДС 81-35.2004'!M124:M140,"Ж",'Форма по МДС 81-35.2004'!E124:E140),2)</f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</row>
    <row r="12" spans="1:31" x14ac:dyDescent="0.15">
      <c r="A12" s="44" t="str">
        <f>'Форма по МДС 81-35.2004'!A145</f>
        <v>7.</v>
      </c>
      <c r="B12" s="44">
        <f t="shared" ca="1" si="0"/>
        <v>0</v>
      </c>
      <c r="C12" s="44">
        <f ca="1">ROUND(СУММПРОИЗВЕСЛИ(1,'Форма по МДС 81-35.2004'!M145:M155,"Г",'Форма по МДС 81-35.2004'!E145:E155,'Форма по МДС 81-35.2004'!G145:G155,0),2)</f>
        <v>0</v>
      </c>
      <c r="D12" s="44">
        <f ca="1">ROUND(СУММПРОИЗВЕСЛИ(1,'Форма по МДС 81-35.2004'!M145:M155,"IsMash",'Форма по МДС 81-35.2004'!E145:E155,'Форма по МДС 81-35.2004'!G145:G155,0),2)</f>
        <v>0</v>
      </c>
      <c r="E12" s="44">
        <f ca="1">ROUND(СУММПРОИЗВЕСЛИ(1,'Форма по МДС 81-35.2004'!M145:M155,"Ж",'Форма по МДС 81-35.2004'!E145:E155,'Форма по МДС 81-35.2004'!G145:G155,0),2)</f>
        <v>0</v>
      </c>
      <c r="F12" s="44">
        <f ca="1">ROUND(СУММПРОИЗВЕСЛИ(1,'Форма по МДС 81-35.2004'!M145:M155,"IsMater",'Форма по МДС 81-35.2004'!E145:E155,'Форма по МДС 81-35.2004'!G145:G155,0),2)</f>
        <v>0</v>
      </c>
      <c r="G12" s="44">
        <v>0</v>
      </c>
      <c r="H12" s="44">
        <v>0</v>
      </c>
      <c r="I12" s="40">
        <f>ОКРУГЛВСЕ(SUMIF('Форма по МДС 81-35.2004'!M145:M155,"Г",'Форма по МДС 81-35.2004'!E145:E155),2)</f>
        <v>0</v>
      </c>
      <c r="J12" s="40">
        <v>0</v>
      </c>
      <c r="K12" s="40">
        <f>ОКРУГЛВСЕ(SUMIF('Форма по МДС 81-35.2004'!M145:M155,"Ж",'Форма по МДС 81-35.2004'!E145:E155),2)</f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X12" s="44">
        <v>0</v>
      </c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</row>
    <row r="13" spans="1:31" x14ac:dyDescent="0.15">
      <c r="A13" s="44" t="str">
        <f>'Форма по МДС 81-35.2004'!A160</f>
        <v>8.</v>
      </c>
      <c r="B13" s="44">
        <f>'Форма по МДС 81-35.2004'!G160</f>
        <v>0</v>
      </c>
      <c r="C13" s="44">
        <f ca="1">ROUND(СУММПРОИЗВЕСЛИ(1,'Форма по МДС 81-35.2004'!M160:M171,"Г",'Форма по МДС 81-35.2004'!E160:E171,'Форма по МДС 81-35.2004'!G160:G171,0),2)</f>
        <v>0</v>
      </c>
      <c r="D13" s="44">
        <f ca="1">ROUND(СУММПРОИЗВЕСЛИ(1,'Форма по МДС 81-35.2004'!M160:M171,"IsMash",'Форма по МДС 81-35.2004'!E160:E171,'Форма по МДС 81-35.2004'!G160:G171,0),2)</f>
        <v>0</v>
      </c>
      <c r="E13" s="44">
        <f ca="1">ROUND(СУММПРОИЗВЕСЛИ(1,'Форма по МДС 81-35.2004'!M160:M171,"Ж",'Форма по МДС 81-35.2004'!E160:E171,'Форма по МДС 81-35.2004'!G160:G171,0),2)</f>
        <v>0</v>
      </c>
      <c r="F13" s="44">
        <f ca="1">ROUND(СУММПРОИЗВЕСЛИ(1,'Форма по МДС 81-35.2004'!M160:M171,"IsMater",'Форма по МДС 81-35.2004'!E160:E171,'Форма по МДС 81-35.2004'!G160:G171,0),2)</f>
        <v>0</v>
      </c>
      <c r="G13" s="44">
        <v>0</v>
      </c>
      <c r="H13" s="44">
        <v>0</v>
      </c>
      <c r="I13" s="40">
        <f>ОКРУГЛВСЕ(SUMIF('Форма по МДС 81-35.2004'!M160:M171,"Г",'Форма по МДС 81-35.2004'!E160:E171),2)</f>
        <v>0</v>
      </c>
      <c r="J13" s="40">
        <v>0</v>
      </c>
      <c r="K13" s="40">
        <f>ОКРУГЛВСЕ(SUMIF('Форма по МДС 81-35.2004'!M160:M171,"Ж",'Форма по МДС 81-35.2004'!E160:E171),2)</f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</row>
    <row r="14" spans="1:31" x14ac:dyDescent="0.15">
      <c r="A14" s="44" t="str">
        <f>'Форма по МДС 81-35.2004'!A176</f>
        <v>9.</v>
      </c>
      <c r="B14" s="44">
        <f>'Форма по МДС 81-35.2004'!G176</f>
        <v>0</v>
      </c>
      <c r="C14" s="44">
        <f ca="1">ROUND(СУММПРОИЗВЕСЛИ(1,'Форма по МДС 81-35.2004'!M176:M196,"Г",'Форма по МДС 81-35.2004'!E176:E196,'Форма по МДС 81-35.2004'!G176:G196,0),2)</f>
        <v>0</v>
      </c>
      <c r="D14" s="44">
        <f ca="1">ROUND(СУММПРОИЗВЕСЛИ(1,'Форма по МДС 81-35.2004'!M176:M196,"IsMash",'Форма по МДС 81-35.2004'!E176:E196,'Форма по МДС 81-35.2004'!G176:G196,0),2)</f>
        <v>0</v>
      </c>
      <c r="E14" s="44">
        <f ca="1">ROUND(СУММПРОИЗВЕСЛИ(1,'Форма по МДС 81-35.2004'!M176:M196,"Ж",'Форма по МДС 81-35.2004'!E176:E196,'Форма по МДС 81-35.2004'!G176:G196,0),2)</f>
        <v>0</v>
      </c>
      <c r="F14" s="44">
        <f ca="1">ROUND(СУММПРОИЗВЕСЛИ(1,'Форма по МДС 81-35.2004'!M176:M196,"IsMater",'Форма по МДС 81-35.2004'!E176:E196,'Форма по МДС 81-35.2004'!G176:G196,0),2)</f>
        <v>0</v>
      </c>
      <c r="G14" s="44">
        <v>0</v>
      </c>
      <c r="H14" s="44">
        <v>0</v>
      </c>
      <c r="I14" s="40">
        <f>ОКРУГЛВСЕ(SUMIF('Форма по МДС 81-35.2004'!M176:M196,"Г",'Форма по МДС 81-35.2004'!E176:E196),2)</f>
        <v>0</v>
      </c>
      <c r="J14" s="40">
        <v>0</v>
      </c>
      <c r="K14" s="40">
        <f>ОКРУГЛВСЕ(SUMIF('Форма по МДС 81-35.2004'!M176:M196,"Ж",'Форма по МДС 81-35.2004'!E176:E196),2)</f>
        <v>0</v>
      </c>
      <c r="L14" s="44">
        <v>0</v>
      </c>
      <c r="M14" s="44">
        <v>0</v>
      </c>
      <c r="N14" s="44">
        <v>13.92</v>
      </c>
      <c r="O14" s="44">
        <v>7.54</v>
      </c>
      <c r="P14" s="44">
        <v>0</v>
      </c>
      <c r="Q14" s="44">
        <v>13.92</v>
      </c>
      <c r="R14" s="44">
        <v>0</v>
      </c>
      <c r="S14" s="44">
        <v>7.54</v>
      </c>
      <c r="T14" s="44">
        <v>0</v>
      </c>
      <c r="U14" s="44">
        <v>0</v>
      </c>
      <c r="V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</row>
    <row r="15" spans="1:31" x14ac:dyDescent="0.15">
      <c r="A15" s="44" t="str">
        <f>'Форма по МДС 81-35.2004'!A197</f>
        <v>10.</v>
      </c>
      <c r="B15" s="44">
        <f>'Форма по МДС 81-35.2004'!G197</f>
        <v>0</v>
      </c>
      <c r="C15" s="44">
        <f ca="1">ROUND(СУММПРОИЗВЕСЛИ(1,'Форма по МДС 81-35.2004'!M197:M217,"Г",'Форма по МДС 81-35.2004'!E197:E217,'Форма по МДС 81-35.2004'!G197:G217,0),2)</f>
        <v>0</v>
      </c>
      <c r="D15" s="44">
        <f ca="1">ROUND(СУММПРОИЗВЕСЛИ(1,'Форма по МДС 81-35.2004'!M197:M217,"IsMash",'Форма по МДС 81-35.2004'!E197:E217,'Форма по МДС 81-35.2004'!G197:G217,0),2)</f>
        <v>0</v>
      </c>
      <c r="E15" s="44">
        <f ca="1">ROUND(СУММПРОИЗВЕСЛИ(1,'Форма по МДС 81-35.2004'!M197:M217,"Ж",'Форма по МДС 81-35.2004'!E197:E217,'Форма по МДС 81-35.2004'!G197:G217,0),2)</f>
        <v>0</v>
      </c>
      <c r="F15" s="44">
        <f ca="1">ROUND(СУММПРОИЗВЕСЛИ(1,'Форма по МДС 81-35.2004'!M197:M217,"IsMater",'Форма по МДС 81-35.2004'!E197:E217,'Форма по МДС 81-35.2004'!G197:G217,0),2)</f>
        <v>0</v>
      </c>
      <c r="G15" s="44">
        <v>0</v>
      </c>
      <c r="H15" s="44">
        <v>0</v>
      </c>
      <c r="I15" s="40">
        <f>ОКРУГЛВСЕ(SUMIF('Форма по МДС 81-35.2004'!M197:M217,"Г",'Форма по МДС 81-35.2004'!E197:E217),2)</f>
        <v>0</v>
      </c>
      <c r="J15" s="40">
        <v>0</v>
      </c>
      <c r="K15" s="40">
        <f>ОКРУГЛВСЕ(SUMIF('Форма по МДС 81-35.2004'!M197:M217,"Ж",'Форма по МДС 81-35.2004'!E197:E217),2)</f>
        <v>0</v>
      </c>
      <c r="L15" s="44">
        <v>0</v>
      </c>
      <c r="M15" s="44">
        <v>0</v>
      </c>
      <c r="N15" s="44">
        <v>1.86</v>
      </c>
      <c r="O15" s="44">
        <v>1.1160000000000001</v>
      </c>
      <c r="P15" s="44">
        <v>1.07</v>
      </c>
      <c r="Q15" s="44">
        <v>0.79</v>
      </c>
      <c r="R15" s="44">
        <v>0.64200000000000002</v>
      </c>
      <c r="S15" s="44">
        <v>0.47399999999999998</v>
      </c>
      <c r="T15" s="44">
        <v>0</v>
      </c>
      <c r="U15" s="44">
        <v>0</v>
      </c>
      <c r="V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</row>
    <row r="16" spans="1:31" x14ac:dyDescent="0.15">
      <c r="A16" s="44" t="str">
        <f>'Форма по МДС 81-35.2004'!A218</f>
        <v>11.</v>
      </c>
      <c r="B16" s="44">
        <f>'Форма по МДС 81-35.2004'!G218</f>
        <v>0</v>
      </c>
      <c r="C16" s="44">
        <f ca="1">ROUND(СУММПРОИЗВЕСЛИ(1,'Форма по МДС 81-35.2004'!M218:M238,"Г",'Форма по МДС 81-35.2004'!E218:E238,'Форма по МДС 81-35.2004'!G218:G238,0),2)</f>
        <v>0</v>
      </c>
      <c r="D16" s="44">
        <f ca="1">ROUND(СУММПРОИЗВЕСЛИ(1,'Форма по МДС 81-35.2004'!M218:M238,"IsMash",'Форма по МДС 81-35.2004'!E218:E238,'Форма по МДС 81-35.2004'!G218:G238,0),2)</f>
        <v>0</v>
      </c>
      <c r="E16" s="44">
        <f ca="1">ROUND(СУММПРОИЗВЕСЛИ(1,'Форма по МДС 81-35.2004'!M218:M238,"Ж",'Форма по МДС 81-35.2004'!E218:E238,'Форма по МДС 81-35.2004'!G218:G238,0),2)</f>
        <v>0</v>
      </c>
      <c r="F16" s="44">
        <f ca="1">ROUND(СУММПРОИЗВЕСЛИ(1,'Форма по МДС 81-35.2004'!M218:M238,"IsMater",'Форма по МДС 81-35.2004'!E218:E238,'Форма по МДС 81-35.2004'!G218:G238,0),2)</f>
        <v>0</v>
      </c>
      <c r="G16" s="44">
        <v>0</v>
      </c>
      <c r="H16" s="44">
        <v>0</v>
      </c>
      <c r="I16" s="40">
        <f>ОКРУГЛВСЕ(SUMIF('Форма по МДС 81-35.2004'!M218:M238,"Г",'Форма по МДС 81-35.2004'!E218:E238),2)</f>
        <v>0</v>
      </c>
      <c r="J16" s="40">
        <v>0</v>
      </c>
      <c r="K16" s="40">
        <f>ОКРУГЛВСЕ(SUMIF('Форма по МДС 81-35.2004'!M218:M238,"Ж",'Форма по МДС 81-35.2004'!E218:E238),2)</f>
        <v>0</v>
      </c>
      <c r="L16" s="44">
        <v>0</v>
      </c>
      <c r="M16" s="44">
        <v>0</v>
      </c>
      <c r="N16" s="44">
        <v>1.86</v>
      </c>
      <c r="O16" s="44">
        <v>1.1160000000000001</v>
      </c>
      <c r="P16" s="44">
        <v>1.07</v>
      </c>
      <c r="Q16" s="44">
        <v>0.79</v>
      </c>
      <c r="R16" s="44">
        <v>0.64200000000000002</v>
      </c>
      <c r="S16" s="44">
        <v>0.47399999999999998</v>
      </c>
      <c r="T16" s="44">
        <v>0</v>
      </c>
      <c r="U16" s="44">
        <v>0</v>
      </c>
      <c r="V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4">
        <v>0</v>
      </c>
      <c r="AD16" s="44">
        <v>0</v>
      </c>
      <c r="AE16" s="44">
        <v>0</v>
      </c>
    </row>
    <row r="17" spans="1:31" x14ac:dyDescent="0.15">
      <c r="A17" s="44" t="str">
        <f>'Форма по МДС 81-35.2004'!A239</f>
        <v>12.</v>
      </c>
      <c r="B17" s="44">
        <f>'Форма по МДС 81-35.2004'!G239</f>
        <v>0</v>
      </c>
      <c r="C17" s="44">
        <f ca="1">ROUND(СУММПРОИЗВЕСЛИ(1,'Форма по МДС 81-35.2004'!M239:M286,"Г",'Форма по МДС 81-35.2004'!E239:E286,'Форма по МДС 81-35.2004'!G239:G286,0),2)</f>
        <v>0</v>
      </c>
      <c r="D17" s="44">
        <f ca="1">ROUND(СУММПРОИЗВЕСЛИ(1,'Форма по МДС 81-35.2004'!M239:M286,"IsMash",'Форма по МДС 81-35.2004'!E239:E286,'Форма по МДС 81-35.2004'!G239:G286,0),2)</f>
        <v>0</v>
      </c>
      <c r="E17" s="44">
        <f ca="1">ROUND(СУММПРОИЗВЕСЛИ(1,'Форма по МДС 81-35.2004'!M239:M286,"Ж",'Форма по МДС 81-35.2004'!E239:E286,'Форма по МДС 81-35.2004'!G239:G286,0),2)</f>
        <v>0</v>
      </c>
      <c r="F17" s="44">
        <f ca="1">ROUND(СУММПРОИЗВЕСЛИ(1,'Форма по МДС 81-35.2004'!M239:M286,"IsMater",'Форма по МДС 81-35.2004'!E239:E286,'Форма по МДС 81-35.2004'!G239:G286,0),2)</f>
        <v>0</v>
      </c>
      <c r="G17" s="44">
        <v>4266.59</v>
      </c>
      <c r="H17" s="44">
        <v>0</v>
      </c>
      <c r="I17" s="40">
        <f>ОКРУГЛВСЕ(SUMIF('Форма по МДС 81-35.2004'!M239:M286,"Г",'Форма по МДС 81-35.2004'!E239:E286),2)</f>
        <v>0</v>
      </c>
      <c r="J17" s="40">
        <v>0</v>
      </c>
      <c r="K17" s="40">
        <f>ОКРУГЛВСЕ(SUMIF('Форма по МДС 81-35.2004'!M239:M286,"Ж",'Форма по МДС 81-35.2004'!E239:E286),2)</f>
        <v>0</v>
      </c>
      <c r="L17" s="44">
        <v>0</v>
      </c>
      <c r="M17" s="44">
        <v>0</v>
      </c>
      <c r="N17" s="44">
        <v>251.0976</v>
      </c>
      <c r="O17" s="44">
        <v>130.78</v>
      </c>
      <c r="P17" s="44">
        <v>132.71039999999999</v>
      </c>
      <c r="Q17" s="44">
        <v>118.38720000000001</v>
      </c>
      <c r="R17" s="44">
        <v>69.12</v>
      </c>
      <c r="S17" s="44">
        <v>61.66</v>
      </c>
      <c r="T17" s="44">
        <v>0</v>
      </c>
      <c r="U17" s="44">
        <v>0</v>
      </c>
      <c r="V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</row>
    <row r="18" spans="1:31" x14ac:dyDescent="0.15">
      <c r="A18" s="44" t="str">
        <f>'Форма по МДС 81-35.2004'!A287</f>
        <v>13.</v>
      </c>
      <c r="B18" s="44">
        <f>'Форма по МДС 81-35.2004'!G287</f>
        <v>0</v>
      </c>
      <c r="C18" s="44">
        <f ca="1">ROUND(СУММПРОИЗВЕСЛИ(1,'Форма по МДС 81-35.2004'!M287:M308,"Г",'Форма по МДС 81-35.2004'!E287:E308,'Форма по МДС 81-35.2004'!G287:G308,0),2)</f>
        <v>0</v>
      </c>
      <c r="D18" s="44">
        <f ca="1">ROUND(СУММПРОИЗВЕСЛИ(1,'Форма по МДС 81-35.2004'!M287:M308,"IsMash",'Форма по МДС 81-35.2004'!E287:E308,'Форма по МДС 81-35.2004'!G287:G308,0),2)</f>
        <v>0</v>
      </c>
      <c r="E18" s="44">
        <f ca="1">ROUND(СУММПРОИЗВЕСЛИ(1,'Форма по МДС 81-35.2004'!M287:M308,"Ж",'Форма по МДС 81-35.2004'!E287:E308,'Форма по МДС 81-35.2004'!G287:G308,0),2)</f>
        <v>0</v>
      </c>
      <c r="F18" s="44">
        <f ca="1">ROUND(СУММПРОИЗВЕСЛИ(1,'Форма по МДС 81-35.2004'!M287:M308,"IsMater",'Форма по МДС 81-35.2004'!E287:E308,'Форма по МДС 81-35.2004'!G287:G308,0),2)</f>
        <v>0</v>
      </c>
      <c r="G18" s="44">
        <v>0</v>
      </c>
      <c r="H18" s="44">
        <v>0</v>
      </c>
      <c r="I18" s="40">
        <f>ОКРУГЛВСЕ(SUMIF('Форма по МДС 81-35.2004'!M287:M308,"Г",'Форма по МДС 81-35.2004'!E287:E308),2)</f>
        <v>0</v>
      </c>
      <c r="J18" s="40">
        <v>0</v>
      </c>
      <c r="K18" s="40">
        <f>ОКРУГЛВСЕ(SUMIF('Форма по МДС 81-35.2004'!M287:M308,"Ж",'Форма по МДС 81-35.2004'!E287:E308),2)</f>
        <v>0</v>
      </c>
      <c r="L18" s="44">
        <v>0</v>
      </c>
      <c r="M18" s="44">
        <v>0</v>
      </c>
      <c r="N18" s="44">
        <v>17.702400000000001</v>
      </c>
      <c r="O18" s="44">
        <v>9.2200000000000006</v>
      </c>
      <c r="P18" s="44">
        <v>14.4672</v>
      </c>
      <c r="Q18" s="44">
        <v>3.2351999999999999</v>
      </c>
      <c r="R18" s="44">
        <v>7.5350000000000001</v>
      </c>
      <c r="S18" s="44">
        <v>1.6850000000000001</v>
      </c>
      <c r="T18" s="44">
        <v>0</v>
      </c>
      <c r="U18" s="44">
        <v>0</v>
      </c>
      <c r="V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</row>
    <row r="19" spans="1:31" x14ac:dyDescent="0.15">
      <c r="A19" s="44" t="str">
        <f>'Форма по МДС 81-35.2004'!A309</f>
        <v>14.</v>
      </c>
      <c r="B19" s="44">
        <f>'Форма по МДС 81-35.2004'!G309</f>
        <v>0</v>
      </c>
      <c r="C19" s="44">
        <f ca="1">ROUND(СУММПРОИЗВЕСЛИ(1,'Форма по МДС 81-35.2004'!M309:M326,"Г",'Форма по МДС 81-35.2004'!E309:E326,'Форма по МДС 81-35.2004'!G309:G326,0),2)</f>
        <v>0</v>
      </c>
      <c r="D19" s="44">
        <f ca="1">ROUND(СУММПРОИЗВЕСЛИ(1,'Форма по МДС 81-35.2004'!M309:M326,"IsMash",'Форма по МДС 81-35.2004'!E309:E326,'Форма по МДС 81-35.2004'!G309:G326,0),2)</f>
        <v>0</v>
      </c>
      <c r="E19" s="44">
        <f ca="1">ROUND(СУММПРОИЗВЕСЛИ(1,'Форма по МДС 81-35.2004'!M309:M326,"Ж",'Форма по МДС 81-35.2004'!E309:E326,'Форма по МДС 81-35.2004'!G309:G326,0),2)</f>
        <v>0</v>
      </c>
      <c r="F19" s="44">
        <f ca="1">ROUND(СУММПРОИЗВЕСЛИ(1,'Форма по МДС 81-35.2004'!M309:M326,"IsMater",'Форма по МДС 81-35.2004'!E309:E326,'Форма по МДС 81-35.2004'!G309:G326,0),2)</f>
        <v>0</v>
      </c>
      <c r="G19" s="44">
        <v>13083.26</v>
      </c>
      <c r="H19" s="44">
        <v>0</v>
      </c>
      <c r="I19" s="40">
        <f>ОКРУГЛВСЕ(SUMIF('Форма по МДС 81-35.2004'!M309:M326,"Г",'Форма по МДС 81-35.2004'!E309:E326),2)</f>
        <v>0</v>
      </c>
      <c r="J19" s="40">
        <v>0</v>
      </c>
      <c r="K19" s="40">
        <f>ОКРУГЛВСЕ(SUMIF('Форма по МДС 81-35.2004'!M309:M326,"Ж",'Форма по МДС 81-35.2004'!E309:E326),2)</f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4">
        <v>0</v>
      </c>
      <c r="AE19" s="44">
        <v>0</v>
      </c>
    </row>
    <row r="20" spans="1:31" x14ac:dyDescent="0.15">
      <c r="A20" s="44" t="str">
        <f>'Форма по МДС 81-35.2004'!A327</f>
        <v>15.</v>
      </c>
      <c r="B20" s="44">
        <f>'Форма по МДС 81-35.2004'!G327</f>
        <v>0</v>
      </c>
      <c r="C20" s="44">
        <f ca="1">ROUND(СУММПРОИЗВЕСЛИ(1,'Форма по МДС 81-35.2004'!M327:M347,"Г",'Форма по МДС 81-35.2004'!E327:E347,'Форма по МДС 81-35.2004'!G327:G347,0),2)</f>
        <v>0</v>
      </c>
      <c r="D20" s="44">
        <f ca="1">ROUND(СУММПРОИЗВЕСЛИ(1,'Форма по МДС 81-35.2004'!M327:M347,"IsMash",'Форма по МДС 81-35.2004'!E327:E347,'Форма по МДС 81-35.2004'!G327:G347,0),2)</f>
        <v>0</v>
      </c>
      <c r="E20" s="44">
        <f ca="1">ROUND(СУММПРОИЗВЕСЛИ(1,'Форма по МДС 81-35.2004'!M327:M347,"Ж",'Форма по МДС 81-35.2004'!E327:E347,'Форма по МДС 81-35.2004'!G327:G347,0),2)</f>
        <v>0</v>
      </c>
      <c r="F20" s="44">
        <f ca="1">ROUND(СУММПРОИЗВЕСЛИ(1,'Форма по МДС 81-35.2004'!M327:M347,"IsMater",'Форма по МДС 81-35.2004'!E327:E347,'Форма по МДС 81-35.2004'!G327:G347,0),2)</f>
        <v>0</v>
      </c>
      <c r="G20" s="44">
        <v>0</v>
      </c>
      <c r="H20" s="44">
        <v>0</v>
      </c>
      <c r="I20" s="40">
        <f>ОКРУГЛВСЕ(SUMIF('Форма по МДС 81-35.2004'!M327:M347,"Г",'Форма по МДС 81-35.2004'!E327:E347),2)</f>
        <v>0</v>
      </c>
      <c r="J20" s="40">
        <v>0</v>
      </c>
      <c r="K20" s="40">
        <f>ОКРУГЛВСЕ(SUMIF('Форма по МДС 81-35.2004'!M327:M347,"Ж",'Форма по МДС 81-35.2004'!E327:E347),2)</f>
        <v>0</v>
      </c>
      <c r="L20" s="44">
        <v>0</v>
      </c>
      <c r="M20" s="44">
        <v>0</v>
      </c>
      <c r="N20" s="44">
        <v>12.393599999999999</v>
      </c>
      <c r="O20" s="44">
        <v>6.4550000000000001</v>
      </c>
      <c r="P20" s="44">
        <v>10.128</v>
      </c>
      <c r="Q20" s="44">
        <v>2.2656000000000001</v>
      </c>
      <c r="R20" s="44">
        <v>5.2750000000000004</v>
      </c>
      <c r="S20" s="44">
        <v>1.18</v>
      </c>
      <c r="T20" s="44">
        <v>0</v>
      </c>
      <c r="U20" s="44">
        <v>0</v>
      </c>
      <c r="V20" s="44"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0</v>
      </c>
      <c r="AC20" s="44">
        <v>0</v>
      </c>
      <c r="AD20" s="44">
        <v>0</v>
      </c>
      <c r="AE20" s="44">
        <v>0</v>
      </c>
    </row>
    <row r="21" spans="1:31" x14ac:dyDescent="0.15">
      <c r="A21" s="44" t="str">
        <f>'Форма по МДС 81-35.2004'!A348</f>
        <v>16.</v>
      </c>
      <c r="B21" s="44">
        <f>'Форма по МДС 81-35.2004'!G348</f>
        <v>0</v>
      </c>
      <c r="C21" s="44">
        <f ca="1">ROUND(СУММПРОИЗВЕСЛИ(1,'Форма по МДС 81-35.2004'!M348:M369,"Г",'Форма по МДС 81-35.2004'!E348:E369,'Форма по МДС 81-35.2004'!G348:G369,0),2)</f>
        <v>0</v>
      </c>
      <c r="D21" s="44">
        <f ca="1">ROUND(СУММПРОИЗВЕСЛИ(1,'Форма по МДС 81-35.2004'!M348:M369,"IsMash",'Форма по МДС 81-35.2004'!E348:E369,'Форма по МДС 81-35.2004'!G348:G369,0),2)</f>
        <v>0</v>
      </c>
      <c r="E21" s="44">
        <f ca="1">ROUND(СУММПРОИЗВЕСЛИ(1,'Форма по МДС 81-35.2004'!M348:M369,"Ж",'Форма по МДС 81-35.2004'!E348:E369,'Форма по МДС 81-35.2004'!G348:G369,0),2)</f>
        <v>0</v>
      </c>
      <c r="F21" s="44">
        <f ca="1">ROUND(СУММПРОИЗВЕСЛИ(1,'Форма по МДС 81-35.2004'!M348:M369,"IsMater",'Форма по МДС 81-35.2004'!E348:E369,'Форма по МДС 81-35.2004'!G348:G369,0),2)</f>
        <v>0</v>
      </c>
      <c r="G21" s="44">
        <v>108.7</v>
      </c>
      <c r="H21" s="44">
        <v>0</v>
      </c>
      <c r="I21" s="40">
        <f>ОКРУГЛВСЕ(SUMIF('Форма по МДС 81-35.2004'!M348:M369,"Г",'Форма по МДС 81-35.2004'!E348:E369),2)</f>
        <v>0</v>
      </c>
      <c r="J21" s="40">
        <v>0</v>
      </c>
      <c r="K21" s="40">
        <f>ОКРУГЛВСЕ(SUMIF('Форма по МДС 81-35.2004'!M348:M369,"Ж",'Форма по МДС 81-35.2004'!E348:E369),2)</f>
        <v>0</v>
      </c>
      <c r="L21" s="44">
        <v>0</v>
      </c>
      <c r="M21" s="44">
        <v>0</v>
      </c>
      <c r="N21" s="44">
        <v>1707.6096</v>
      </c>
      <c r="O21" s="44">
        <v>889.38</v>
      </c>
      <c r="P21" s="44">
        <v>1363.6224</v>
      </c>
      <c r="Q21" s="44">
        <v>343.98719999999997</v>
      </c>
      <c r="R21" s="44">
        <v>710.22</v>
      </c>
      <c r="S21" s="44">
        <v>179.16</v>
      </c>
      <c r="T21" s="44">
        <v>0</v>
      </c>
      <c r="U21" s="44">
        <v>0</v>
      </c>
      <c r="V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</row>
    <row r="22" spans="1:31" x14ac:dyDescent="0.15">
      <c r="A22" s="44" t="str">
        <f>'Форма по МДС 81-35.2004'!A370</f>
        <v>17.</v>
      </c>
      <c r="B22" s="44">
        <f>'Форма по МДС 81-35.2004'!G370</f>
        <v>0</v>
      </c>
      <c r="C22" s="44">
        <f ca="1">ROUND(СУММПРОИЗВЕСЛИ(1,'Форма по МДС 81-35.2004'!M370:M402,"Г",'Форма по МДС 81-35.2004'!E370:E402,'Форма по МДС 81-35.2004'!G370:G402,0),2)</f>
        <v>0</v>
      </c>
      <c r="D22" s="44">
        <f ca="1">ROUND(СУММПРОИЗВЕСЛИ(1,'Форма по МДС 81-35.2004'!M370:M402,"IsMash",'Форма по МДС 81-35.2004'!E370:E402,'Форма по МДС 81-35.2004'!G370:G402,0),2)</f>
        <v>0</v>
      </c>
      <c r="E22" s="44">
        <f ca="1">ROUND(СУММПРОИЗВЕСЛИ(1,'Форма по МДС 81-35.2004'!M370:M402,"Ж",'Форма по МДС 81-35.2004'!E370:E402,'Форма по МДС 81-35.2004'!G370:G402,0),2)</f>
        <v>0</v>
      </c>
      <c r="F22" s="44">
        <f ca="1">ROUND(СУММПРОИЗВЕСЛИ(1,'Форма по МДС 81-35.2004'!M370:M402,"IsMater",'Форма по МДС 81-35.2004'!E370:E402,'Форма по МДС 81-35.2004'!G370:G402,0),2)</f>
        <v>0</v>
      </c>
      <c r="G22" s="44">
        <v>1687.49</v>
      </c>
      <c r="H22" s="44">
        <v>0</v>
      </c>
      <c r="I22" s="40">
        <f>ОКРУГЛВСЕ(SUMIF('Форма по МДС 81-35.2004'!M370:M402,"Г",'Форма по МДС 81-35.2004'!E370:E402),2)</f>
        <v>0</v>
      </c>
      <c r="J22" s="40">
        <v>0</v>
      </c>
      <c r="K22" s="40">
        <f>ОКРУГЛВСЕ(SUMIF('Форма по МДС 81-35.2004'!M370:M402,"Ж",'Форма по МДС 81-35.2004'!E370:E402),2)</f>
        <v>0</v>
      </c>
      <c r="L22" s="44">
        <v>0</v>
      </c>
      <c r="M22" s="44">
        <v>0</v>
      </c>
      <c r="N22" s="44">
        <v>754.84799999999996</v>
      </c>
      <c r="O22" s="44">
        <v>393.15</v>
      </c>
      <c r="P22" s="44">
        <v>705.62879999999996</v>
      </c>
      <c r="Q22" s="44">
        <v>49.219200000000001</v>
      </c>
      <c r="R22" s="44">
        <v>367.51499999999999</v>
      </c>
      <c r="S22" s="44">
        <v>25.635000000000002</v>
      </c>
      <c r="T22" s="44">
        <v>0</v>
      </c>
      <c r="U22" s="44">
        <v>0</v>
      </c>
      <c r="V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</row>
    <row r="23" spans="1:31" x14ac:dyDescent="0.15">
      <c r="A23" s="44" t="str">
        <f>'Форма по МДС 81-35.2004'!A403</f>
        <v>18.</v>
      </c>
      <c r="B23" s="44">
        <f>'Форма по МДС 81-35.2004'!G403</f>
        <v>0</v>
      </c>
      <c r="C23" s="44">
        <f ca="1">ROUND(СУММПРОИЗВЕСЛИ(1,'Форма по МДС 81-35.2004'!M403:M430,"Г",'Форма по МДС 81-35.2004'!E403:E430,'Форма по МДС 81-35.2004'!G403:G430,0),2)</f>
        <v>0</v>
      </c>
      <c r="D23" s="44">
        <f ca="1">ROUND(СУММПРОИЗВЕСЛИ(1,'Форма по МДС 81-35.2004'!M403:M430,"IsMash",'Форма по МДС 81-35.2004'!E403:E430,'Форма по МДС 81-35.2004'!G403:G430,0),2)</f>
        <v>0</v>
      </c>
      <c r="E23" s="44">
        <f ca="1">ROUND(СУММПРОИЗВЕСЛИ(1,'Форма по МДС 81-35.2004'!M403:M430,"Ж",'Форма по МДС 81-35.2004'!E403:E430,'Форма по МДС 81-35.2004'!G403:G430,0),2)</f>
        <v>0</v>
      </c>
      <c r="F23" s="44">
        <f ca="1">ROUND(СУММПРОИЗВЕСЛИ(1,'Форма по МДС 81-35.2004'!M403:M430,"IsMater",'Форма по МДС 81-35.2004'!E403:E430,'Форма по МДС 81-35.2004'!G403:G430,0),2)</f>
        <v>0</v>
      </c>
      <c r="G23" s="44">
        <v>14.7</v>
      </c>
      <c r="H23" s="44">
        <v>0</v>
      </c>
      <c r="I23" s="40">
        <f>ОКРУГЛВСЕ(SUMIF('Форма по МДС 81-35.2004'!M403:M430,"Г",'Форма по МДС 81-35.2004'!E403:E430),2)</f>
        <v>0</v>
      </c>
      <c r="J23" s="40">
        <v>0</v>
      </c>
      <c r="K23" s="40">
        <f>ОКРУГЛВСЕ(SUMIF('Форма по МДС 81-35.2004'!M403:M430,"Ж",'Форма по МДС 81-35.2004'!E403:E430),2)</f>
        <v>0</v>
      </c>
      <c r="L23" s="44">
        <v>0</v>
      </c>
      <c r="M23" s="44">
        <v>0</v>
      </c>
      <c r="N23" s="44">
        <v>56.313600000000001</v>
      </c>
      <c r="O23" s="44">
        <v>29.33</v>
      </c>
      <c r="P23" s="44">
        <v>55.651200000000003</v>
      </c>
      <c r="Q23" s="44">
        <v>0.66239999999999999</v>
      </c>
      <c r="R23" s="44">
        <v>28.984999999999999</v>
      </c>
      <c r="S23" s="44">
        <v>0.34499999999999997</v>
      </c>
      <c r="T23" s="44">
        <v>0</v>
      </c>
      <c r="U23" s="44">
        <v>0</v>
      </c>
      <c r="V23" s="44">
        <v>0</v>
      </c>
      <c r="X23" s="44">
        <v>0</v>
      </c>
      <c r="Y23" s="44">
        <v>0</v>
      </c>
      <c r="Z23" s="44">
        <v>0</v>
      </c>
      <c r="AA23" s="44">
        <v>0</v>
      </c>
      <c r="AB23" s="44">
        <v>0</v>
      </c>
      <c r="AC23" s="44">
        <v>0</v>
      </c>
      <c r="AD23" s="44">
        <v>0</v>
      </c>
      <c r="AE23" s="44">
        <v>0</v>
      </c>
    </row>
    <row r="24" spans="1:31" x14ac:dyDescent="0.15">
      <c r="A24" s="44" t="str">
        <f>'Форма по МДС 81-35.2004'!A431</f>
        <v>19.</v>
      </c>
      <c r="B24" s="44">
        <f>'Форма по МДС 81-35.2004'!G431</f>
        <v>0</v>
      </c>
      <c r="C24" s="44">
        <f ca="1">ROUND(СУММПРОИЗВЕСЛИ(1,'Форма по МДС 81-35.2004'!M431:M448,"Г",'Форма по МДС 81-35.2004'!E431:E448,'Форма по МДС 81-35.2004'!G431:G448,0),2)</f>
        <v>0</v>
      </c>
      <c r="D24" s="44">
        <f ca="1">ROUND(СУММПРОИЗВЕСЛИ(1,'Форма по МДС 81-35.2004'!M431:M448,"IsMash",'Форма по МДС 81-35.2004'!E431:E448,'Форма по МДС 81-35.2004'!G431:G448,0),2)</f>
        <v>0</v>
      </c>
      <c r="E24" s="44">
        <f ca="1">ROUND(СУММПРОИЗВЕСЛИ(1,'Форма по МДС 81-35.2004'!M431:M448,"Ж",'Форма по МДС 81-35.2004'!E431:E448,'Форма по МДС 81-35.2004'!G431:G448,0),2)</f>
        <v>0</v>
      </c>
      <c r="F24" s="44">
        <f ca="1">ROUND(СУММПРОИЗВЕСЛИ(1,'Форма по МДС 81-35.2004'!M431:M448,"IsMater",'Форма по МДС 81-35.2004'!E431:E448,'Форма по МДС 81-35.2004'!G431:G448,0),2)</f>
        <v>0</v>
      </c>
      <c r="G24" s="44">
        <v>0</v>
      </c>
      <c r="H24" s="44">
        <v>0</v>
      </c>
      <c r="I24" s="40">
        <f>ОКРУГЛВСЕ(SUMIF('Форма по МДС 81-35.2004'!M431:M448,"Г",'Форма по МДС 81-35.2004'!E431:E448),2)</f>
        <v>0</v>
      </c>
      <c r="J24" s="40">
        <v>0</v>
      </c>
      <c r="K24" s="40">
        <f>ОКРУГЛВСЕ(SUMIF('Форма по МДС 81-35.2004'!M431:M448,"Ж",'Форма по МДС 81-35.2004'!E431:E448),2)</f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</row>
    <row r="25" spans="1:31" x14ac:dyDescent="0.15">
      <c r="A25" s="44" t="str">
        <f>'Форма по МДС 81-35.2004'!A449</f>
        <v>20.</v>
      </c>
      <c r="B25" s="44">
        <f>'Форма по МДС 81-35.2004'!G449</f>
        <v>0</v>
      </c>
      <c r="C25" s="44">
        <f ca="1">ROUND(СУММПРОИЗВЕСЛИ(1,'Форма по МДС 81-35.2004'!M449:M472,"Г",'Форма по МДС 81-35.2004'!E449:E472,'Форма по МДС 81-35.2004'!G449:G472,0),2)</f>
        <v>0</v>
      </c>
      <c r="D25" s="44">
        <f ca="1">ROUND(СУММПРОИЗВЕСЛИ(1,'Форма по МДС 81-35.2004'!M449:M472,"IsMash",'Форма по МДС 81-35.2004'!E449:E472,'Форма по МДС 81-35.2004'!G449:G472,0),2)</f>
        <v>0</v>
      </c>
      <c r="E25" s="44">
        <f ca="1">ROUND(СУММПРОИЗВЕСЛИ(1,'Форма по МДС 81-35.2004'!M449:M472,"Ж",'Форма по МДС 81-35.2004'!E449:E472,'Форма по МДС 81-35.2004'!G449:G472,0),2)</f>
        <v>0</v>
      </c>
      <c r="F25" s="44">
        <f ca="1">ROUND(СУММПРОИЗВЕСЛИ(1,'Форма по МДС 81-35.2004'!M449:M472,"IsMater",'Форма по МДС 81-35.2004'!E449:E472,'Форма по МДС 81-35.2004'!G449:G472,0),2)</f>
        <v>0</v>
      </c>
      <c r="G25" s="44">
        <v>0</v>
      </c>
      <c r="H25" s="44">
        <v>0</v>
      </c>
      <c r="I25" s="40">
        <f>ОКРУГЛВСЕ(SUMIF('Форма по МДС 81-35.2004'!M449:M472,"Г",'Форма по МДС 81-35.2004'!E449:E472),2)</f>
        <v>0</v>
      </c>
      <c r="J25" s="40">
        <v>0</v>
      </c>
      <c r="K25" s="40">
        <f>ОКРУГЛВСЕ(SUMIF('Форма по МДС 81-35.2004'!M449:M472,"Ж",'Форма по МДС 81-35.2004'!E449:E472),2)</f>
        <v>0</v>
      </c>
      <c r="L25" s="44">
        <v>0</v>
      </c>
      <c r="M25" s="44">
        <v>0</v>
      </c>
      <c r="N25" s="44">
        <v>39.4176</v>
      </c>
      <c r="O25" s="44">
        <v>20.53</v>
      </c>
      <c r="P25" s="44">
        <v>38.956800000000001</v>
      </c>
      <c r="Q25" s="44">
        <v>0.46079999999999999</v>
      </c>
      <c r="R25" s="44">
        <v>20.29</v>
      </c>
      <c r="S25" s="44">
        <v>0.24</v>
      </c>
      <c r="T25" s="44">
        <v>0</v>
      </c>
      <c r="U25" s="44">
        <v>0</v>
      </c>
      <c r="V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4">
        <v>0</v>
      </c>
      <c r="AE25" s="44">
        <v>0</v>
      </c>
    </row>
    <row r="26" spans="1:31" x14ac:dyDescent="0.15">
      <c r="A26" s="44" t="str">
        <f>'Форма по МДС 81-35.2004'!A473</f>
        <v>21.</v>
      </c>
      <c r="B26" s="44">
        <f>'Форма по МДС 81-35.2004'!G473</f>
        <v>0</v>
      </c>
      <c r="C26" s="44">
        <f ca="1">ROUND(СУММПРОИЗВЕСЛИ(1,'Форма по МДС 81-35.2004'!M473:M490,"Г",'Форма по МДС 81-35.2004'!E473:E490,'Форма по МДС 81-35.2004'!G473:G490,0),2)</f>
        <v>0</v>
      </c>
      <c r="D26" s="44">
        <f ca="1">ROUND(СУММПРОИЗВЕСЛИ(1,'Форма по МДС 81-35.2004'!M473:M490,"IsMash",'Форма по МДС 81-35.2004'!E473:E490,'Форма по МДС 81-35.2004'!G473:G490,0),2)</f>
        <v>0</v>
      </c>
      <c r="E26" s="44">
        <f ca="1">ROUND(СУММПРОИЗВЕСЛИ(1,'Форма по МДС 81-35.2004'!M473:M490,"Ж",'Форма по МДС 81-35.2004'!E473:E490,'Форма по МДС 81-35.2004'!G473:G490,0),2)</f>
        <v>0</v>
      </c>
      <c r="F26" s="44">
        <f ca="1">ROUND(СУММПРОИЗВЕСЛИ(1,'Форма по МДС 81-35.2004'!M473:M490,"IsMater",'Форма по МДС 81-35.2004'!E473:E490,'Форма по МДС 81-35.2004'!G473:G490,0),2)</f>
        <v>0</v>
      </c>
      <c r="G26" s="44">
        <v>0</v>
      </c>
      <c r="H26" s="44">
        <v>0</v>
      </c>
      <c r="I26" s="40">
        <f>ОКРУГЛВСЕ(SUMIF('Форма по МДС 81-35.2004'!M473:M490,"Г",'Форма по МДС 81-35.2004'!E473:E490),2)</f>
        <v>0</v>
      </c>
      <c r="J26" s="40">
        <v>0</v>
      </c>
      <c r="K26" s="40">
        <f>ОКРУГЛВСЕ(SUMIF('Форма по МДС 81-35.2004'!M473:M490,"Ж",'Форма по МДС 81-35.2004'!E473:E490),2)</f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0</v>
      </c>
      <c r="AE26" s="44">
        <v>0</v>
      </c>
    </row>
    <row r="27" spans="1:31" x14ac:dyDescent="0.15">
      <c r="A27" s="44" t="str">
        <f>'Форма по МДС 81-35.2004'!A491</f>
        <v>22.</v>
      </c>
      <c r="B27" s="44">
        <f>'Форма по МДС 81-35.2004'!G491</f>
        <v>0</v>
      </c>
      <c r="C27" s="44">
        <f ca="1">ROUND(СУММПРОИЗВЕСЛИ(1,'Форма по МДС 81-35.2004'!M491:M509,"Г",'Форма по МДС 81-35.2004'!E491:E509,'Форма по МДС 81-35.2004'!G491:G509,0),2)</f>
        <v>0</v>
      </c>
      <c r="D27" s="44">
        <f ca="1">ROUND(СУММПРОИЗВЕСЛИ(1,'Форма по МДС 81-35.2004'!M491:M509,"IsMash",'Форма по МДС 81-35.2004'!E491:E509,'Форма по МДС 81-35.2004'!G491:G509,0),2)</f>
        <v>4.8600000000000003</v>
      </c>
      <c r="E27" s="44">
        <f ca="1">ROUND(СУММПРОИЗВЕСЛИ(1,'Форма по МДС 81-35.2004'!M491:M509,"Ж",'Форма по МДС 81-35.2004'!E491:E509,'Форма по МДС 81-35.2004'!G491:G509,0),2)</f>
        <v>0</v>
      </c>
      <c r="F27" s="44">
        <f ca="1">ROUND(СУММПРОИЗВЕСЛИ(1,'Форма по МДС 81-35.2004'!M491:M509,"IsMater",'Форма по МДС 81-35.2004'!E491:E509,'Форма по МДС 81-35.2004'!G491:G509,0),2)</f>
        <v>0</v>
      </c>
      <c r="G27" s="44">
        <v>0</v>
      </c>
      <c r="H27" s="44">
        <v>0</v>
      </c>
      <c r="I27" s="40">
        <f>ОКРУГЛВСЕ(SUMIF('Форма по МДС 81-35.2004'!M491:M509,"Г",'Форма по МДС 81-35.2004'!E491:E509),2)</f>
        <v>0</v>
      </c>
      <c r="J27" s="40">
        <v>0</v>
      </c>
      <c r="K27" s="40">
        <f>ОКРУГЛВСЕ(SUMIF('Форма по МДС 81-35.2004'!M491:M509,"Ж",'Форма по МДС 81-35.2004'!E491:E509),2)</f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X27" s="44">
        <v>0</v>
      </c>
      <c r="Y27" s="44">
        <v>0</v>
      </c>
      <c r="Z27" s="44">
        <v>0</v>
      </c>
      <c r="AA27" s="44">
        <v>0</v>
      </c>
      <c r="AB27" s="44">
        <v>0</v>
      </c>
      <c r="AC27" s="44">
        <v>0</v>
      </c>
      <c r="AD27" s="44">
        <v>0</v>
      </c>
      <c r="AE27" s="44">
        <v>0</v>
      </c>
    </row>
  </sheetData>
  <mergeCells count="4">
    <mergeCell ref="A2:K2"/>
    <mergeCell ref="B3:K3"/>
    <mergeCell ref="B4:K4"/>
    <mergeCell ref="A5:K5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E27"/>
  <sheetViews>
    <sheetView workbookViewId="0"/>
  </sheetViews>
  <sheetFormatPr defaultRowHeight="10.5" x14ac:dyDescent="0.15"/>
  <cols>
    <col min="1" max="1" width="5.7109375" style="40" customWidth="1"/>
    <col min="2" max="16384" width="9.140625" style="44"/>
  </cols>
  <sheetData>
    <row r="1" spans="1:31" s="45" customFormat="1" x14ac:dyDescent="0.15">
      <c r="A1" s="46"/>
      <c r="B1" s="45" t="s">
        <v>378</v>
      </c>
      <c r="C1" s="45" t="s">
        <v>379</v>
      </c>
      <c r="D1" s="45" t="s">
        <v>380</v>
      </c>
      <c r="E1" s="45" t="s">
        <v>381</v>
      </c>
      <c r="F1" s="45" t="s">
        <v>382</v>
      </c>
      <c r="G1" s="45" t="s">
        <v>383</v>
      </c>
      <c r="H1" s="45" t="s">
        <v>384</v>
      </c>
      <c r="I1" s="45" t="s">
        <v>385</v>
      </c>
      <c r="J1" s="45" t="s">
        <v>386</v>
      </c>
      <c r="K1" s="45" t="s">
        <v>387</v>
      </c>
      <c r="L1" s="45" t="s">
        <v>388</v>
      </c>
      <c r="M1" s="45" t="s">
        <v>389</v>
      </c>
      <c r="N1" s="45" t="s">
        <v>390</v>
      </c>
      <c r="O1" s="45" t="s">
        <v>391</v>
      </c>
      <c r="P1" s="45" t="s">
        <v>392</v>
      </c>
      <c r="Q1" s="45" t="s">
        <v>393</v>
      </c>
      <c r="R1" s="45" t="s">
        <v>394</v>
      </c>
      <c r="S1" s="45" t="s">
        <v>395</v>
      </c>
      <c r="T1" s="45" t="s">
        <v>396</v>
      </c>
      <c r="U1" s="45" t="s">
        <v>397</v>
      </c>
      <c r="V1" s="45" t="s">
        <v>398</v>
      </c>
      <c r="X1" s="45" t="s">
        <v>399</v>
      </c>
      <c r="Y1" s="45" t="s">
        <v>400</v>
      </c>
      <c r="Z1" s="45" t="s">
        <v>401</v>
      </c>
      <c r="AA1" s="45" t="s">
        <v>402</v>
      </c>
      <c r="AB1" s="45" t="s">
        <v>403</v>
      </c>
      <c r="AC1" s="45" t="s">
        <v>404</v>
      </c>
      <c r="AD1" s="45" t="s">
        <v>405</v>
      </c>
      <c r="AE1" s="45" t="s">
        <v>406</v>
      </c>
    </row>
    <row r="2" spans="1:31" x14ac:dyDescent="0.1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31" x14ac:dyDescent="0.15">
      <c r="A3" s="47"/>
      <c r="B3" s="80" t="s">
        <v>407</v>
      </c>
      <c r="C3" s="80"/>
      <c r="D3" s="80"/>
      <c r="E3" s="80"/>
      <c r="F3" s="80"/>
      <c r="G3" s="80"/>
      <c r="H3" s="80"/>
      <c r="I3" s="80"/>
      <c r="J3" s="80"/>
      <c r="K3" s="80"/>
    </row>
    <row r="4" spans="1:31" x14ac:dyDescent="0.15">
      <c r="A4" s="47"/>
      <c r="B4" s="80" t="s">
        <v>408</v>
      </c>
      <c r="C4" s="80"/>
      <c r="D4" s="80"/>
      <c r="E4" s="80"/>
      <c r="F4" s="80"/>
      <c r="G4" s="80"/>
      <c r="H4" s="80"/>
      <c r="I4" s="80"/>
      <c r="J4" s="80"/>
      <c r="K4" s="80"/>
    </row>
    <row r="5" spans="1:31" x14ac:dyDescent="0.15">
      <c r="A5" s="78"/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31" x14ac:dyDescent="0.15">
      <c r="A6" s="44" t="str">
        <f>'Форма по МДС 81-35.2004'!A19</f>
        <v>1.</v>
      </c>
      <c r="B6" s="44">
        <f t="shared" ref="B6:B12" ca="1" si="0">ROUND(C6+D6+F6,2)</f>
        <v>0</v>
      </c>
      <c r="C6" s="44">
        <f ca="1">ROUND(СУММПРОИЗВЕСЛИ(1,'Форма по МДС 81-35.2004'!M19:M35,"Г",'Форма по МДС 81-35.2004'!E19:E35,'Форма по МДС 81-35.2004'!I19:I35,0),0)</f>
        <v>0</v>
      </c>
      <c r="D6" s="44">
        <f ca="1">ROUND(СУММПРОИЗВЕСЛИ(1,'Форма по МДС 81-35.2004'!M19:M35,"IsMash",'Форма по МДС 81-35.2004'!E19:E35,'Форма по МДС 81-35.2004'!I19:I35,0),0)</f>
        <v>0</v>
      </c>
      <c r="E6" s="44">
        <f ca="1">ROUND(СУММПРОИЗВЕСЛИ(1,'Форма по МДС 81-35.2004'!M19:M35,"Ж",'Форма по МДС 81-35.2004'!E19:E35,'Форма по МДС 81-35.2004'!I19:I35,0),0)</f>
        <v>0</v>
      </c>
      <c r="F6" s="44">
        <f ca="1">ROUND(СУММПРОИЗВЕСЛИ(1,'Форма по МДС 81-35.2004'!M19:M35,"IsMater",'Форма по МДС 81-35.2004'!E19:E35,'Форма по МДС 81-35.2004'!I19:I35,0),0)</f>
        <v>0</v>
      </c>
      <c r="G6" s="44">
        <v>0</v>
      </c>
      <c r="H6" s="44">
        <v>0</v>
      </c>
      <c r="I6" s="40">
        <f>ОКРУГЛВСЕ(SUMIF('Форма по МДС 81-35.2004'!M19:M35,"Г",'Форма по МДС 81-35.2004'!E19:E35),2)</f>
        <v>0</v>
      </c>
      <c r="J6" s="40">
        <v>0</v>
      </c>
      <c r="K6" s="40">
        <f>ОКРУГЛВСЕ(SUMIF('Форма по МДС 81-35.2004'!M19:M35,"Ж",'Форма по МДС 81-35.2004'!E19:E35),2)</f>
        <v>0</v>
      </c>
      <c r="L6" s="44">
        <v>0</v>
      </c>
      <c r="M6" s="44">
        <v>0</v>
      </c>
      <c r="N6" s="44">
        <v>0</v>
      </c>
      <c r="O6" s="44">
        <v>0</v>
      </c>
      <c r="P6" s="44">
        <v>0</v>
      </c>
      <c r="Q6" s="44">
        <v>0</v>
      </c>
      <c r="R6" s="44">
        <v>0</v>
      </c>
      <c r="S6" s="44">
        <v>0</v>
      </c>
      <c r="T6" s="44">
        <v>0</v>
      </c>
      <c r="U6" s="44">
        <v>0</v>
      </c>
      <c r="V6" s="44">
        <v>0</v>
      </c>
      <c r="X6" s="44">
        <v>0</v>
      </c>
      <c r="Y6" s="44">
        <v>0</v>
      </c>
      <c r="Z6" s="44">
        <v>0</v>
      </c>
      <c r="AA6" s="44">
        <v>0</v>
      </c>
      <c r="AB6" s="44">
        <v>0</v>
      </c>
      <c r="AC6" s="44">
        <v>0</v>
      </c>
      <c r="AD6" s="44">
        <v>0</v>
      </c>
      <c r="AE6" s="44">
        <v>0</v>
      </c>
    </row>
    <row r="7" spans="1:31" x14ac:dyDescent="0.15">
      <c r="A7" s="44" t="str">
        <f>'Форма по МДС 81-35.2004'!A40</f>
        <v>2.</v>
      </c>
      <c r="B7" s="44">
        <f t="shared" ca="1" si="0"/>
        <v>0</v>
      </c>
      <c r="C7" s="44">
        <f ca="1">ROUND(СУММПРОИЗВЕСЛИ(1,'Форма по МДС 81-35.2004'!M40:M56,"Г",'Форма по МДС 81-35.2004'!E40:E56,'Форма по МДС 81-35.2004'!I40:I56,0),0)</f>
        <v>0</v>
      </c>
      <c r="D7" s="44">
        <f ca="1">ROUND(СУММПРОИЗВЕСЛИ(1,'Форма по МДС 81-35.2004'!M40:M56,"IsMash",'Форма по МДС 81-35.2004'!E40:E56,'Форма по МДС 81-35.2004'!I40:I56,0),0)</f>
        <v>0</v>
      </c>
      <c r="E7" s="44">
        <f ca="1">ROUND(СУММПРОИЗВЕСЛИ(1,'Форма по МДС 81-35.2004'!M40:M56,"Ж",'Форма по МДС 81-35.2004'!E40:E56,'Форма по МДС 81-35.2004'!I40:I56,0),0)</f>
        <v>0</v>
      </c>
      <c r="F7" s="44">
        <f ca="1">ROUND(СУММПРОИЗВЕСЛИ(1,'Форма по МДС 81-35.2004'!M40:M56,"IsMater",'Форма по МДС 81-35.2004'!E40:E56,'Форма по МДС 81-35.2004'!I40:I56,0),0)</f>
        <v>0</v>
      </c>
      <c r="G7" s="44">
        <v>0</v>
      </c>
      <c r="H7" s="44">
        <v>0</v>
      </c>
      <c r="I7" s="40">
        <f>ОКРУГЛВСЕ(SUMIF('Форма по МДС 81-35.2004'!M40:M56,"Г",'Форма по МДС 81-35.2004'!E40:E56),2)</f>
        <v>0</v>
      </c>
      <c r="J7" s="40">
        <v>0</v>
      </c>
      <c r="K7" s="40">
        <f>ОКРУГЛВСЕ(SUMIF('Форма по МДС 81-35.2004'!M40:M56,"Ж",'Форма по МДС 81-35.2004'!E40:E56),2)</f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X7" s="44">
        <v>0</v>
      </c>
      <c r="Y7" s="44">
        <v>0</v>
      </c>
      <c r="Z7" s="44">
        <v>0</v>
      </c>
      <c r="AA7" s="44">
        <v>0</v>
      </c>
      <c r="AB7" s="44">
        <v>0</v>
      </c>
      <c r="AC7" s="44">
        <v>0</v>
      </c>
      <c r="AD7" s="44">
        <v>0</v>
      </c>
      <c r="AE7" s="44">
        <v>0</v>
      </c>
    </row>
    <row r="8" spans="1:31" x14ac:dyDescent="0.15">
      <c r="A8" s="44" t="str">
        <f>'Форма по МДС 81-35.2004'!A61</f>
        <v>3.</v>
      </c>
      <c r="B8" s="44">
        <f t="shared" ca="1" si="0"/>
        <v>0</v>
      </c>
      <c r="C8" s="44">
        <f ca="1">ROUND(СУММПРОИЗВЕСЛИ(1,'Форма по МДС 81-35.2004'!M61:M77,"Г",'Форма по МДС 81-35.2004'!E61:E77,'Форма по МДС 81-35.2004'!I61:I77,0),0)</f>
        <v>0</v>
      </c>
      <c r="D8" s="44">
        <f ca="1">ROUND(СУММПРОИЗВЕСЛИ(1,'Форма по МДС 81-35.2004'!M61:M77,"IsMash",'Форма по МДС 81-35.2004'!E61:E77,'Форма по МДС 81-35.2004'!I61:I77,0),0)</f>
        <v>0</v>
      </c>
      <c r="E8" s="44">
        <f ca="1">ROUND(СУММПРОИЗВЕСЛИ(1,'Форма по МДС 81-35.2004'!M61:M77,"Ж",'Форма по МДС 81-35.2004'!E61:E77,'Форма по МДС 81-35.2004'!I61:I77,0),0)</f>
        <v>0</v>
      </c>
      <c r="F8" s="44">
        <f ca="1">ROUND(СУММПРОИЗВЕСЛИ(1,'Форма по МДС 81-35.2004'!M61:M77,"IsMater",'Форма по МДС 81-35.2004'!E61:E77,'Форма по МДС 81-35.2004'!I61:I77,0),0)</f>
        <v>0</v>
      </c>
      <c r="G8" s="44">
        <v>0</v>
      </c>
      <c r="H8" s="44">
        <v>0</v>
      </c>
      <c r="I8" s="40">
        <f>ОКРУГЛВСЕ(SUMIF('Форма по МДС 81-35.2004'!M61:M77,"Г",'Форма по МДС 81-35.2004'!E61:E77),2)</f>
        <v>0</v>
      </c>
      <c r="J8" s="40">
        <v>0</v>
      </c>
      <c r="K8" s="40">
        <f>ОКРУГЛВСЕ(SUMIF('Форма по МДС 81-35.2004'!M61:M77,"Ж",'Форма по МДС 81-35.2004'!E61:E77),2)</f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X8" s="44">
        <v>0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4">
        <v>0</v>
      </c>
      <c r="AE8" s="44">
        <v>0</v>
      </c>
    </row>
    <row r="9" spans="1:31" x14ac:dyDescent="0.15">
      <c r="A9" s="44" t="str">
        <f>'Форма по МДС 81-35.2004'!A82</f>
        <v>4.</v>
      </c>
      <c r="B9" s="44">
        <f t="shared" ca="1" si="0"/>
        <v>0</v>
      </c>
      <c r="C9" s="44">
        <f ca="1">ROUND(СУММПРОИЗВЕСЛИ(1,'Форма по МДС 81-35.2004'!M82:M98,"Г",'Форма по МДС 81-35.2004'!E82:E98,'Форма по МДС 81-35.2004'!I82:I98,0),0)</f>
        <v>0</v>
      </c>
      <c r="D9" s="44">
        <f ca="1">ROUND(СУММПРОИЗВЕСЛИ(1,'Форма по МДС 81-35.2004'!M82:M98,"IsMash",'Форма по МДС 81-35.2004'!E82:E98,'Форма по МДС 81-35.2004'!I82:I98,0),0)</f>
        <v>0</v>
      </c>
      <c r="E9" s="44">
        <f ca="1">ROUND(СУММПРОИЗВЕСЛИ(1,'Форма по МДС 81-35.2004'!M82:M98,"Ж",'Форма по МДС 81-35.2004'!E82:E98,'Форма по МДС 81-35.2004'!I82:I98,0),0)</f>
        <v>0</v>
      </c>
      <c r="F9" s="44">
        <f ca="1">ROUND(СУММПРОИЗВЕСЛИ(1,'Форма по МДС 81-35.2004'!M82:M98,"IsMater",'Форма по МДС 81-35.2004'!E82:E98,'Форма по МДС 81-35.2004'!I82:I98,0),0)</f>
        <v>0</v>
      </c>
      <c r="G9" s="44">
        <v>0</v>
      </c>
      <c r="H9" s="44">
        <v>0</v>
      </c>
      <c r="I9" s="40">
        <f>ОКРУГЛВСЕ(SUMIF('Форма по МДС 81-35.2004'!M82:M98,"Г",'Форма по МДС 81-35.2004'!E82:E98),2)</f>
        <v>0</v>
      </c>
      <c r="J9" s="40">
        <v>0</v>
      </c>
      <c r="K9" s="40">
        <f>ОКРУГЛВСЕ(SUMIF('Форма по МДС 81-35.2004'!M82:M98,"Ж",'Форма по МДС 81-35.2004'!E82:E98),2)</f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44">
        <v>0</v>
      </c>
      <c r="T9" s="44">
        <v>0</v>
      </c>
      <c r="U9" s="44">
        <v>0</v>
      </c>
      <c r="V9" s="44">
        <v>0</v>
      </c>
      <c r="X9" s="44">
        <v>0</v>
      </c>
      <c r="Y9" s="44">
        <v>0</v>
      </c>
      <c r="Z9" s="44">
        <v>0</v>
      </c>
      <c r="AA9" s="44">
        <v>0</v>
      </c>
      <c r="AB9" s="44">
        <v>0</v>
      </c>
      <c r="AC9" s="44">
        <v>0</v>
      </c>
      <c r="AD9" s="44">
        <v>0</v>
      </c>
      <c r="AE9" s="44">
        <v>0</v>
      </c>
    </row>
    <row r="10" spans="1:31" x14ac:dyDescent="0.15">
      <c r="A10" s="44" t="str">
        <f>'Форма по МДС 81-35.2004'!A103</f>
        <v>5.</v>
      </c>
      <c r="B10" s="44">
        <f t="shared" ca="1" si="0"/>
        <v>0</v>
      </c>
      <c r="C10" s="44">
        <f ca="1">ROUND(СУММПРОИЗВЕСЛИ(1,'Форма по МДС 81-35.2004'!M103:M119,"Г",'Форма по МДС 81-35.2004'!E103:E119,'Форма по МДС 81-35.2004'!I103:I119,0),0)</f>
        <v>0</v>
      </c>
      <c r="D10" s="44">
        <f ca="1">ROUND(СУММПРОИЗВЕСЛИ(1,'Форма по МДС 81-35.2004'!M103:M119,"IsMash",'Форма по МДС 81-35.2004'!E103:E119,'Форма по МДС 81-35.2004'!I103:I119,0),0)</f>
        <v>0</v>
      </c>
      <c r="E10" s="44">
        <f ca="1">ROUND(СУММПРОИЗВЕСЛИ(1,'Форма по МДС 81-35.2004'!M103:M119,"Ж",'Форма по МДС 81-35.2004'!E103:E119,'Форма по МДС 81-35.2004'!I103:I119,0),0)</f>
        <v>0</v>
      </c>
      <c r="F10" s="44">
        <f ca="1">ROUND(СУММПРОИЗВЕСЛИ(1,'Форма по МДС 81-35.2004'!M103:M119,"IsMater",'Форма по МДС 81-35.2004'!E103:E119,'Форма по МДС 81-35.2004'!I103:I119,0),0)</f>
        <v>0</v>
      </c>
      <c r="G10" s="44">
        <v>0</v>
      </c>
      <c r="H10" s="44">
        <v>0</v>
      </c>
      <c r="I10" s="40">
        <f>ОКРУГЛВСЕ(SUMIF('Форма по МДС 81-35.2004'!M103:M119,"Г",'Форма по МДС 81-35.2004'!E103:E119),2)</f>
        <v>0</v>
      </c>
      <c r="J10" s="40">
        <v>0</v>
      </c>
      <c r="K10" s="40">
        <f>ОКРУГЛВСЕ(SUMIF('Форма по МДС 81-35.2004'!M103:M119,"Ж",'Форма по МДС 81-35.2004'!E103:E119),2)</f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</row>
    <row r="11" spans="1:31" x14ac:dyDescent="0.15">
      <c r="A11" s="44" t="str">
        <f>'Форма по МДС 81-35.2004'!A124</f>
        <v>6.</v>
      </c>
      <c r="B11" s="44">
        <f t="shared" ca="1" si="0"/>
        <v>0</v>
      </c>
      <c r="C11" s="44">
        <f ca="1">ROUND(СУММПРОИЗВЕСЛИ(1,'Форма по МДС 81-35.2004'!M124:M140,"Г",'Форма по МДС 81-35.2004'!E124:E140,'Форма по МДС 81-35.2004'!I124:I140,0),0)</f>
        <v>0</v>
      </c>
      <c r="D11" s="44">
        <f ca="1">ROUND(СУММПРОИЗВЕСЛИ(1,'Форма по МДС 81-35.2004'!M124:M140,"IsMash",'Форма по МДС 81-35.2004'!E124:E140,'Форма по МДС 81-35.2004'!I124:I140,0),0)</f>
        <v>0</v>
      </c>
      <c r="E11" s="44">
        <f ca="1">ROUND(СУММПРОИЗВЕСЛИ(1,'Форма по МДС 81-35.2004'!M124:M140,"Ж",'Форма по МДС 81-35.2004'!E124:E140,'Форма по МДС 81-35.2004'!I124:I140,0),0)</f>
        <v>0</v>
      </c>
      <c r="F11" s="44">
        <f ca="1">ROUND(СУММПРОИЗВЕСЛИ(1,'Форма по МДС 81-35.2004'!M124:M140,"IsMater",'Форма по МДС 81-35.2004'!E124:E140,'Форма по МДС 81-35.2004'!I124:I140,0),0)</f>
        <v>0</v>
      </c>
      <c r="G11" s="44">
        <v>0</v>
      </c>
      <c r="H11" s="44">
        <v>0</v>
      </c>
      <c r="I11" s="40">
        <f>ОКРУГЛВСЕ(SUMIF('Форма по МДС 81-35.2004'!M124:M140,"Г",'Форма по МДС 81-35.2004'!E124:E140),2)</f>
        <v>0</v>
      </c>
      <c r="J11" s="40">
        <v>0</v>
      </c>
      <c r="K11" s="40">
        <f>ОКРУГЛВСЕ(SUMIF('Форма по МДС 81-35.2004'!M124:M140,"Ж",'Форма по МДС 81-35.2004'!E124:E140),2)</f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</row>
    <row r="12" spans="1:31" x14ac:dyDescent="0.15">
      <c r="A12" s="44" t="str">
        <f>'Форма по МДС 81-35.2004'!A145</f>
        <v>7.</v>
      </c>
      <c r="B12" s="44">
        <f t="shared" ca="1" si="0"/>
        <v>0</v>
      </c>
      <c r="C12" s="44">
        <f ca="1">ROUND(СУММПРОИЗВЕСЛИ(1,'Форма по МДС 81-35.2004'!M145:M155,"Г",'Форма по МДС 81-35.2004'!E145:E155,'Форма по МДС 81-35.2004'!I145:I155,0),0)</f>
        <v>0</v>
      </c>
      <c r="D12" s="44">
        <f ca="1">ROUND(СУММПРОИЗВЕСЛИ(1,'Форма по МДС 81-35.2004'!M145:M155,"IsMash",'Форма по МДС 81-35.2004'!E145:E155,'Форма по МДС 81-35.2004'!I145:I155,0),0)</f>
        <v>0</v>
      </c>
      <c r="E12" s="44">
        <f ca="1">ROUND(СУММПРОИЗВЕСЛИ(1,'Форма по МДС 81-35.2004'!M145:M155,"Ж",'Форма по МДС 81-35.2004'!E145:E155,'Форма по МДС 81-35.2004'!I145:I155,0),0)</f>
        <v>0</v>
      </c>
      <c r="F12" s="44">
        <f ca="1">ROUND(СУММПРОИЗВЕСЛИ(1,'Форма по МДС 81-35.2004'!M145:M155,"IsMater",'Форма по МДС 81-35.2004'!E145:E155,'Форма по МДС 81-35.2004'!I145:I155,0),0)</f>
        <v>0</v>
      </c>
      <c r="G12" s="44">
        <v>0</v>
      </c>
      <c r="H12" s="44">
        <v>0</v>
      </c>
      <c r="I12" s="40">
        <f>ОКРУГЛВСЕ(SUMIF('Форма по МДС 81-35.2004'!M145:M155,"Г",'Форма по МДС 81-35.2004'!E145:E155),2)</f>
        <v>0</v>
      </c>
      <c r="J12" s="40">
        <v>0</v>
      </c>
      <c r="K12" s="40">
        <f>ОКРУГЛВСЕ(SUMIF('Форма по МДС 81-35.2004'!M145:M155,"Ж",'Форма по МДС 81-35.2004'!E145:E155),2)</f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X12" s="44">
        <v>0</v>
      </c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</row>
    <row r="13" spans="1:31" x14ac:dyDescent="0.15">
      <c r="A13" s="44" t="str">
        <f>'Форма по МДС 81-35.2004'!A160</f>
        <v>8.</v>
      </c>
      <c r="B13" s="44">
        <f>'Форма по МДС 81-35.2004'!I160</f>
        <v>0</v>
      </c>
      <c r="C13" s="44">
        <f ca="1">ROUND(СУММПРОИЗВЕСЛИ(1,'Форма по МДС 81-35.2004'!M160:M171,"Г",'Форма по МДС 81-35.2004'!E160:E171,'Форма по МДС 81-35.2004'!I160:I171,0),0)</f>
        <v>0</v>
      </c>
      <c r="D13" s="44">
        <f ca="1">ROUND(СУММПРОИЗВЕСЛИ(1,'Форма по МДС 81-35.2004'!M160:M171,"IsMash",'Форма по МДС 81-35.2004'!E160:E171,'Форма по МДС 81-35.2004'!I160:I171,0),0)</f>
        <v>0</v>
      </c>
      <c r="E13" s="44">
        <f ca="1">ROUND(СУММПРОИЗВЕСЛИ(1,'Форма по МДС 81-35.2004'!M160:M171,"Ж",'Форма по МДС 81-35.2004'!E160:E171,'Форма по МДС 81-35.2004'!I160:I171,0),0)</f>
        <v>0</v>
      </c>
      <c r="F13" s="44">
        <f ca="1">ROUND(СУММПРОИЗВЕСЛИ(1,'Форма по МДС 81-35.2004'!M160:M171,"IsMater",'Форма по МДС 81-35.2004'!E160:E171,'Форма по МДС 81-35.2004'!I160:I171,0),0)</f>
        <v>0</v>
      </c>
      <c r="G13" s="44">
        <v>0</v>
      </c>
      <c r="H13" s="44">
        <v>0</v>
      </c>
      <c r="I13" s="40">
        <f>ОКРУГЛВСЕ(SUMIF('Форма по МДС 81-35.2004'!M160:M171,"Г",'Форма по МДС 81-35.2004'!E160:E171),2)</f>
        <v>0</v>
      </c>
      <c r="J13" s="40">
        <v>0</v>
      </c>
      <c r="K13" s="40">
        <f>ОКРУГЛВСЕ(SUMIF('Форма по МДС 81-35.2004'!M160:M171,"Ж",'Форма по МДС 81-35.2004'!E160:E171),2)</f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</row>
    <row r="14" spans="1:31" x14ac:dyDescent="0.15">
      <c r="A14" s="44" t="str">
        <f>'Форма по МДС 81-35.2004'!A176</f>
        <v>9.</v>
      </c>
      <c r="B14" s="44">
        <f>'Форма по МДС 81-35.2004'!I176</f>
        <v>0</v>
      </c>
      <c r="C14" s="44">
        <f ca="1">ROUND(СУММПРОИЗВЕСЛИ(1,'Форма по МДС 81-35.2004'!M176:M196,"Г",'Форма по МДС 81-35.2004'!E176:E196,'Форма по МДС 81-35.2004'!I176:I196,0),0)</f>
        <v>0</v>
      </c>
      <c r="D14" s="44">
        <f ca="1">ROUND(СУММПРОИЗВЕСЛИ(1,'Форма по МДС 81-35.2004'!M176:M196,"IsMash",'Форма по МДС 81-35.2004'!E176:E196,'Форма по МДС 81-35.2004'!I176:I196,0),0)</f>
        <v>0</v>
      </c>
      <c r="E14" s="44">
        <f ca="1">ROUND(СУММПРОИЗВЕСЛИ(1,'Форма по МДС 81-35.2004'!M176:M196,"Ж",'Форма по МДС 81-35.2004'!E176:E196,'Форма по МДС 81-35.2004'!I176:I196,0),0)</f>
        <v>0</v>
      </c>
      <c r="F14" s="44">
        <f ca="1">ROUND(СУММПРОИЗВЕСЛИ(1,'Форма по МДС 81-35.2004'!M176:M196,"IsMater",'Форма по МДС 81-35.2004'!E176:E196,'Форма по МДС 81-35.2004'!I176:I196,0),0)</f>
        <v>0</v>
      </c>
      <c r="G14" s="44">
        <v>0</v>
      </c>
      <c r="H14" s="44">
        <v>0</v>
      </c>
      <c r="I14" s="40">
        <f>ОКРУГЛВСЕ(SUMIF('Форма по МДС 81-35.2004'!M176:M196,"Г",'Форма по МДС 81-35.2004'!E176:E196),2)</f>
        <v>0</v>
      </c>
      <c r="J14" s="40">
        <v>0</v>
      </c>
      <c r="K14" s="40">
        <f>ОКРУГЛВСЕ(SUMIF('Форма по МДС 81-35.2004'!M176:M196,"Ж",'Форма по МДС 81-35.2004'!E176:E196),2)</f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</row>
    <row r="15" spans="1:31" x14ac:dyDescent="0.15">
      <c r="A15" s="44" t="str">
        <f>'Форма по МДС 81-35.2004'!A197</f>
        <v>10.</v>
      </c>
      <c r="B15" s="44">
        <f>'Форма по МДС 81-35.2004'!I197</f>
        <v>0</v>
      </c>
      <c r="C15" s="44">
        <f ca="1">ROUND(СУММПРОИЗВЕСЛИ(1,'Форма по МДС 81-35.2004'!M197:M217,"Г",'Форма по МДС 81-35.2004'!E197:E217,'Форма по МДС 81-35.2004'!I197:I217,0),0)</f>
        <v>0</v>
      </c>
      <c r="D15" s="44">
        <f ca="1">ROUND(СУММПРОИЗВЕСЛИ(1,'Форма по МДС 81-35.2004'!M197:M217,"IsMash",'Форма по МДС 81-35.2004'!E197:E217,'Форма по МДС 81-35.2004'!I197:I217,0),0)</f>
        <v>0</v>
      </c>
      <c r="E15" s="44">
        <f ca="1">ROUND(СУММПРОИЗВЕСЛИ(1,'Форма по МДС 81-35.2004'!M197:M217,"Ж",'Форма по МДС 81-35.2004'!E197:E217,'Форма по МДС 81-35.2004'!I197:I217,0),0)</f>
        <v>0</v>
      </c>
      <c r="F15" s="44">
        <f ca="1">ROUND(СУММПРОИЗВЕСЛИ(1,'Форма по МДС 81-35.2004'!M197:M217,"IsMater",'Форма по МДС 81-35.2004'!E197:E217,'Форма по МДС 81-35.2004'!I197:I217,0),0)</f>
        <v>0</v>
      </c>
      <c r="G15" s="44">
        <v>0</v>
      </c>
      <c r="H15" s="44">
        <v>0</v>
      </c>
      <c r="I15" s="40">
        <f>ОКРУГЛВСЕ(SUMIF('Форма по МДС 81-35.2004'!M197:M217,"Г",'Форма по МДС 81-35.2004'!E197:E217),2)</f>
        <v>0</v>
      </c>
      <c r="J15" s="40">
        <v>0</v>
      </c>
      <c r="K15" s="40">
        <f>ОКРУГЛВСЕ(SUMIF('Форма по МДС 81-35.2004'!M197:M217,"Ж",'Форма по МДС 81-35.2004'!E197:E217),2)</f>
        <v>0</v>
      </c>
      <c r="L15" s="44">
        <v>0</v>
      </c>
      <c r="M15" s="44">
        <v>0</v>
      </c>
      <c r="N15" s="44">
        <v>12.050800000000001</v>
      </c>
      <c r="O15" s="44">
        <v>7.6920000000000002</v>
      </c>
      <c r="P15" s="44">
        <v>12.050800000000001</v>
      </c>
      <c r="Q15" s="44">
        <v>0</v>
      </c>
      <c r="R15" s="44">
        <v>7.6920000000000002</v>
      </c>
      <c r="S15" s="44">
        <v>0</v>
      </c>
      <c r="T15" s="44">
        <v>0</v>
      </c>
      <c r="U15" s="44">
        <v>0</v>
      </c>
      <c r="V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</row>
    <row r="16" spans="1:31" x14ac:dyDescent="0.15">
      <c r="A16" s="44" t="str">
        <f>'Форма по МДС 81-35.2004'!A218</f>
        <v>11.</v>
      </c>
      <c r="B16" s="44">
        <f>'Форма по МДС 81-35.2004'!I218</f>
        <v>0</v>
      </c>
      <c r="C16" s="44">
        <f ca="1">ROUND(СУММПРОИЗВЕСЛИ(1,'Форма по МДС 81-35.2004'!M218:M238,"Г",'Форма по МДС 81-35.2004'!E218:E238,'Форма по МДС 81-35.2004'!I218:I238,0),0)</f>
        <v>0</v>
      </c>
      <c r="D16" s="44">
        <f ca="1">ROUND(СУММПРОИЗВЕСЛИ(1,'Форма по МДС 81-35.2004'!M218:M238,"IsMash",'Форма по МДС 81-35.2004'!E218:E238,'Форма по МДС 81-35.2004'!I218:I238,0),0)</f>
        <v>0</v>
      </c>
      <c r="E16" s="44">
        <f ca="1">ROUND(СУММПРОИЗВЕСЛИ(1,'Форма по МДС 81-35.2004'!M218:M238,"Ж",'Форма по МДС 81-35.2004'!E218:E238,'Форма по МДС 81-35.2004'!I218:I238,0),0)</f>
        <v>0</v>
      </c>
      <c r="F16" s="44">
        <f ca="1">ROUND(СУММПРОИЗВЕСЛИ(1,'Форма по МДС 81-35.2004'!M218:M238,"IsMater",'Форма по МДС 81-35.2004'!E218:E238,'Форма по МДС 81-35.2004'!I218:I238,0),0)</f>
        <v>0</v>
      </c>
      <c r="G16" s="44">
        <v>0</v>
      </c>
      <c r="H16" s="44">
        <v>0</v>
      </c>
      <c r="I16" s="40">
        <f>ОКРУГЛВСЕ(SUMIF('Форма по МДС 81-35.2004'!M218:M238,"Г",'Форма по МДС 81-35.2004'!E218:E238),2)</f>
        <v>0</v>
      </c>
      <c r="J16" s="40">
        <v>0</v>
      </c>
      <c r="K16" s="40">
        <f>ОКРУГЛВСЕ(SUMIF('Форма по МДС 81-35.2004'!M218:M238,"Ж",'Форма по МДС 81-35.2004'!E218:E238),2)</f>
        <v>0</v>
      </c>
      <c r="L16" s="44">
        <v>0</v>
      </c>
      <c r="M16" s="44">
        <v>0</v>
      </c>
      <c r="N16" s="44">
        <v>12.050800000000001</v>
      </c>
      <c r="O16" s="44">
        <v>7.6920000000000002</v>
      </c>
      <c r="P16" s="44">
        <v>12.050800000000001</v>
      </c>
      <c r="Q16" s="44">
        <v>0</v>
      </c>
      <c r="R16" s="44">
        <v>7.6920000000000002</v>
      </c>
      <c r="S16" s="44">
        <v>0</v>
      </c>
      <c r="T16" s="44">
        <v>0</v>
      </c>
      <c r="U16" s="44">
        <v>0</v>
      </c>
      <c r="V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4">
        <v>0</v>
      </c>
      <c r="AD16" s="44">
        <v>0</v>
      </c>
      <c r="AE16" s="44">
        <v>0</v>
      </c>
    </row>
    <row r="17" spans="1:31" x14ac:dyDescent="0.15">
      <c r="A17" s="44" t="str">
        <f>'Форма по МДС 81-35.2004'!A239</f>
        <v>12.</v>
      </c>
      <c r="B17" s="44">
        <f>'Форма по МДС 81-35.2004'!I239</f>
        <v>0</v>
      </c>
      <c r="C17" s="44">
        <f ca="1">ROUND(СУММПРОИЗВЕСЛИ(1,'Форма по МДС 81-35.2004'!M239:M286,"Г",'Форма по МДС 81-35.2004'!E239:E286,'Форма по МДС 81-35.2004'!I239:I286,0),0)</f>
        <v>0</v>
      </c>
      <c r="D17" s="44">
        <f ca="1">ROUND(СУММПРОИЗВЕСЛИ(1,'Форма по МДС 81-35.2004'!M239:M286,"IsMash",'Форма по МДС 81-35.2004'!E239:E286,'Форма по МДС 81-35.2004'!I239:I286,0),0)</f>
        <v>0</v>
      </c>
      <c r="E17" s="44">
        <f ca="1">ROUND(СУММПРОИЗВЕСЛИ(1,'Форма по МДС 81-35.2004'!M239:M286,"Ж",'Форма по МДС 81-35.2004'!E239:E286,'Форма по МДС 81-35.2004'!I239:I286,0),0)</f>
        <v>0</v>
      </c>
      <c r="F17" s="44">
        <f ca="1">ROUND(СУММПРОИЗВЕСЛИ(1,'Форма по МДС 81-35.2004'!M239:M286,"IsMater",'Форма по МДС 81-35.2004'!E239:E286,'Форма по МДС 81-35.2004'!I239:I286,0),0)</f>
        <v>0</v>
      </c>
      <c r="G17" s="44">
        <v>0</v>
      </c>
      <c r="H17" s="44">
        <v>0</v>
      </c>
      <c r="I17" s="40">
        <f>ОКРУГЛВСЕ(SUMIF('Форма по МДС 81-35.2004'!M239:M286,"Г",'Форма по МДС 81-35.2004'!E239:E286),2)</f>
        <v>0</v>
      </c>
      <c r="J17" s="40">
        <v>0</v>
      </c>
      <c r="K17" s="40">
        <f>ОКРУГЛВСЕ(SUMIF('Форма по МДС 81-35.2004'!M239:M286,"Ж",'Форма по МДС 81-35.2004'!E239:E286),2)</f>
        <v>0</v>
      </c>
      <c r="L17" s="44">
        <v>0</v>
      </c>
      <c r="M17" s="44">
        <v>0</v>
      </c>
      <c r="N17" s="44">
        <v>1496.99136</v>
      </c>
      <c r="O17" s="44">
        <v>829.45</v>
      </c>
      <c r="P17" s="44">
        <v>1496.99136</v>
      </c>
      <c r="Q17" s="44">
        <v>0</v>
      </c>
      <c r="R17" s="44">
        <v>829.45</v>
      </c>
      <c r="S17" s="44">
        <v>0</v>
      </c>
      <c r="T17" s="44">
        <v>0</v>
      </c>
      <c r="U17" s="44">
        <v>0</v>
      </c>
      <c r="V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</row>
    <row r="18" spans="1:31" x14ac:dyDescent="0.15">
      <c r="A18" s="44" t="str">
        <f>'Форма по МДС 81-35.2004'!A287</f>
        <v>13.</v>
      </c>
      <c r="B18" s="44">
        <f>'Форма по МДС 81-35.2004'!I287</f>
        <v>0</v>
      </c>
      <c r="C18" s="44">
        <f ca="1">ROUND(СУММПРОИЗВЕСЛИ(1,'Форма по МДС 81-35.2004'!M287:M308,"Г",'Форма по МДС 81-35.2004'!E287:E308,'Форма по МДС 81-35.2004'!I287:I308,0),0)</f>
        <v>0</v>
      </c>
      <c r="D18" s="44">
        <f ca="1">ROUND(СУММПРОИЗВЕСЛИ(1,'Форма по МДС 81-35.2004'!M287:M308,"IsMash",'Форма по МДС 81-35.2004'!E287:E308,'Форма по МДС 81-35.2004'!I287:I308,0),0)</f>
        <v>0</v>
      </c>
      <c r="E18" s="44">
        <f ca="1">ROUND(СУММПРОИЗВЕСЛИ(1,'Форма по МДС 81-35.2004'!M287:M308,"Ж",'Форма по МДС 81-35.2004'!E287:E308,'Форма по МДС 81-35.2004'!I287:I308,0),0)</f>
        <v>0</v>
      </c>
      <c r="F18" s="44">
        <f ca="1">ROUND(СУММПРОИЗВЕСЛИ(1,'Форма по МДС 81-35.2004'!M287:M308,"IsMater",'Форма по МДС 81-35.2004'!E287:E308,'Форма по МДС 81-35.2004'!I287:I308,0),0)</f>
        <v>0</v>
      </c>
      <c r="G18" s="44">
        <v>0</v>
      </c>
      <c r="H18" s="44">
        <v>0</v>
      </c>
      <c r="I18" s="40">
        <f>ОКРУГЛВСЕ(SUMIF('Форма по МДС 81-35.2004'!M287:M308,"Г",'Форма по МДС 81-35.2004'!E287:E308),2)</f>
        <v>0</v>
      </c>
      <c r="J18" s="40">
        <v>0</v>
      </c>
      <c r="K18" s="40">
        <f>ОКРУГЛВСЕ(SUMIF('Форма по МДС 81-35.2004'!M287:M308,"Ж",'Форма по МДС 81-35.2004'!E287:E308),2)</f>
        <v>0</v>
      </c>
      <c r="L18" s="44">
        <v>0</v>
      </c>
      <c r="M18" s="44">
        <v>0</v>
      </c>
      <c r="N18" s="44">
        <v>163.19001600000001</v>
      </c>
      <c r="O18" s="44">
        <v>90.42</v>
      </c>
      <c r="P18" s="44">
        <v>163.19001600000001</v>
      </c>
      <c r="Q18" s="44">
        <v>0</v>
      </c>
      <c r="R18" s="44">
        <v>90.42</v>
      </c>
      <c r="S18" s="44">
        <v>0</v>
      </c>
      <c r="T18" s="44">
        <v>0</v>
      </c>
      <c r="U18" s="44">
        <v>0</v>
      </c>
      <c r="V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</row>
    <row r="19" spans="1:31" x14ac:dyDescent="0.15">
      <c r="A19" s="44" t="str">
        <f>'Форма по МДС 81-35.2004'!A309</f>
        <v>14.</v>
      </c>
      <c r="B19" s="44">
        <f>'Форма по МДС 81-35.2004'!I309</f>
        <v>0</v>
      </c>
      <c r="C19" s="44">
        <f ca="1">ROUND(СУММПРОИЗВЕСЛИ(1,'Форма по МДС 81-35.2004'!M309:M326,"Г",'Форма по МДС 81-35.2004'!E309:E326,'Форма по МДС 81-35.2004'!I309:I326,0),0)</f>
        <v>0</v>
      </c>
      <c r="D19" s="44">
        <f ca="1">ROUND(СУММПРОИЗВЕСЛИ(1,'Форма по МДС 81-35.2004'!M309:M326,"IsMash",'Форма по МДС 81-35.2004'!E309:E326,'Форма по МДС 81-35.2004'!I309:I326,0),0)</f>
        <v>0</v>
      </c>
      <c r="E19" s="44">
        <f ca="1">ROUND(СУММПРОИЗВЕСЛИ(1,'Форма по МДС 81-35.2004'!M309:M326,"Ж",'Форма по МДС 81-35.2004'!E309:E326,'Форма по МДС 81-35.2004'!I309:I326,0),0)</f>
        <v>0</v>
      </c>
      <c r="F19" s="44">
        <f ca="1">ROUND(СУММПРОИЗВЕСЛИ(1,'Форма по МДС 81-35.2004'!M309:M326,"IsMater",'Форма по МДС 81-35.2004'!E309:E326,'Форма по МДС 81-35.2004'!I309:I326,0),0)</f>
        <v>0</v>
      </c>
      <c r="G19" s="44">
        <v>0</v>
      </c>
      <c r="H19" s="44">
        <v>0</v>
      </c>
      <c r="I19" s="40">
        <f>ОКРУГЛВСЕ(SUMIF('Форма по МДС 81-35.2004'!M309:M326,"Г",'Форма по МДС 81-35.2004'!E309:E326),2)</f>
        <v>0</v>
      </c>
      <c r="J19" s="40">
        <v>0</v>
      </c>
      <c r="K19" s="40">
        <f>ОКРУГЛВСЕ(SUMIF('Форма по МДС 81-35.2004'!M309:M326,"Ж",'Форма по МДС 81-35.2004'!E309:E326),2)</f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4">
        <v>0</v>
      </c>
      <c r="AE19" s="44">
        <v>0</v>
      </c>
    </row>
    <row r="20" spans="1:31" x14ac:dyDescent="0.15">
      <c r="A20" s="44" t="str">
        <f>'Форма по МДС 81-35.2004'!A327</f>
        <v>15.</v>
      </c>
      <c r="B20" s="44">
        <f>'Форма по МДС 81-35.2004'!I327</f>
        <v>0</v>
      </c>
      <c r="C20" s="44">
        <f ca="1">ROUND(СУММПРОИЗВЕСЛИ(1,'Форма по МДС 81-35.2004'!M327:M347,"Г",'Форма по МДС 81-35.2004'!E327:E347,'Форма по МДС 81-35.2004'!I327:I347,0),0)</f>
        <v>0</v>
      </c>
      <c r="D20" s="44">
        <f ca="1">ROUND(СУММПРОИЗВЕСЛИ(1,'Форма по МДС 81-35.2004'!M327:M347,"IsMash",'Форма по МДС 81-35.2004'!E327:E347,'Форма по МДС 81-35.2004'!I327:I347,0),0)</f>
        <v>0</v>
      </c>
      <c r="E20" s="44">
        <f ca="1">ROUND(СУММПРОИЗВЕСЛИ(1,'Форма по МДС 81-35.2004'!M327:M347,"Ж",'Форма по МДС 81-35.2004'!E327:E347,'Форма по МДС 81-35.2004'!I327:I347,0),0)</f>
        <v>0</v>
      </c>
      <c r="F20" s="44">
        <f ca="1">ROUND(СУММПРОИЗВЕСЛИ(1,'Форма по МДС 81-35.2004'!M327:M347,"IsMater",'Форма по МДС 81-35.2004'!E327:E347,'Форма по МДС 81-35.2004'!I327:I347,0),0)</f>
        <v>0</v>
      </c>
      <c r="G20" s="44">
        <v>0</v>
      </c>
      <c r="H20" s="44">
        <v>0</v>
      </c>
      <c r="I20" s="40">
        <f>ОКРУГЛВСЕ(SUMIF('Форма по МДС 81-35.2004'!M327:M347,"Г",'Форма по МДС 81-35.2004'!E327:E347),2)</f>
        <v>0</v>
      </c>
      <c r="J20" s="40">
        <v>0</v>
      </c>
      <c r="K20" s="40">
        <f>ОКРУГЛВСЕ(SUMIF('Форма по МДС 81-35.2004'!M327:M347,"Ж",'Форма по МДС 81-35.2004'!E327:E347),2)</f>
        <v>0</v>
      </c>
      <c r="L20" s="44">
        <v>0</v>
      </c>
      <c r="M20" s="44">
        <v>0</v>
      </c>
      <c r="N20" s="44">
        <v>114.225792</v>
      </c>
      <c r="O20" s="44">
        <v>63.29</v>
      </c>
      <c r="P20" s="44">
        <v>114.225792</v>
      </c>
      <c r="Q20" s="44">
        <v>0</v>
      </c>
      <c r="R20" s="44">
        <v>63.29</v>
      </c>
      <c r="S20" s="44">
        <v>0</v>
      </c>
      <c r="T20" s="44">
        <v>0</v>
      </c>
      <c r="U20" s="44">
        <v>0</v>
      </c>
      <c r="V20" s="44"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0</v>
      </c>
      <c r="AC20" s="44">
        <v>0</v>
      </c>
      <c r="AD20" s="44">
        <v>0</v>
      </c>
      <c r="AE20" s="44">
        <v>0</v>
      </c>
    </row>
    <row r="21" spans="1:31" x14ac:dyDescent="0.15">
      <c r="A21" s="44" t="str">
        <f>'Форма по МДС 81-35.2004'!A348</f>
        <v>16.</v>
      </c>
      <c r="B21" s="44">
        <f>'Форма по МДС 81-35.2004'!I348</f>
        <v>0</v>
      </c>
      <c r="C21" s="44">
        <f ca="1">ROUND(СУММПРОИЗВЕСЛИ(1,'Форма по МДС 81-35.2004'!M348:M369,"Г",'Форма по МДС 81-35.2004'!E348:E369,'Форма по МДС 81-35.2004'!I348:I369,0),0)</f>
        <v>0</v>
      </c>
      <c r="D21" s="44">
        <f ca="1">ROUND(СУММПРОИЗВЕСЛИ(1,'Форма по МДС 81-35.2004'!M348:M369,"IsMash",'Форма по МДС 81-35.2004'!E348:E369,'Форма по МДС 81-35.2004'!I348:I369,0),0)</f>
        <v>0</v>
      </c>
      <c r="E21" s="44">
        <f ca="1">ROUND(СУММПРОИЗВЕСЛИ(1,'Форма по МДС 81-35.2004'!M348:M369,"Ж",'Форма по МДС 81-35.2004'!E348:E369,'Форма по МДС 81-35.2004'!I348:I369,0),0)</f>
        <v>0</v>
      </c>
      <c r="F21" s="44">
        <f ca="1">ROUND(СУММПРОИЗВЕСЛИ(1,'Форма по МДС 81-35.2004'!M348:M369,"IsMater",'Форма по МДС 81-35.2004'!E348:E369,'Форма по МДС 81-35.2004'!I348:I369,0),0)</f>
        <v>0</v>
      </c>
      <c r="G21" s="44">
        <v>0</v>
      </c>
      <c r="H21" s="44">
        <v>0</v>
      </c>
      <c r="I21" s="40">
        <f>ОКРУГЛВСЕ(SUMIF('Форма по МДС 81-35.2004'!M348:M369,"Г",'Форма по МДС 81-35.2004'!E348:E369),2)</f>
        <v>0</v>
      </c>
      <c r="J21" s="40">
        <v>0</v>
      </c>
      <c r="K21" s="40">
        <f>ОКРУГЛВСЕ(SUMIF('Форма по МДС 81-35.2004'!M348:M369,"Ж",'Форма по МДС 81-35.2004'!E348:E369),2)</f>
        <v>0</v>
      </c>
      <c r="L21" s="44">
        <v>0</v>
      </c>
      <c r="M21" s="44">
        <v>0</v>
      </c>
      <c r="N21" s="44">
        <v>15381.660672</v>
      </c>
      <c r="O21" s="44">
        <v>8522.64</v>
      </c>
      <c r="P21" s="44">
        <v>15381.660672</v>
      </c>
      <c r="Q21" s="44">
        <v>0</v>
      </c>
      <c r="R21" s="44">
        <v>8522.64</v>
      </c>
      <c r="S21" s="44">
        <v>0</v>
      </c>
      <c r="T21" s="44">
        <v>0</v>
      </c>
      <c r="U21" s="44">
        <v>0</v>
      </c>
      <c r="V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</row>
    <row r="22" spans="1:31" x14ac:dyDescent="0.15">
      <c r="A22" s="44" t="str">
        <f>'Форма по МДС 81-35.2004'!A370</f>
        <v>17.</v>
      </c>
      <c r="B22" s="44">
        <f>'Форма по МДС 81-35.2004'!I370</f>
        <v>0</v>
      </c>
      <c r="C22" s="44">
        <f ca="1">ROUND(СУММПРОИЗВЕСЛИ(1,'Форма по МДС 81-35.2004'!M370:M402,"Г",'Форма по МДС 81-35.2004'!E370:E402,'Форма по МДС 81-35.2004'!I370:I402,0),0)</f>
        <v>0</v>
      </c>
      <c r="D22" s="44">
        <f ca="1">ROUND(СУММПРОИЗВЕСЛИ(1,'Форма по МДС 81-35.2004'!M370:M402,"IsMash",'Форма по МДС 81-35.2004'!E370:E402,'Форма по МДС 81-35.2004'!I370:I402,0),0)</f>
        <v>0</v>
      </c>
      <c r="E22" s="44">
        <f ca="1">ROUND(СУММПРОИЗВЕСЛИ(1,'Форма по МДС 81-35.2004'!M370:M402,"Ж",'Форма по МДС 81-35.2004'!E370:E402,'Форма по МДС 81-35.2004'!I370:I402,0),0)</f>
        <v>0</v>
      </c>
      <c r="F22" s="44">
        <f ca="1">ROUND(СУММПРОИЗВЕСЛИ(1,'Форма по МДС 81-35.2004'!M370:M402,"IsMater",'Форма по МДС 81-35.2004'!E370:E402,'Форма по МДС 81-35.2004'!I370:I402,0),0)</f>
        <v>0</v>
      </c>
      <c r="G22" s="44">
        <v>0</v>
      </c>
      <c r="H22" s="44">
        <v>0</v>
      </c>
      <c r="I22" s="40">
        <f>ОКРУГЛВСЕ(SUMIF('Форма по МДС 81-35.2004'!M370:M402,"Г",'Форма по МДС 81-35.2004'!E370:E402),2)</f>
        <v>0</v>
      </c>
      <c r="J22" s="40">
        <v>0</v>
      </c>
      <c r="K22" s="40">
        <f>ОКРУГЛВСЕ(SUMIF('Форма по МДС 81-35.2004'!M370:M402,"Ж",'Форма по МДС 81-35.2004'!E370:E402),2)</f>
        <v>0</v>
      </c>
      <c r="L22" s="44">
        <v>0</v>
      </c>
      <c r="M22" s="44">
        <v>0</v>
      </c>
      <c r="N22" s="44">
        <v>7959.5379839999996</v>
      </c>
      <c r="O22" s="44">
        <v>4410.2049999999999</v>
      </c>
      <c r="P22" s="44">
        <v>7959.5379839999996</v>
      </c>
      <c r="Q22" s="44">
        <v>0</v>
      </c>
      <c r="R22" s="44">
        <v>4410.2049999999999</v>
      </c>
      <c r="S22" s="44">
        <v>0</v>
      </c>
      <c r="T22" s="44">
        <v>0</v>
      </c>
      <c r="U22" s="44">
        <v>0</v>
      </c>
      <c r="V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</row>
    <row r="23" spans="1:31" x14ac:dyDescent="0.15">
      <c r="A23" s="44" t="str">
        <f>'Форма по МДС 81-35.2004'!A403</f>
        <v>18.</v>
      </c>
      <c r="B23" s="44">
        <f>'Форма по МДС 81-35.2004'!I403</f>
        <v>0</v>
      </c>
      <c r="C23" s="44">
        <f ca="1">ROUND(СУММПРОИЗВЕСЛИ(1,'Форма по МДС 81-35.2004'!M403:M430,"Г",'Форма по МДС 81-35.2004'!E403:E430,'Форма по МДС 81-35.2004'!I403:I430,0),0)</f>
        <v>0</v>
      </c>
      <c r="D23" s="44">
        <f ca="1">ROUND(СУММПРОИЗВЕСЛИ(1,'Форма по МДС 81-35.2004'!M403:M430,"IsMash",'Форма по МДС 81-35.2004'!E403:E430,'Форма по МДС 81-35.2004'!I403:I430,0),0)</f>
        <v>0</v>
      </c>
      <c r="E23" s="44">
        <f ca="1">ROUND(СУММПРОИЗВЕСЛИ(1,'Форма по МДС 81-35.2004'!M403:M430,"Ж",'Форма по МДС 81-35.2004'!E403:E430,'Форма по МДС 81-35.2004'!I403:I430,0),0)</f>
        <v>0</v>
      </c>
      <c r="F23" s="44">
        <f ca="1">ROUND(СУММПРОИЗВЕСЛИ(1,'Форма по МДС 81-35.2004'!M403:M430,"IsMater",'Форма по МДС 81-35.2004'!E403:E430,'Форма по МДС 81-35.2004'!I403:I430,0),0)</f>
        <v>0</v>
      </c>
      <c r="G23" s="44">
        <v>0</v>
      </c>
      <c r="H23" s="44">
        <v>0</v>
      </c>
      <c r="I23" s="40">
        <f>ОКРУГЛВСЕ(SUMIF('Форма по МДС 81-35.2004'!M403:M430,"Г",'Форма по МДС 81-35.2004'!E403:E430),2)</f>
        <v>0</v>
      </c>
      <c r="J23" s="40">
        <v>0</v>
      </c>
      <c r="K23" s="40">
        <f>ОКРУГЛВСЕ(SUMIF('Форма по МДС 81-35.2004'!M403:M430,"Ж",'Форма по МДС 81-35.2004'!E403:E430),2)</f>
        <v>0</v>
      </c>
      <c r="L23" s="44">
        <v>0</v>
      </c>
      <c r="M23" s="44">
        <v>0</v>
      </c>
      <c r="N23" s="44">
        <v>627.74553600000002</v>
      </c>
      <c r="O23" s="44">
        <v>347.82</v>
      </c>
      <c r="P23" s="44">
        <v>627.74553600000002</v>
      </c>
      <c r="Q23" s="44">
        <v>0</v>
      </c>
      <c r="R23" s="44">
        <v>347.82</v>
      </c>
      <c r="S23" s="44">
        <v>0</v>
      </c>
      <c r="T23" s="44">
        <v>0</v>
      </c>
      <c r="U23" s="44">
        <v>0</v>
      </c>
      <c r="V23" s="44">
        <v>0</v>
      </c>
      <c r="X23" s="44">
        <v>0</v>
      </c>
      <c r="Y23" s="44">
        <v>0</v>
      </c>
      <c r="Z23" s="44">
        <v>0</v>
      </c>
      <c r="AA23" s="44">
        <v>0</v>
      </c>
      <c r="AB23" s="44">
        <v>0</v>
      </c>
      <c r="AC23" s="44">
        <v>0</v>
      </c>
      <c r="AD23" s="44">
        <v>0</v>
      </c>
      <c r="AE23" s="44">
        <v>0</v>
      </c>
    </row>
    <row r="24" spans="1:31" x14ac:dyDescent="0.15">
      <c r="A24" s="44" t="str">
        <f>'Форма по МДС 81-35.2004'!A431</f>
        <v>19.</v>
      </c>
      <c r="B24" s="44">
        <f>'Форма по МДС 81-35.2004'!I431</f>
        <v>0</v>
      </c>
      <c r="C24" s="44">
        <f ca="1">ROUND(СУММПРОИЗВЕСЛИ(1,'Форма по МДС 81-35.2004'!M431:M448,"Г",'Форма по МДС 81-35.2004'!E431:E448,'Форма по МДС 81-35.2004'!I431:I448,0),0)</f>
        <v>0</v>
      </c>
      <c r="D24" s="44">
        <f ca="1">ROUND(СУММПРОИЗВЕСЛИ(1,'Форма по МДС 81-35.2004'!M431:M448,"IsMash",'Форма по МДС 81-35.2004'!E431:E448,'Форма по МДС 81-35.2004'!I431:I448,0),0)</f>
        <v>0</v>
      </c>
      <c r="E24" s="44">
        <f ca="1">ROUND(СУММПРОИЗВЕСЛИ(1,'Форма по МДС 81-35.2004'!M431:M448,"Ж",'Форма по МДС 81-35.2004'!E431:E448,'Форма по МДС 81-35.2004'!I431:I448,0),0)</f>
        <v>0</v>
      </c>
      <c r="F24" s="44">
        <f ca="1">ROUND(СУММПРОИЗВЕСЛИ(1,'Форма по МДС 81-35.2004'!M431:M448,"IsMater",'Форма по МДС 81-35.2004'!E431:E448,'Форма по МДС 81-35.2004'!I431:I448,0),0)</f>
        <v>0</v>
      </c>
      <c r="G24" s="44">
        <v>0</v>
      </c>
      <c r="H24" s="44">
        <v>0</v>
      </c>
      <c r="I24" s="40">
        <f>ОКРУГЛВСЕ(SUMIF('Форма по МДС 81-35.2004'!M431:M448,"Г",'Форма по МДС 81-35.2004'!E431:E448),2)</f>
        <v>0</v>
      </c>
      <c r="J24" s="40">
        <v>0</v>
      </c>
      <c r="K24" s="40">
        <f>ОКРУГЛВСЕ(SUMIF('Форма по МДС 81-35.2004'!M431:M448,"Ж",'Форма по МДС 81-35.2004'!E431:E448),2)</f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</row>
    <row r="25" spans="1:31" x14ac:dyDescent="0.15">
      <c r="A25" s="44" t="str">
        <f>'Форма по МДС 81-35.2004'!A449</f>
        <v>20.</v>
      </c>
      <c r="B25" s="44">
        <f>'Форма по МДС 81-35.2004'!I449</f>
        <v>0</v>
      </c>
      <c r="C25" s="44">
        <f ca="1">ROUND(СУММПРОИЗВЕСЛИ(1,'Форма по МДС 81-35.2004'!M449:M472,"Г",'Форма по МДС 81-35.2004'!E449:E472,'Форма по МДС 81-35.2004'!I449:I472,0),0)</f>
        <v>0</v>
      </c>
      <c r="D25" s="44">
        <f ca="1">ROUND(СУММПРОИЗВЕСЛИ(1,'Форма по МДС 81-35.2004'!M449:M472,"IsMash",'Форма по МДС 81-35.2004'!E449:E472,'Форма по МДС 81-35.2004'!I449:I472,0),0)</f>
        <v>0</v>
      </c>
      <c r="E25" s="44">
        <f ca="1">ROUND(СУММПРОИЗВЕСЛИ(1,'Форма по МДС 81-35.2004'!M449:M472,"Ж",'Форма по МДС 81-35.2004'!E449:E472,'Форма по МДС 81-35.2004'!I449:I472,0),0)</f>
        <v>0</v>
      </c>
      <c r="F25" s="44">
        <f ca="1">ROUND(СУММПРОИЗВЕСЛИ(1,'Форма по МДС 81-35.2004'!M449:M472,"IsMater",'Форма по МДС 81-35.2004'!E449:E472,'Форма по МДС 81-35.2004'!I449:I472,0),0)</f>
        <v>0</v>
      </c>
      <c r="G25" s="44">
        <v>0</v>
      </c>
      <c r="H25" s="44">
        <v>0</v>
      </c>
      <c r="I25" s="40">
        <f>ОКРУГЛВСЕ(SUMIF('Форма по МДС 81-35.2004'!M449:M472,"Г",'Форма по МДС 81-35.2004'!E449:E472),2)</f>
        <v>0</v>
      </c>
      <c r="J25" s="40">
        <v>0</v>
      </c>
      <c r="K25" s="40">
        <f>ОКРУГЛВСЕ(SUMIF('Форма по МДС 81-35.2004'!M449:M472,"Ж",'Форма по МДС 81-35.2004'!E449:E472),2)</f>
        <v>0</v>
      </c>
      <c r="L25" s="44">
        <v>0</v>
      </c>
      <c r="M25" s="44">
        <v>0</v>
      </c>
      <c r="N25" s="44">
        <v>439.41465599999998</v>
      </c>
      <c r="O25" s="44">
        <v>243.47</v>
      </c>
      <c r="P25" s="44">
        <v>439.41465599999998</v>
      </c>
      <c r="Q25" s="44">
        <v>0</v>
      </c>
      <c r="R25" s="44">
        <v>243.47</v>
      </c>
      <c r="S25" s="44">
        <v>0</v>
      </c>
      <c r="T25" s="44">
        <v>0</v>
      </c>
      <c r="U25" s="44">
        <v>0</v>
      </c>
      <c r="V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4">
        <v>0</v>
      </c>
      <c r="AE25" s="44">
        <v>0</v>
      </c>
    </row>
    <row r="26" spans="1:31" x14ac:dyDescent="0.15">
      <c r="A26" s="44" t="str">
        <f>'Форма по МДС 81-35.2004'!A473</f>
        <v>21.</v>
      </c>
      <c r="B26" s="44">
        <f>'Форма по МДС 81-35.2004'!I473</f>
        <v>0</v>
      </c>
      <c r="C26" s="44">
        <f ca="1">ROUND(СУММПРОИЗВЕСЛИ(1,'Форма по МДС 81-35.2004'!M473:M490,"Г",'Форма по МДС 81-35.2004'!E473:E490,'Форма по МДС 81-35.2004'!I473:I490,0),0)</f>
        <v>0</v>
      </c>
      <c r="D26" s="44">
        <f ca="1">ROUND(СУММПРОИЗВЕСЛИ(1,'Форма по МДС 81-35.2004'!M473:M490,"IsMash",'Форма по МДС 81-35.2004'!E473:E490,'Форма по МДС 81-35.2004'!I473:I490,0),0)</f>
        <v>0</v>
      </c>
      <c r="E26" s="44">
        <f ca="1">ROUND(СУММПРОИЗВЕСЛИ(1,'Форма по МДС 81-35.2004'!M473:M490,"Ж",'Форма по МДС 81-35.2004'!E473:E490,'Форма по МДС 81-35.2004'!I473:I490,0),0)</f>
        <v>0</v>
      </c>
      <c r="F26" s="44">
        <f ca="1">ROUND(СУММПРОИЗВЕСЛИ(1,'Форма по МДС 81-35.2004'!M473:M490,"IsMater",'Форма по МДС 81-35.2004'!E473:E490,'Форма по МДС 81-35.2004'!I473:I490,0),0)</f>
        <v>0</v>
      </c>
      <c r="G26" s="44">
        <v>0</v>
      </c>
      <c r="H26" s="44">
        <v>0</v>
      </c>
      <c r="I26" s="40">
        <f>ОКРУГЛВСЕ(SUMIF('Форма по МДС 81-35.2004'!M473:M490,"Г",'Форма по МДС 81-35.2004'!E473:E490),2)</f>
        <v>0</v>
      </c>
      <c r="J26" s="40">
        <v>0</v>
      </c>
      <c r="K26" s="40">
        <f>ОКРУГЛВСЕ(SUMIF('Форма по МДС 81-35.2004'!M473:M490,"Ж",'Форма по МДС 81-35.2004'!E473:E490),2)</f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0</v>
      </c>
      <c r="AE26" s="44">
        <v>0</v>
      </c>
    </row>
    <row r="27" spans="1:31" x14ac:dyDescent="0.15">
      <c r="A27" s="44" t="str">
        <f>'Форма по МДС 81-35.2004'!A491</f>
        <v>22.</v>
      </c>
      <c r="B27" s="44">
        <f>'Форма по МДС 81-35.2004'!I491</f>
        <v>0</v>
      </c>
      <c r="C27" s="44">
        <f ca="1">ROUND(СУММПРОИЗВЕСЛИ(1,'Форма по МДС 81-35.2004'!M491:M509,"Г",'Форма по МДС 81-35.2004'!E491:E509,'Форма по МДС 81-35.2004'!I491:I509,0),0)</f>
        <v>0</v>
      </c>
      <c r="D27" s="44">
        <f ca="1">ROUND(СУММПРОИЗВЕСЛИ(1,'Форма по МДС 81-35.2004'!M491:M509,"IsMash",'Форма по МДС 81-35.2004'!E491:E509,'Форма по МДС 81-35.2004'!I491:I509,0),0)</f>
        <v>25</v>
      </c>
      <c r="E27" s="44">
        <f ca="1">ROUND(СУММПРОИЗВЕСЛИ(1,'Форма по МДС 81-35.2004'!M491:M509,"Ж",'Форма по МДС 81-35.2004'!E491:E509,'Форма по МДС 81-35.2004'!I491:I509,0),0)</f>
        <v>0</v>
      </c>
      <c r="F27" s="44">
        <f ca="1">ROUND(СУММПРОИЗВЕСЛИ(1,'Форма по МДС 81-35.2004'!M491:M509,"IsMater",'Форма по МДС 81-35.2004'!E491:E509,'Форма по МДС 81-35.2004'!I491:I509,0),0)</f>
        <v>0</v>
      </c>
      <c r="G27" s="44">
        <v>0</v>
      </c>
      <c r="H27" s="44">
        <v>0</v>
      </c>
      <c r="I27" s="40">
        <f>ОКРУГЛВСЕ(SUMIF('Форма по МДС 81-35.2004'!M491:M509,"Г",'Форма по МДС 81-35.2004'!E491:E509),2)</f>
        <v>0</v>
      </c>
      <c r="J27" s="40">
        <v>0</v>
      </c>
      <c r="K27" s="40">
        <f>ОКРУГЛВСЕ(SUMIF('Форма по МДС 81-35.2004'!M491:M509,"Ж",'Форма по МДС 81-35.2004'!E491:E509),2)</f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X27" s="44">
        <v>0</v>
      </c>
      <c r="Y27" s="44">
        <v>0</v>
      </c>
      <c r="Z27" s="44">
        <v>0</v>
      </c>
      <c r="AA27" s="44">
        <v>0</v>
      </c>
      <c r="AB27" s="44">
        <v>0</v>
      </c>
      <c r="AC27" s="44">
        <v>0</v>
      </c>
      <c r="AD27" s="44">
        <v>0</v>
      </c>
      <c r="AE27" s="44">
        <v>0</v>
      </c>
    </row>
  </sheetData>
  <mergeCells count="4">
    <mergeCell ref="A2:K2"/>
    <mergeCell ref="B3:K3"/>
    <mergeCell ref="B4:K4"/>
    <mergeCell ref="A5:K5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E27"/>
  <sheetViews>
    <sheetView workbookViewId="0"/>
  </sheetViews>
  <sheetFormatPr defaultRowHeight="10.5" x14ac:dyDescent="0.15"/>
  <cols>
    <col min="1" max="1" width="5.7109375" style="40" customWidth="1"/>
    <col min="2" max="16384" width="9.140625" style="44"/>
  </cols>
  <sheetData>
    <row r="1" spans="1:31" s="45" customFormat="1" x14ac:dyDescent="0.15">
      <c r="A1" s="46"/>
      <c r="B1" s="45" t="s">
        <v>378</v>
      </c>
      <c r="C1" s="45" t="s">
        <v>379</v>
      </c>
      <c r="D1" s="45" t="s">
        <v>380</v>
      </c>
      <c r="E1" s="45" t="s">
        <v>381</v>
      </c>
      <c r="F1" s="45" t="s">
        <v>382</v>
      </c>
      <c r="G1" s="45" t="s">
        <v>383</v>
      </c>
      <c r="H1" s="45" t="s">
        <v>384</v>
      </c>
      <c r="I1" s="45" t="s">
        <v>385</v>
      </c>
      <c r="J1" s="45" t="s">
        <v>386</v>
      </c>
      <c r="K1" s="45" t="s">
        <v>387</v>
      </c>
      <c r="L1" s="45" t="s">
        <v>388</v>
      </c>
      <c r="M1" s="45" t="s">
        <v>389</v>
      </c>
      <c r="N1" s="45" t="s">
        <v>390</v>
      </c>
      <c r="O1" s="45" t="s">
        <v>391</v>
      </c>
      <c r="P1" s="45" t="s">
        <v>392</v>
      </c>
      <c r="Q1" s="45" t="s">
        <v>393</v>
      </c>
      <c r="R1" s="45" t="s">
        <v>394</v>
      </c>
      <c r="S1" s="45" t="s">
        <v>395</v>
      </c>
      <c r="T1" s="45" t="s">
        <v>396</v>
      </c>
      <c r="U1" s="45" t="s">
        <v>397</v>
      </c>
      <c r="V1" s="45" t="s">
        <v>398</v>
      </c>
      <c r="X1" s="45" t="s">
        <v>399</v>
      </c>
      <c r="Y1" s="45" t="s">
        <v>400</v>
      </c>
      <c r="Z1" s="45" t="s">
        <v>401</v>
      </c>
      <c r="AA1" s="45" t="s">
        <v>402</v>
      </c>
      <c r="AB1" s="45" t="s">
        <v>403</v>
      </c>
      <c r="AC1" s="45" t="s">
        <v>404</v>
      </c>
      <c r="AD1" s="45" t="s">
        <v>405</v>
      </c>
      <c r="AE1" s="45" t="s">
        <v>406</v>
      </c>
    </row>
    <row r="2" spans="1:31" x14ac:dyDescent="0.1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31" x14ac:dyDescent="0.15">
      <c r="A3" s="47"/>
      <c r="B3" s="80" t="s">
        <v>407</v>
      </c>
      <c r="C3" s="80"/>
      <c r="D3" s="80"/>
      <c r="E3" s="80"/>
      <c r="F3" s="80"/>
      <c r="G3" s="80"/>
      <c r="H3" s="80"/>
      <c r="I3" s="80"/>
      <c r="J3" s="80"/>
      <c r="K3" s="80"/>
    </row>
    <row r="4" spans="1:31" x14ac:dyDescent="0.15">
      <c r="A4" s="47"/>
      <c r="B4" s="80" t="s">
        <v>408</v>
      </c>
      <c r="C4" s="80"/>
      <c r="D4" s="80"/>
      <c r="E4" s="80"/>
      <c r="F4" s="80"/>
      <c r="G4" s="80"/>
      <c r="H4" s="80"/>
      <c r="I4" s="80"/>
      <c r="J4" s="80"/>
      <c r="K4" s="80"/>
    </row>
    <row r="5" spans="1:31" x14ac:dyDescent="0.15">
      <c r="A5" s="78"/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31" x14ac:dyDescent="0.15">
      <c r="A6" s="48" t="str">
        <f>'Форма по МДС 81-35.2004'!A19</f>
        <v>1.</v>
      </c>
      <c r="B6" s="48">
        <f t="shared" ref="B6:B12" si="0">ROUND(C6+D6+F6,0)</f>
        <v>0</v>
      </c>
      <c r="C6" s="48">
        <f>ROUND(SUMIF('Форма по МДС 81-35.2004'!M19:M35,"Г",'Форма по МДС 81-35.2004'!H19:H35),0)</f>
        <v>0</v>
      </c>
      <c r="D6" s="48">
        <f>ROUND(SUMIF('Форма по МДС 81-35.2004'!M19:M35,"IsMash",'Форма по МДС 81-35.2004'!H19:H35),0)</f>
        <v>0</v>
      </c>
      <c r="E6" s="48">
        <f>'Форма по МДС 81-35.2004'!H20</f>
        <v>0</v>
      </c>
      <c r="F6" s="48">
        <f>ROUND(SUMIF('Форма по МДС 81-35.2004'!M19:M35,"IsMater",'Форма по МДС 81-35.2004'!H19:H35),0)</f>
        <v>0</v>
      </c>
      <c r="G6" s="48">
        <f>ROUND('Форма по МДС 81-35.2004'!F19*'Базовые цены за единицу'!G6,0)</f>
        <v>0</v>
      </c>
      <c r="H6" s="48">
        <f>ROUND('Форма по МДС 81-35.2004'!F19*'Базовые цены за единицу'!H6,0)</f>
        <v>0</v>
      </c>
      <c r="I6" s="40">
        <f>ОКРУГЛВСЕ(SUMIF('Форма по МДС 81-35.2004'!M19:M35,"Г",'Форма по МДС 81-35.2004'!F19:F35),2)</f>
        <v>0</v>
      </c>
      <c r="J6" s="40">
        <f>ОКРУГЛВСЕ('Форма по МДС 81-35.2004'!F19*'Базовые цены за единицу'!J6,2)</f>
        <v>0</v>
      </c>
      <c r="K6" s="40">
        <f>ОКРУГЛВСЕ(SUMIF('Форма по МДС 81-35.2004'!M19:M35,"Ж",'Форма по МДС 81-35.2004'!F19:F35),2)</f>
        <v>0</v>
      </c>
      <c r="L6" s="48">
        <f>ROUND('Форма по МДС 81-35.2004'!F19*'Базовые цены за единицу'!L6,0)</f>
        <v>0</v>
      </c>
      <c r="M6" s="48">
        <f>ROUND('Форма по МДС 81-35.2004'!F19*'Базовые цены за единицу'!M6,0)</f>
        <v>0</v>
      </c>
      <c r="N6" s="48">
        <f>ROUND((C6+E6)*'Форма по МДС 81-35.2004'!G30/100,0)</f>
        <v>0</v>
      </c>
      <c r="O6" s="48">
        <f>ROUND((C6+E6)*'Форма по МДС 81-35.2004'!G33/100,0)</f>
        <v>0</v>
      </c>
      <c r="P6" s="48">
        <f>ROUND('Форма по МДС 81-35.2004'!F19*'Базовые цены за единицу'!P6,0)</f>
        <v>0</v>
      </c>
      <c r="Q6" s="48">
        <f>ROUND('Форма по МДС 81-35.2004'!F19*'Базовые цены за единицу'!Q6,0)</f>
        <v>0</v>
      </c>
      <c r="R6" s="48">
        <f>ROUND('Форма по МДС 81-35.2004'!F19*'Базовые цены за единицу'!R6,0)</f>
        <v>0</v>
      </c>
      <c r="S6" s="48">
        <f>ROUND('Форма по МДС 81-35.2004'!F19*'Базовые цены за единицу'!S6,0)</f>
        <v>0</v>
      </c>
      <c r="T6" s="48">
        <f>ROUND('Форма по МДС 81-35.2004'!F19*'Базовые цены за единицу'!T6,0)</f>
        <v>0</v>
      </c>
      <c r="U6" s="48">
        <f>ROUND('Форма по МДС 81-35.2004'!F19*'Базовые цены за единицу'!U6,0)</f>
        <v>0</v>
      </c>
      <c r="V6" s="48">
        <f>ROUND('Форма по МДС 81-35.2004'!F19*'Базовые цены за единицу'!V6,0)</f>
        <v>0</v>
      </c>
      <c r="X6" s="44">
        <f>ROUND('Форма по МДС 81-35.2004'!F19*'Базовые цены за единицу'!X6,0)</f>
        <v>0</v>
      </c>
      <c r="Y6" s="44">
        <f>IF(Определители!I6="9",ROUND((C6+E6)*(Начисления!M6/100)*('Форма по МДС 81-35.2004'!G30/100),0),0)</f>
        <v>0</v>
      </c>
      <c r="Z6" s="44">
        <f>IF(Определители!I6="9",ROUND((C6+E6)*(100-Начисления!M6/100)*('Форма по МДС 81-35.2004'!G30/100),0),0)</f>
        <v>0</v>
      </c>
      <c r="AA6" s="44">
        <f>IF(Определители!I6="9",ROUND((C6+E6)*(Начисления!M6/100)*('Форма по МДС 81-35.2004'!G33/100),0),0)</f>
        <v>0</v>
      </c>
      <c r="AB6" s="44">
        <f>IF(Определители!I6="9",ROUND((C6+E6)*(100-Начисления!M6/100)*('Форма по МДС 81-35.2004'!G33/100),0),0)</f>
        <v>0</v>
      </c>
      <c r="AC6" s="44">
        <f>IF(Определители!I6="9",ROUND(B6*Начисления!M6/100,0),0)</f>
        <v>0</v>
      </c>
      <c r="AD6" s="44">
        <f>IF(Определители!I6="9",ROUND(B6*(100-Начисления!M6)/100,0),0)</f>
        <v>0</v>
      </c>
      <c r="AE6" s="44">
        <f>ROUND('Форма по МДС 81-35.2004'!F19*'Базовые цены за единицу'!AE6,0)</f>
        <v>0</v>
      </c>
    </row>
    <row r="7" spans="1:31" x14ac:dyDescent="0.15">
      <c r="A7" s="48" t="str">
        <f>'Форма по МДС 81-35.2004'!A40</f>
        <v>2.</v>
      </c>
      <c r="B7" s="48">
        <f t="shared" si="0"/>
        <v>0</v>
      </c>
      <c r="C7" s="48">
        <f>ROUND(SUMIF('Форма по МДС 81-35.2004'!M40:M56,"Г",'Форма по МДС 81-35.2004'!H40:H56),0)</f>
        <v>0</v>
      </c>
      <c r="D7" s="48">
        <f>ROUND(SUMIF('Форма по МДС 81-35.2004'!M40:M56,"IsMash",'Форма по МДС 81-35.2004'!H40:H56),0)</f>
        <v>0</v>
      </c>
      <c r="E7" s="48">
        <f>'Форма по МДС 81-35.2004'!H41</f>
        <v>0</v>
      </c>
      <c r="F7" s="48">
        <f>ROUND(SUMIF('Форма по МДС 81-35.2004'!M40:M56,"IsMater",'Форма по МДС 81-35.2004'!H40:H56),0)</f>
        <v>0</v>
      </c>
      <c r="G7" s="48">
        <f>ROUND('Форма по МДС 81-35.2004'!F40*'Базовые цены за единицу'!G7,0)</f>
        <v>0</v>
      </c>
      <c r="H7" s="48">
        <f>ROUND('Форма по МДС 81-35.2004'!F40*'Базовые цены за единицу'!H7,0)</f>
        <v>0</v>
      </c>
      <c r="I7" s="40">
        <f>ОКРУГЛВСЕ(SUMIF('Форма по МДС 81-35.2004'!M40:M56,"Г",'Форма по МДС 81-35.2004'!F40:F56),2)</f>
        <v>0</v>
      </c>
      <c r="J7" s="40">
        <f>ОКРУГЛВСЕ('Форма по МДС 81-35.2004'!F40*'Базовые цены за единицу'!J7,2)</f>
        <v>0</v>
      </c>
      <c r="K7" s="40">
        <f>ОКРУГЛВСЕ(SUMIF('Форма по МДС 81-35.2004'!M40:M56,"Ж",'Форма по МДС 81-35.2004'!F40:F56),2)</f>
        <v>0</v>
      </c>
      <c r="L7" s="48">
        <f>ROUND('Форма по МДС 81-35.2004'!F40*'Базовые цены за единицу'!L7,0)</f>
        <v>0</v>
      </c>
      <c r="M7" s="48">
        <f>ROUND('Форма по МДС 81-35.2004'!F40*'Базовые цены за единицу'!M7,0)</f>
        <v>0</v>
      </c>
      <c r="N7" s="48">
        <f>ROUND((C7+E7)*'Форма по МДС 81-35.2004'!G51/100,0)</f>
        <v>0</v>
      </c>
      <c r="O7" s="48">
        <f>ROUND((C7+E7)*'Форма по МДС 81-35.2004'!G54/100,0)</f>
        <v>0</v>
      </c>
      <c r="P7" s="48">
        <f>ROUND('Форма по МДС 81-35.2004'!F40*'Базовые цены за единицу'!P7,0)</f>
        <v>0</v>
      </c>
      <c r="Q7" s="48">
        <f>ROUND('Форма по МДС 81-35.2004'!F40*'Базовые цены за единицу'!Q7,0)</f>
        <v>0</v>
      </c>
      <c r="R7" s="48">
        <f>ROUND('Форма по МДС 81-35.2004'!F40*'Базовые цены за единицу'!R7,0)</f>
        <v>0</v>
      </c>
      <c r="S7" s="48">
        <f>ROUND('Форма по МДС 81-35.2004'!F40*'Базовые цены за единицу'!S7,0)</f>
        <v>0</v>
      </c>
      <c r="T7" s="48">
        <f>ROUND('Форма по МДС 81-35.2004'!F40*'Базовые цены за единицу'!T7,0)</f>
        <v>0</v>
      </c>
      <c r="U7" s="48">
        <f>ROUND('Форма по МДС 81-35.2004'!F40*'Базовые цены за единицу'!U7,0)</f>
        <v>0</v>
      </c>
      <c r="V7" s="48">
        <f>ROUND('Форма по МДС 81-35.2004'!F40*'Базовые цены за единицу'!V7,0)</f>
        <v>0</v>
      </c>
      <c r="X7" s="44">
        <f>ROUND('Форма по МДС 81-35.2004'!F40*'Базовые цены за единицу'!X7,0)</f>
        <v>0</v>
      </c>
      <c r="Y7" s="44">
        <f>IF(Определители!I7="9",ROUND((C7+E7)*(Начисления!M7/100)*('Форма по МДС 81-35.2004'!G51/100),0),0)</f>
        <v>0</v>
      </c>
      <c r="Z7" s="44">
        <f>IF(Определители!I7="9",ROUND((C7+E7)*(100-Начисления!M7/100)*('Форма по МДС 81-35.2004'!G51/100),0),0)</f>
        <v>0</v>
      </c>
      <c r="AA7" s="44">
        <f>IF(Определители!I7="9",ROUND((C7+E7)*(Начисления!M7/100)*('Форма по МДС 81-35.2004'!G54/100),0),0)</f>
        <v>0</v>
      </c>
      <c r="AB7" s="44">
        <f>IF(Определители!I7="9",ROUND((C7+E7)*(100-Начисления!M7/100)*('Форма по МДС 81-35.2004'!G54/100),0),0)</f>
        <v>0</v>
      </c>
      <c r="AC7" s="44">
        <f>IF(Определители!I7="9",ROUND(B7*Начисления!M7/100,0),0)</f>
        <v>0</v>
      </c>
      <c r="AD7" s="44">
        <f>IF(Определители!I7="9",ROUND(B7*(100-Начисления!M7)/100,0),0)</f>
        <v>0</v>
      </c>
      <c r="AE7" s="44">
        <f>ROUND('Форма по МДС 81-35.2004'!F40*'Базовые цены за единицу'!AE7,0)</f>
        <v>0</v>
      </c>
    </row>
    <row r="8" spans="1:31" x14ac:dyDescent="0.15">
      <c r="A8" s="48" t="str">
        <f>'Форма по МДС 81-35.2004'!A61</f>
        <v>3.</v>
      </c>
      <c r="B8" s="48">
        <f t="shared" si="0"/>
        <v>0</v>
      </c>
      <c r="C8" s="48">
        <f>ROUND(SUMIF('Форма по МДС 81-35.2004'!M61:M77,"Г",'Форма по МДС 81-35.2004'!H61:H77),0)</f>
        <v>0</v>
      </c>
      <c r="D8" s="48">
        <f>ROUND(SUMIF('Форма по МДС 81-35.2004'!M61:M77,"IsMash",'Форма по МДС 81-35.2004'!H61:H77),0)</f>
        <v>0</v>
      </c>
      <c r="E8" s="48">
        <f>'Форма по МДС 81-35.2004'!H62</f>
        <v>0</v>
      </c>
      <c r="F8" s="48">
        <f>ROUND(SUMIF('Форма по МДС 81-35.2004'!M61:M77,"IsMater",'Форма по МДС 81-35.2004'!H61:H77),0)</f>
        <v>0</v>
      </c>
      <c r="G8" s="48">
        <f>ROUND('Форма по МДС 81-35.2004'!F61*'Базовые цены за единицу'!G8,0)</f>
        <v>0</v>
      </c>
      <c r="H8" s="48">
        <f>ROUND('Форма по МДС 81-35.2004'!F61*'Базовые цены за единицу'!H8,0)</f>
        <v>0</v>
      </c>
      <c r="I8" s="40">
        <f>ОКРУГЛВСЕ(SUMIF('Форма по МДС 81-35.2004'!M61:M77,"Г",'Форма по МДС 81-35.2004'!F61:F77),2)</f>
        <v>0</v>
      </c>
      <c r="J8" s="40">
        <f>ОКРУГЛВСЕ('Форма по МДС 81-35.2004'!F61*'Базовые цены за единицу'!J8,2)</f>
        <v>0</v>
      </c>
      <c r="K8" s="40">
        <f>ОКРУГЛВСЕ(SUMIF('Форма по МДС 81-35.2004'!M61:M77,"Ж",'Форма по МДС 81-35.2004'!F61:F77),2)</f>
        <v>0</v>
      </c>
      <c r="L8" s="48">
        <f>ROUND('Форма по МДС 81-35.2004'!F61*'Базовые цены за единицу'!L8,0)</f>
        <v>0</v>
      </c>
      <c r="M8" s="48">
        <f>ROUND('Форма по МДС 81-35.2004'!F61*'Базовые цены за единицу'!M8,0)</f>
        <v>0</v>
      </c>
      <c r="N8" s="48">
        <f>ROUND((C8+E8)*'Форма по МДС 81-35.2004'!G72/100,0)</f>
        <v>0</v>
      </c>
      <c r="O8" s="48">
        <f>ROUND((C8+E8)*'Форма по МДС 81-35.2004'!G75/100,0)</f>
        <v>0</v>
      </c>
      <c r="P8" s="48">
        <f>ROUND('Форма по МДС 81-35.2004'!F61*'Базовые цены за единицу'!P8,0)</f>
        <v>0</v>
      </c>
      <c r="Q8" s="48">
        <f>ROUND('Форма по МДС 81-35.2004'!F61*'Базовые цены за единицу'!Q8,0)</f>
        <v>0</v>
      </c>
      <c r="R8" s="48">
        <f>ROUND('Форма по МДС 81-35.2004'!F61*'Базовые цены за единицу'!R8,0)</f>
        <v>0</v>
      </c>
      <c r="S8" s="48">
        <f>ROUND('Форма по МДС 81-35.2004'!F61*'Базовые цены за единицу'!S8,0)</f>
        <v>0</v>
      </c>
      <c r="T8" s="48">
        <f>ROUND('Форма по МДС 81-35.2004'!F61*'Базовые цены за единицу'!T8,0)</f>
        <v>0</v>
      </c>
      <c r="U8" s="48">
        <f>ROUND('Форма по МДС 81-35.2004'!F61*'Базовые цены за единицу'!U8,0)</f>
        <v>0</v>
      </c>
      <c r="V8" s="48">
        <f>ROUND('Форма по МДС 81-35.2004'!F61*'Базовые цены за единицу'!V8,0)</f>
        <v>0</v>
      </c>
      <c r="X8" s="44">
        <f>ROUND('Форма по МДС 81-35.2004'!F61*'Базовые цены за единицу'!X8,0)</f>
        <v>0</v>
      </c>
      <c r="Y8" s="44">
        <f>IF(Определители!I8="9",ROUND((C8+E8)*(Начисления!M8/100)*('Форма по МДС 81-35.2004'!G72/100),0),0)</f>
        <v>0</v>
      </c>
      <c r="Z8" s="44">
        <f>IF(Определители!I8="9",ROUND((C8+E8)*(100-Начисления!M8/100)*('Форма по МДС 81-35.2004'!G72/100),0),0)</f>
        <v>0</v>
      </c>
      <c r="AA8" s="44">
        <f>IF(Определители!I8="9",ROUND((C8+E8)*(Начисления!M8/100)*('Форма по МДС 81-35.2004'!G75/100),0),0)</f>
        <v>0</v>
      </c>
      <c r="AB8" s="44">
        <f>IF(Определители!I8="9",ROUND((C8+E8)*(100-Начисления!M8/100)*('Форма по МДС 81-35.2004'!G75/100),0),0)</f>
        <v>0</v>
      </c>
      <c r="AC8" s="44">
        <f>IF(Определители!I8="9",ROUND(B8*Начисления!M8/100,0),0)</f>
        <v>0</v>
      </c>
      <c r="AD8" s="44">
        <f>IF(Определители!I8="9",ROUND(B8*(100-Начисления!M8)/100,0),0)</f>
        <v>0</v>
      </c>
      <c r="AE8" s="44">
        <f>ROUND('Форма по МДС 81-35.2004'!F61*'Базовые цены за единицу'!AE8,0)</f>
        <v>0</v>
      </c>
    </row>
    <row r="9" spans="1:31" x14ac:dyDescent="0.15">
      <c r="A9" s="48" t="str">
        <f>'Форма по МДС 81-35.2004'!A82</f>
        <v>4.</v>
      </c>
      <c r="B9" s="48">
        <f t="shared" si="0"/>
        <v>0</v>
      </c>
      <c r="C9" s="48">
        <f>ROUND(SUMIF('Форма по МДС 81-35.2004'!M82:M98,"Г",'Форма по МДС 81-35.2004'!H82:H98),0)</f>
        <v>0</v>
      </c>
      <c r="D9" s="48">
        <f>ROUND(SUMIF('Форма по МДС 81-35.2004'!M82:M98,"IsMash",'Форма по МДС 81-35.2004'!H82:H98),0)</f>
        <v>0</v>
      </c>
      <c r="E9" s="48">
        <f>'Форма по МДС 81-35.2004'!H83</f>
        <v>0</v>
      </c>
      <c r="F9" s="48">
        <f>ROUND(SUMIF('Форма по МДС 81-35.2004'!M82:M98,"IsMater",'Форма по МДС 81-35.2004'!H82:H98),0)</f>
        <v>0</v>
      </c>
      <c r="G9" s="48">
        <f>ROUND('Форма по МДС 81-35.2004'!F82*'Базовые цены за единицу'!G9,0)</f>
        <v>0</v>
      </c>
      <c r="H9" s="48">
        <f>ROUND('Форма по МДС 81-35.2004'!F82*'Базовые цены за единицу'!H9,0)</f>
        <v>0</v>
      </c>
      <c r="I9" s="40">
        <f>ОКРУГЛВСЕ(SUMIF('Форма по МДС 81-35.2004'!M82:M98,"Г",'Форма по МДС 81-35.2004'!F82:F98),2)</f>
        <v>0</v>
      </c>
      <c r="J9" s="40">
        <f>ОКРУГЛВСЕ('Форма по МДС 81-35.2004'!F82*'Базовые цены за единицу'!J9,2)</f>
        <v>0</v>
      </c>
      <c r="K9" s="40">
        <f>ОКРУГЛВСЕ(SUMIF('Форма по МДС 81-35.2004'!M82:M98,"Ж",'Форма по МДС 81-35.2004'!F82:F98),2)</f>
        <v>0</v>
      </c>
      <c r="L9" s="48">
        <f>ROUND('Форма по МДС 81-35.2004'!F82*'Базовые цены за единицу'!L9,0)</f>
        <v>0</v>
      </c>
      <c r="M9" s="48">
        <f>ROUND('Форма по МДС 81-35.2004'!F82*'Базовые цены за единицу'!M9,0)</f>
        <v>0</v>
      </c>
      <c r="N9" s="48">
        <f>ROUND((C9+E9)*'Форма по МДС 81-35.2004'!G93/100,0)</f>
        <v>0</v>
      </c>
      <c r="O9" s="48">
        <f>ROUND((C9+E9)*'Форма по МДС 81-35.2004'!G96/100,0)</f>
        <v>0</v>
      </c>
      <c r="P9" s="48">
        <f>ROUND('Форма по МДС 81-35.2004'!F82*'Базовые цены за единицу'!P9,0)</f>
        <v>0</v>
      </c>
      <c r="Q9" s="48">
        <f>ROUND('Форма по МДС 81-35.2004'!F82*'Базовые цены за единицу'!Q9,0)</f>
        <v>0</v>
      </c>
      <c r="R9" s="48">
        <f>ROUND('Форма по МДС 81-35.2004'!F82*'Базовые цены за единицу'!R9,0)</f>
        <v>0</v>
      </c>
      <c r="S9" s="48">
        <f>ROUND('Форма по МДС 81-35.2004'!F82*'Базовые цены за единицу'!S9,0)</f>
        <v>0</v>
      </c>
      <c r="T9" s="48">
        <f>ROUND('Форма по МДС 81-35.2004'!F82*'Базовые цены за единицу'!T9,0)</f>
        <v>0</v>
      </c>
      <c r="U9" s="48">
        <f>ROUND('Форма по МДС 81-35.2004'!F82*'Базовые цены за единицу'!U9,0)</f>
        <v>0</v>
      </c>
      <c r="V9" s="48">
        <f>ROUND('Форма по МДС 81-35.2004'!F82*'Базовые цены за единицу'!V9,0)</f>
        <v>0</v>
      </c>
      <c r="X9" s="44">
        <f>ROUND('Форма по МДС 81-35.2004'!F82*'Базовые цены за единицу'!X9,0)</f>
        <v>0</v>
      </c>
      <c r="Y9" s="44">
        <f>IF(Определители!I9="9",ROUND((C9+E9)*(Начисления!M9/100)*('Форма по МДС 81-35.2004'!G93/100),0),0)</f>
        <v>0</v>
      </c>
      <c r="Z9" s="44">
        <f>IF(Определители!I9="9",ROUND((C9+E9)*(100-Начисления!M9/100)*('Форма по МДС 81-35.2004'!G93/100),0),0)</f>
        <v>0</v>
      </c>
      <c r="AA9" s="44">
        <f>IF(Определители!I9="9",ROUND((C9+E9)*(Начисления!M9/100)*('Форма по МДС 81-35.2004'!G96/100),0),0)</f>
        <v>0</v>
      </c>
      <c r="AB9" s="44">
        <f>IF(Определители!I9="9",ROUND((C9+E9)*(100-Начисления!M9/100)*('Форма по МДС 81-35.2004'!G96/100),0),0)</f>
        <v>0</v>
      </c>
      <c r="AC9" s="44">
        <f>IF(Определители!I9="9",ROUND(B9*Начисления!M9/100,0),0)</f>
        <v>0</v>
      </c>
      <c r="AD9" s="44">
        <f>IF(Определители!I9="9",ROUND(B9*(100-Начисления!M9)/100,0),0)</f>
        <v>0</v>
      </c>
      <c r="AE9" s="44">
        <f>ROUND('Форма по МДС 81-35.2004'!F82*'Базовые цены за единицу'!AE9,0)</f>
        <v>0</v>
      </c>
    </row>
    <row r="10" spans="1:31" x14ac:dyDescent="0.15">
      <c r="A10" s="48" t="str">
        <f>'Форма по МДС 81-35.2004'!A103</f>
        <v>5.</v>
      </c>
      <c r="B10" s="48">
        <f t="shared" si="0"/>
        <v>0</v>
      </c>
      <c r="C10" s="48">
        <f>ROUND(SUMIF('Форма по МДС 81-35.2004'!M103:M119,"Г",'Форма по МДС 81-35.2004'!H103:H119),0)</f>
        <v>0</v>
      </c>
      <c r="D10" s="48">
        <f>ROUND(SUMIF('Форма по МДС 81-35.2004'!M103:M119,"IsMash",'Форма по МДС 81-35.2004'!H103:H119),0)</f>
        <v>0</v>
      </c>
      <c r="E10" s="48">
        <f>'Форма по МДС 81-35.2004'!H104</f>
        <v>0</v>
      </c>
      <c r="F10" s="48">
        <f>ROUND(SUMIF('Форма по МДС 81-35.2004'!M103:M119,"IsMater",'Форма по МДС 81-35.2004'!H103:H119),0)</f>
        <v>0</v>
      </c>
      <c r="G10" s="48">
        <f>ROUND('Форма по МДС 81-35.2004'!F103*'Базовые цены за единицу'!G10,0)</f>
        <v>0</v>
      </c>
      <c r="H10" s="48">
        <f>ROUND('Форма по МДС 81-35.2004'!F103*'Базовые цены за единицу'!H10,0)</f>
        <v>0</v>
      </c>
      <c r="I10" s="40">
        <f>ОКРУГЛВСЕ(SUMIF('Форма по МДС 81-35.2004'!M103:M119,"Г",'Форма по МДС 81-35.2004'!F103:F119),2)</f>
        <v>0</v>
      </c>
      <c r="J10" s="40">
        <f>ОКРУГЛВСЕ('Форма по МДС 81-35.2004'!F103*'Базовые цены за единицу'!J10,2)</f>
        <v>0</v>
      </c>
      <c r="K10" s="40">
        <f>ОКРУГЛВСЕ(SUMIF('Форма по МДС 81-35.2004'!M103:M119,"Ж",'Форма по МДС 81-35.2004'!F103:F119),2)</f>
        <v>0</v>
      </c>
      <c r="L10" s="48">
        <f>ROUND('Форма по МДС 81-35.2004'!F103*'Базовые цены за единицу'!L10,0)</f>
        <v>0</v>
      </c>
      <c r="M10" s="48">
        <f>ROUND('Форма по МДС 81-35.2004'!F103*'Базовые цены за единицу'!M10,0)</f>
        <v>0</v>
      </c>
      <c r="N10" s="48">
        <f>ROUND((C10+E10)*'Форма по МДС 81-35.2004'!G114/100,0)</f>
        <v>0</v>
      </c>
      <c r="O10" s="48">
        <f>ROUND((C10+E10)*'Форма по МДС 81-35.2004'!G117/100,0)</f>
        <v>0</v>
      </c>
      <c r="P10" s="48">
        <f>ROUND('Форма по МДС 81-35.2004'!F103*'Базовые цены за единицу'!P10,0)</f>
        <v>0</v>
      </c>
      <c r="Q10" s="48">
        <f>ROUND('Форма по МДС 81-35.2004'!F103*'Базовые цены за единицу'!Q10,0)</f>
        <v>0</v>
      </c>
      <c r="R10" s="48">
        <f>ROUND('Форма по МДС 81-35.2004'!F103*'Базовые цены за единицу'!R10,0)</f>
        <v>0</v>
      </c>
      <c r="S10" s="48">
        <f>ROUND('Форма по МДС 81-35.2004'!F103*'Базовые цены за единицу'!S10,0)</f>
        <v>0</v>
      </c>
      <c r="T10" s="48">
        <f>ROUND('Форма по МДС 81-35.2004'!F103*'Базовые цены за единицу'!T10,0)</f>
        <v>0</v>
      </c>
      <c r="U10" s="48">
        <f>ROUND('Форма по МДС 81-35.2004'!F103*'Базовые цены за единицу'!U10,0)</f>
        <v>0</v>
      </c>
      <c r="V10" s="48">
        <f>ROUND('Форма по МДС 81-35.2004'!F103*'Базовые цены за единицу'!V10,0)</f>
        <v>0</v>
      </c>
      <c r="X10" s="44">
        <f>ROUND('Форма по МДС 81-35.2004'!F103*'Базовые цены за единицу'!X10,0)</f>
        <v>0</v>
      </c>
      <c r="Y10" s="44">
        <f>IF(Определители!I10="9",ROUND((C10+E10)*(Начисления!M10/100)*('Форма по МДС 81-35.2004'!G114/100),0),0)</f>
        <v>0</v>
      </c>
      <c r="Z10" s="44">
        <f>IF(Определители!I10="9",ROUND((C10+E10)*(100-Начисления!M10/100)*('Форма по МДС 81-35.2004'!G114/100),0),0)</f>
        <v>0</v>
      </c>
      <c r="AA10" s="44">
        <f>IF(Определители!I10="9",ROUND((C10+E10)*(Начисления!M10/100)*('Форма по МДС 81-35.2004'!G117/100),0),0)</f>
        <v>0</v>
      </c>
      <c r="AB10" s="44">
        <f>IF(Определители!I10="9",ROUND((C10+E10)*(100-Начисления!M10/100)*('Форма по МДС 81-35.2004'!G117/100),0),0)</f>
        <v>0</v>
      </c>
      <c r="AC10" s="44">
        <f>IF(Определители!I10="9",ROUND(B10*Начисления!M10/100,0),0)</f>
        <v>0</v>
      </c>
      <c r="AD10" s="44">
        <f>IF(Определители!I10="9",ROUND(B10*(100-Начисления!M10)/100,0),0)</f>
        <v>0</v>
      </c>
      <c r="AE10" s="44">
        <f>ROUND('Форма по МДС 81-35.2004'!F103*'Базовые цены за единицу'!AE10,0)</f>
        <v>0</v>
      </c>
    </row>
    <row r="11" spans="1:31" x14ac:dyDescent="0.15">
      <c r="A11" s="48" t="str">
        <f>'Форма по МДС 81-35.2004'!A124</f>
        <v>6.</v>
      </c>
      <c r="B11" s="48">
        <f t="shared" si="0"/>
        <v>0</v>
      </c>
      <c r="C11" s="48">
        <f>ROUND(SUMIF('Форма по МДС 81-35.2004'!M124:M140,"Г",'Форма по МДС 81-35.2004'!H124:H140),0)</f>
        <v>0</v>
      </c>
      <c r="D11" s="48">
        <f>ROUND(SUMIF('Форма по МДС 81-35.2004'!M124:M140,"IsMash",'Форма по МДС 81-35.2004'!H124:H140),0)</f>
        <v>0</v>
      </c>
      <c r="E11" s="48">
        <f>'Форма по МДС 81-35.2004'!H125</f>
        <v>0</v>
      </c>
      <c r="F11" s="48">
        <f>ROUND(SUMIF('Форма по МДС 81-35.2004'!M124:M140,"IsMater",'Форма по МДС 81-35.2004'!H124:H140),0)</f>
        <v>0</v>
      </c>
      <c r="G11" s="48">
        <f>ROUND('Форма по МДС 81-35.2004'!F124*'Базовые цены за единицу'!G11,0)</f>
        <v>0</v>
      </c>
      <c r="H11" s="48">
        <f>ROUND('Форма по МДС 81-35.2004'!F124*'Базовые цены за единицу'!H11,0)</f>
        <v>0</v>
      </c>
      <c r="I11" s="40">
        <f>ОКРУГЛВСЕ(SUMIF('Форма по МДС 81-35.2004'!M124:M140,"Г",'Форма по МДС 81-35.2004'!F124:F140),2)</f>
        <v>0</v>
      </c>
      <c r="J11" s="40">
        <f>ОКРУГЛВСЕ('Форма по МДС 81-35.2004'!F124*'Базовые цены за единицу'!J11,2)</f>
        <v>0</v>
      </c>
      <c r="K11" s="40">
        <f>ОКРУГЛВСЕ(SUMIF('Форма по МДС 81-35.2004'!M124:M140,"Ж",'Форма по МДС 81-35.2004'!F124:F140),2)</f>
        <v>0</v>
      </c>
      <c r="L11" s="48">
        <f>ROUND('Форма по МДС 81-35.2004'!F124*'Базовые цены за единицу'!L11,0)</f>
        <v>0</v>
      </c>
      <c r="M11" s="48">
        <f>ROUND('Форма по МДС 81-35.2004'!F124*'Базовые цены за единицу'!M11,0)</f>
        <v>0</v>
      </c>
      <c r="N11" s="48">
        <f>ROUND((C11+E11)*'Форма по МДС 81-35.2004'!G135/100,0)</f>
        <v>0</v>
      </c>
      <c r="O11" s="48">
        <f>ROUND((C11+E11)*'Форма по МДС 81-35.2004'!G138/100,0)</f>
        <v>0</v>
      </c>
      <c r="P11" s="48">
        <f>ROUND('Форма по МДС 81-35.2004'!F124*'Базовые цены за единицу'!P11,0)</f>
        <v>0</v>
      </c>
      <c r="Q11" s="48">
        <f>ROUND('Форма по МДС 81-35.2004'!F124*'Базовые цены за единицу'!Q11,0)</f>
        <v>0</v>
      </c>
      <c r="R11" s="48">
        <f>ROUND('Форма по МДС 81-35.2004'!F124*'Базовые цены за единицу'!R11,0)</f>
        <v>0</v>
      </c>
      <c r="S11" s="48">
        <f>ROUND('Форма по МДС 81-35.2004'!F124*'Базовые цены за единицу'!S11,0)</f>
        <v>0</v>
      </c>
      <c r="T11" s="48">
        <f>ROUND('Форма по МДС 81-35.2004'!F124*'Базовые цены за единицу'!T11,0)</f>
        <v>0</v>
      </c>
      <c r="U11" s="48">
        <f>ROUND('Форма по МДС 81-35.2004'!F124*'Базовые цены за единицу'!U11,0)</f>
        <v>0</v>
      </c>
      <c r="V11" s="48">
        <f>ROUND('Форма по МДС 81-35.2004'!F124*'Базовые цены за единицу'!V11,0)</f>
        <v>0</v>
      </c>
      <c r="X11" s="44">
        <f>ROUND('Форма по МДС 81-35.2004'!F124*'Базовые цены за единицу'!X11,0)</f>
        <v>0</v>
      </c>
      <c r="Y11" s="44">
        <f>IF(Определители!I11="9",ROUND((C11+E11)*(Начисления!M11/100)*('Форма по МДС 81-35.2004'!G135/100),0),0)</f>
        <v>0</v>
      </c>
      <c r="Z11" s="44">
        <f>IF(Определители!I11="9",ROUND((C11+E11)*(100-Начисления!M11/100)*('Форма по МДС 81-35.2004'!G135/100),0),0)</f>
        <v>0</v>
      </c>
      <c r="AA11" s="44">
        <f>IF(Определители!I11="9",ROUND((C11+E11)*(Начисления!M11/100)*('Форма по МДС 81-35.2004'!G138/100),0),0)</f>
        <v>0</v>
      </c>
      <c r="AB11" s="44">
        <f>IF(Определители!I11="9",ROUND((C11+E11)*(100-Начисления!M11/100)*('Форма по МДС 81-35.2004'!G138/100),0),0)</f>
        <v>0</v>
      </c>
      <c r="AC11" s="44">
        <f>IF(Определители!I11="9",ROUND(B11*Начисления!M11/100,0),0)</f>
        <v>0</v>
      </c>
      <c r="AD11" s="44">
        <f>IF(Определители!I11="9",ROUND(B11*(100-Начисления!M11)/100,0),0)</f>
        <v>0</v>
      </c>
      <c r="AE11" s="44">
        <f>ROUND('Форма по МДС 81-35.2004'!F124*'Базовые цены за единицу'!AE11,0)</f>
        <v>0</v>
      </c>
    </row>
    <row r="12" spans="1:31" x14ac:dyDescent="0.15">
      <c r="A12" s="48" t="str">
        <f>'Форма по МДС 81-35.2004'!A145</f>
        <v>7.</v>
      </c>
      <c r="B12" s="48">
        <f t="shared" si="0"/>
        <v>0</v>
      </c>
      <c r="C12" s="48">
        <f>ROUND(SUMIF('Форма по МДС 81-35.2004'!M145:M155,"Г",'Форма по МДС 81-35.2004'!H145:H155),0)</f>
        <v>0</v>
      </c>
      <c r="D12" s="48">
        <f>ROUND(SUMIF('Форма по МДС 81-35.2004'!M145:M155,"IsMash",'Форма по МДС 81-35.2004'!H145:H155),0)</f>
        <v>0</v>
      </c>
      <c r="E12" s="48">
        <f>'Форма по МДС 81-35.2004'!H146</f>
        <v>0</v>
      </c>
      <c r="F12" s="48">
        <f>ROUND(SUMIF('Форма по МДС 81-35.2004'!M145:M155,"IsMater",'Форма по МДС 81-35.2004'!H145:H155),0)</f>
        <v>0</v>
      </c>
      <c r="G12" s="48">
        <f>ROUND('Форма по МДС 81-35.2004'!F145*'Базовые цены за единицу'!G12,0)</f>
        <v>0</v>
      </c>
      <c r="H12" s="48">
        <f>ROUND('Форма по МДС 81-35.2004'!F145*'Базовые цены за единицу'!H12,0)</f>
        <v>0</v>
      </c>
      <c r="I12" s="40">
        <f>ОКРУГЛВСЕ(SUMIF('Форма по МДС 81-35.2004'!M145:M155,"Г",'Форма по МДС 81-35.2004'!F145:F155),2)</f>
        <v>0</v>
      </c>
      <c r="J12" s="40">
        <f>ОКРУГЛВСЕ('Форма по МДС 81-35.2004'!F145*'Базовые цены за единицу'!J12,2)</f>
        <v>0</v>
      </c>
      <c r="K12" s="40">
        <f>ОКРУГЛВСЕ(SUMIF('Форма по МДС 81-35.2004'!M145:M155,"Ж",'Форма по МДС 81-35.2004'!F145:F155),2)</f>
        <v>0</v>
      </c>
      <c r="L12" s="48">
        <f>ROUND('Форма по МДС 81-35.2004'!F145*'Базовые цены за единицу'!L12,0)</f>
        <v>0</v>
      </c>
      <c r="M12" s="48">
        <f>ROUND('Форма по МДС 81-35.2004'!F145*'Базовые цены за единицу'!M12,0)</f>
        <v>0</v>
      </c>
      <c r="N12" s="48">
        <f>ROUND('Форма по МДС 81-35.2004'!F145*'Базовые цены за единицу'!N12,0)</f>
        <v>0</v>
      </c>
      <c r="O12" s="48">
        <f>ROUND('Форма по МДС 81-35.2004'!F145*'Базовые цены за единицу'!O12,0)</f>
        <v>0</v>
      </c>
      <c r="P12" s="48">
        <f>ROUND('Форма по МДС 81-35.2004'!F145*'Базовые цены за единицу'!P12,0)</f>
        <v>0</v>
      </c>
      <c r="Q12" s="48">
        <f>ROUND('Форма по МДС 81-35.2004'!F145*'Базовые цены за единицу'!Q12,0)</f>
        <v>0</v>
      </c>
      <c r="R12" s="48">
        <f>ROUND('Форма по МДС 81-35.2004'!F145*'Базовые цены за единицу'!R12,0)</f>
        <v>0</v>
      </c>
      <c r="S12" s="48">
        <f>ROUND('Форма по МДС 81-35.2004'!F145*'Базовые цены за единицу'!S12,0)</f>
        <v>0</v>
      </c>
      <c r="T12" s="48">
        <f>ROUND('Форма по МДС 81-35.2004'!F145*'Базовые цены за единицу'!T12,0)</f>
        <v>0</v>
      </c>
      <c r="U12" s="48">
        <f>ROUND('Форма по МДС 81-35.2004'!F145*'Базовые цены за единицу'!U12,0)</f>
        <v>0</v>
      </c>
      <c r="V12" s="48">
        <f>ROUND('Форма по МДС 81-35.2004'!F145*'Базовые цены за единицу'!V12,0)</f>
        <v>0</v>
      </c>
      <c r="X12" s="44">
        <f>ROUND('Форма по МДС 81-35.2004'!F145*'Базовые цены за единицу'!X12,0)</f>
        <v>0</v>
      </c>
      <c r="Y12" s="44">
        <f>ROUND('Форма по МДС 81-35.2004'!F145*'Базовые цены за единицу'!Y12,0)</f>
        <v>0</v>
      </c>
      <c r="Z12" s="44">
        <f>ROUND('Форма по МДС 81-35.2004'!F145*'Базовые цены за единицу'!Z12,0)</f>
        <v>0</v>
      </c>
      <c r="AA12" s="44">
        <f>ROUND('Форма по МДС 81-35.2004'!F145*'Базовые цены за единицу'!AA12,0)</f>
        <v>0</v>
      </c>
      <c r="AB12" s="44">
        <f>ROUND('Форма по МДС 81-35.2004'!F145*'Базовые цены за единицу'!AB12,0)</f>
        <v>0</v>
      </c>
      <c r="AC12" s="44">
        <f>ROUND('Форма по МДС 81-35.2004'!F145*'Базовые цены за единицу'!AC12,0)</f>
        <v>0</v>
      </c>
      <c r="AD12" s="44">
        <f>ROUND('Форма по МДС 81-35.2004'!F145*'Базовые цены за единицу'!AD12,0)</f>
        <v>0</v>
      </c>
      <c r="AE12" s="44">
        <f>ROUND('Форма по МДС 81-35.2004'!F145*'Базовые цены за единицу'!AE12,0)</f>
        <v>0</v>
      </c>
    </row>
    <row r="13" spans="1:31" x14ac:dyDescent="0.15">
      <c r="A13" s="48" t="str">
        <f>'Форма по МДС 81-35.2004'!A160</f>
        <v>8.</v>
      </c>
      <c r="B13" s="48">
        <f>'Форма по МДС 81-35.2004'!H160</f>
        <v>0</v>
      </c>
      <c r="C13" s="48">
        <f>ROUND(SUMIF('Форма по МДС 81-35.2004'!M160:M171,"Г",'Форма по МДС 81-35.2004'!H160:H171),0)</f>
        <v>0</v>
      </c>
      <c r="D13" s="48">
        <f>ROUND(SUMIF('Форма по МДС 81-35.2004'!M160:M171,"IsMash",'Форма по МДС 81-35.2004'!H160:H171),0)</f>
        <v>0</v>
      </c>
      <c r="E13" s="48">
        <f>'Форма по МДС 81-35.2004'!H161</f>
        <v>0</v>
      </c>
      <c r="F13" s="48">
        <f>ROUND(SUMIF('Форма по МДС 81-35.2004'!M160:M171,"IsMater",'Форма по МДС 81-35.2004'!H160:H171),0)</f>
        <v>0</v>
      </c>
      <c r="G13" s="48">
        <f>ROUND('Форма по МДС 81-35.2004'!F160*'Базовые цены за единицу'!G13,0)</f>
        <v>0</v>
      </c>
      <c r="H13" s="48">
        <f>ROUND('Форма по МДС 81-35.2004'!F160*'Базовые цены за единицу'!H13,0)</f>
        <v>0</v>
      </c>
      <c r="I13" s="40">
        <f>ОКРУГЛВСЕ(SUMIF('Форма по МДС 81-35.2004'!M160:M171,"Г",'Форма по МДС 81-35.2004'!F160:F171),2)</f>
        <v>0</v>
      </c>
      <c r="J13" s="40">
        <f>ОКРУГЛВСЕ('Форма по МДС 81-35.2004'!F160*'Базовые цены за единицу'!J13,2)</f>
        <v>0</v>
      </c>
      <c r="K13" s="40">
        <f>ОКРУГЛВСЕ(SUMIF('Форма по МДС 81-35.2004'!M160:M171,"Ж",'Форма по МДС 81-35.2004'!F160:F171),2)</f>
        <v>0</v>
      </c>
      <c r="L13" s="48">
        <f>ROUND('Форма по МДС 81-35.2004'!F160*'Базовые цены за единицу'!L13,0)</f>
        <v>0</v>
      </c>
      <c r="M13" s="48">
        <f>ROUND('Форма по МДС 81-35.2004'!F160*'Базовые цены за единицу'!M13,0)</f>
        <v>0</v>
      </c>
      <c r="N13" s="48">
        <f>ROUND('Форма по МДС 81-35.2004'!F160*'Базовые цены за единицу'!N13,0)</f>
        <v>0</v>
      </c>
      <c r="O13" s="48">
        <f>ROUND('Форма по МДС 81-35.2004'!F160*'Базовые цены за единицу'!O13,0)</f>
        <v>0</v>
      </c>
      <c r="P13" s="48">
        <f>ROUND('Форма по МДС 81-35.2004'!F160*'Базовые цены за единицу'!P13,0)</f>
        <v>0</v>
      </c>
      <c r="Q13" s="48">
        <f>ROUND('Форма по МДС 81-35.2004'!F160*'Базовые цены за единицу'!Q13,0)</f>
        <v>0</v>
      </c>
      <c r="R13" s="48">
        <f>ROUND('Форма по МДС 81-35.2004'!F160*'Базовые цены за единицу'!R13,0)</f>
        <v>0</v>
      </c>
      <c r="S13" s="48">
        <f>ROUND('Форма по МДС 81-35.2004'!F160*'Базовые цены за единицу'!S13,0)</f>
        <v>0</v>
      </c>
      <c r="T13" s="48">
        <f>ROUND('Форма по МДС 81-35.2004'!F160*'Базовые цены за единицу'!T13,0)</f>
        <v>0</v>
      </c>
      <c r="U13" s="48">
        <f>ROUND('Форма по МДС 81-35.2004'!F160*'Базовые цены за единицу'!U13,0)</f>
        <v>0</v>
      </c>
      <c r="V13" s="48">
        <f>ROUND('Форма по МДС 81-35.2004'!F160*'Базовые цены за единицу'!V13,0)</f>
        <v>0</v>
      </c>
      <c r="X13" s="44">
        <f>ROUND('Форма по МДС 81-35.2004'!F160*'Базовые цены за единицу'!X13,0)</f>
        <v>0</v>
      </c>
      <c r="Y13" s="44">
        <f>ROUND('Форма по МДС 81-35.2004'!F160*'Базовые цены за единицу'!Y13,0)</f>
        <v>0</v>
      </c>
      <c r="Z13" s="44">
        <f>ROUND('Форма по МДС 81-35.2004'!F160*'Базовые цены за единицу'!Z13,0)</f>
        <v>0</v>
      </c>
      <c r="AA13" s="44">
        <f>ROUND('Форма по МДС 81-35.2004'!F160*'Базовые цены за единицу'!AA13,0)</f>
        <v>0</v>
      </c>
      <c r="AB13" s="44">
        <f>ROUND('Форма по МДС 81-35.2004'!F160*'Базовые цены за единицу'!AB13,0)</f>
        <v>0</v>
      </c>
      <c r="AC13" s="44">
        <f>ROUND('Форма по МДС 81-35.2004'!F160*'Базовые цены за единицу'!AC13,0)</f>
        <v>0</v>
      </c>
      <c r="AD13" s="44">
        <f>ROUND('Форма по МДС 81-35.2004'!F160*'Базовые цены за единицу'!AD13,0)</f>
        <v>0</v>
      </c>
      <c r="AE13" s="44">
        <f>ROUND('Форма по МДС 81-35.2004'!F160*'Базовые цены за единицу'!AE13,0)</f>
        <v>0</v>
      </c>
    </row>
    <row r="14" spans="1:31" x14ac:dyDescent="0.15">
      <c r="A14" s="48" t="str">
        <f>'Форма по МДС 81-35.2004'!A176</f>
        <v>9.</v>
      </c>
      <c r="B14" s="48">
        <f>'Форма по МДС 81-35.2004'!H176</f>
        <v>0</v>
      </c>
      <c r="C14" s="48">
        <f>ROUND(SUMIF('Форма по МДС 81-35.2004'!M176:M196,"Г",'Форма по МДС 81-35.2004'!H176:H196),0)</f>
        <v>0</v>
      </c>
      <c r="D14" s="48">
        <f>ROUND(SUMIF('Форма по МДС 81-35.2004'!M176:M196,"IsMash",'Форма по МДС 81-35.2004'!H176:H196),0)</f>
        <v>0</v>
      </c>
      <c r="E14" s="48">
        <f>'Форма по МДС 81-35.2004'!H178</f>
        <v>0</v>
      </c>
      <c r="F14" s="48">
        <f>ROUND(SUMIF('Форма по МДС 81-35.2004'!M176:M196,"IsMater",'Форма по МДС 81-35.2004'!H176:H196),0)</f>
        <v>0</v>
      </c>
      <c r="G14" s="48">
        <f>ROUND('Форма по МДС 81-35.2004'!F176*'Базовые цены за единицу'!G14,0)</f>
        <v>0</v>
      </c>
      <c r="H14" s="48">
        <f>ROUND('Форма по МДС 81-35.2004'!F176*'Базовые цены за единицу'!H14,0)</f>
        <v>0</v>
      </c>
      <c r="I14" s="40">
        <f>ОКРУГЛВСЕ(SUMIF('Форма по МДС 81-35.2004'!M176:M196,"Г",'Форма по МДС 81-35.2004'!F176:F196),2)</f>
        <v>0</v>
      </c>
      <c r="J14" s="40">
        <f>ОКРУГЛВСЕ('Форма по МДС 81-35.2004'!F176*'Базовые цены за единицу'!J14,2)</f>
        <v>0</v>
      </c>
      <c r="K14" s="40">
        <f>ОКРУГЛВСЕ(SUMIF('Форма по МДС 81-35.2004'!M176:M196,"Ж",'Форма по МДС 81-35.2004'!F176:F196),2)</f>
        <v>0</v>
      </c>
      <c r="L14" s="48">
        <f>ROUND('Форма по МДС 81-35.2004'!F176*'Базовые цены за единицу'!L14,0)</f>
        <v>0</v>
      </c>
      <c r="M14" s="48">
        <f>ROUND('Форма по МДС 81-35.2004'!F176*'Базовые цены за единицу'!M14,0)</f>
        <v>0</v>
      </c>
      <c r="N14" s="48">
        <f>ROUND(E14*'Форма по МДС 81-35.2004'!G190/100,0)</f>
        <v>0</v>
      </c>
      <c r="O14" s="48">
        <f>ROUND(E14*'Форма по МДС 81-35.2004'!G193/100,0)</f>
        <v>0</v>
      </c>
      <c r="P14" s="48">
        <f>ROUND('Форма по МДС 81-35.2004'!F176*'Базовые цены за единицу'!P14,0)</f>
        <v>0</v>
      </c>
      <c r="Q14" s="48">
        <f>ROUND('Форма по МДС 81-35.2004'!F176*'Базовые цены за единицу'!Q14,0)</f>
        <v>0</v>
      </c>
      <c r="R14" s="48">
        <f>ROUND('Форма по МДС 81-35.2004'!F176*'Базовые цены за единицу'!R14,0)</f>
        <v>0</v>
      </c>
      <c r="S14" s="48">
        <f>ROUND('Форма по МДС 81-35.2004'!F176*'Базовые цены за единицу'!S14,0)</f>
        <v>0</v>
      </c>
      <c r="T14" s="48">
        <f>ROUND('Форма по МДС 81-35.2004'!F176*'Базовые цены за единицу'!T14,0)</f>
        <v>0</v>
      </c>
      <c r="U14" s="48">
        <f>ROUND('Форма по МДС 81-35.2004'!F176*'Базовые цены за единицу'!U14,0)</f>
        <v>0</v>
      </c>
      <c r="V14" s="48">
        <f>ROUND('Форма по МДС 81-35.2004'!F176*'Базовые цены за единицу'!V14,0)</f>
        <v>0</v>
      </c>
      <c r="X14" s="44">
        <f>ROUND('Форма по МДС 81-35.2004'!F176*'Базовые цены за единицу'!X14,0)</f>
        <v>0</v>
      </c>
      <c r="Y14" s="44">
        <f>IF(Определители!I14="9",ROUND(E14*(Начисления!M14/100)*'Форма по МДС 81-35.2004'!G190/100,0),0)</f>
        <v>0</v>
      </c>
      <c r="Z14" s="44">
        <f>IF(Определители!I14="9",ROUND(E14*(100-Начисления!M14/100)*'Форма по МДС 81-35.2004'!G190/100,0),0)</f>
        <v>0</v>
      </c>
      <c r="AA14" s="44">
        <f>IF(Определители!I14="9",ROUND(E14*(Начисления!M14/100)*'Форма по МДС 81-35.2004'!G193/100,0),0)</f>
        <v>0</v>
      </c>
      <c r="AB14" s="44">
        <f>IF(Определители!I14="9",ROUND(E14*(100-Начисления!M14/100)*'Форма по МДС 81-35.2004'!G193/100,0),0)</f>
        <v>0</v>
      </c>
      <c r="AC14" s="44">
        <f>IF(Определители!I14="9",ROUND(B14*Начисления!M14/100,0),0)</f>
        <v>0</v>
      </c>
      <c r="AD14" s="44">
        <f>IF(Определители!I14="9",ROUND(B14*(100-Начисления!M14)/100,0),0)</f>
        <v>0</v>
      </c>
      <c r="AE14" s="44">
        <f>ROUND('Форма по МДС 81-35.2004'!F176*'Базовые цены за единицу'!AE14,0)</f>
        <v>0</v>
      </c>
    </row>
    <row r="15" spans="1:31" x14ac:dyDescent="0.15">
      <c r="A15" s="48" t="str">
        <f>'Форма по МДС 81-35.2004'!A197</f>
        <v>10.</v>
      </c>
      <c r="B15" s="48">
        <f>'Форма по МДС 81-35.2004'!H197</f>
        <v>0</v>
      </c>
      <c r="C15" s="48">
        <f>ROUND(SUMIF('Форма по МДС 81-35.2004'!M197:M217,"Г",'Форма по МДС 81-35.2004'!H197:H217),0)</f>
        <v>0</v>
      </c>
      <c r="D15" s="48">
        <f>ROUND(SUMIF('Форма по МДС 81-35.2004'!M197:M217,"IsMash",'Форма по МДС 81-35.2004'!H197:H217),0)</f>
        <v>0</v>
      </c>
      <c r="E15" s="48">
        <f>'Форма по МДС 81-35.2004'!H199</f>
        <v>0</v>
      </c>
      <c r="F15" s="48">
        <f>ROUND(SUMIF('Форма по МДС 81-35.2004'!M197:M217,"IsMater",'Форма по МДС 81-35.2004'!H197:H217),0)</f>
        <v>0</v>
      </c>
      <c r="G15" s="48">
        <f>ROUND('Форма по МДС 81-35.2004'!F197*'Базовые цены за единицу'!G15,0)</f>
        <v>0</v>
      </c>
      <c r="H15" s="48">
        <f>ROUND('Форма по МДС 81-35.2004'!F197*'Базовые цены за единицу'!H15,0)</f>
        <v>0</v>
      </c>
      <c r="I15" s="40">
        <f>ОКРУГЛВСЕ(SUMIF('Форма по МДС 81-35.2004'!M197:M217,"Г",'Форма по МДС 81-35.2004'!F197:F217),2)</f>
        <v>0</v>
      </c>
      <c r="J15" s="40">
        <f>ОКРУГЛВСЕ('Форма по МДС 81-35.2004'!F197*'Базовые цены за единицу'!J15,2)</f>
        <v>0</v>
      </c>
      <c r="K15" s="40">
        <f>ОКРУГЛВСЕ(SUMIF('Форма по МДС 81-35.2004'!M197:M217,"Ж",'Форма по МДС 81-35.2004'!F197:F217),2)</f>
        <v>0</v>
      </c>
      <c r="L15" s="48">
        <f>ROUND('Форма по МДС 81-35.2004'!F197*'Базовые цены за единицу'!L15,0)</f>
        <v>0</v>
      </c>
      <c r="M15" s="48">
        <f>ROUND('Форма по МДС 81-35.2004'!F197*'Базовые цены за единицу'!M15,0)</f>
        <v>0</v>
      </c>
      <c r="N15" s="48">
        <f>ROUND((C15+E15)*'Форма по МДС 81-35.2004'!G211/100,0)</f>
        <v>0</v>
      </c>
      <c r="O15" s="48">
        <f>ROUND((C15+E15)*'Форма по МДС 81-35.2004'!G214/100,0)</f>
        <v>0</v>
      </c>
      <c r="P15" s="48">
        <f>ROUND('Форма по МДС 81-35.2004'!F197*'Базовые цены за единицу'!P15,0)</f>
        <v>0</v>
      </c>
      <c r="Q15" s="48">
        <f>ROUND('Форма по МДС 81-35.2004'!F197*'Базовые цены за единицу'!Q15,0)</f>
        <v>0</v>
      </c>
      <c r="R15" s="48">
        <f>ROUND('Форма по МДС 81-35.2004'!F197*'Базовые цены за единицу'!R15,0)</f>
        <v>0</v>
      </c>
      <c r="S15" s="48">
        <f>ROUND('Форма по МДС 81-35.2004'!F197*'Базовые цены за единицу'!S15,0)</f>
        <v>0</v>
      </c>
      <c r="T15" s="48">
        <f>ROUND('Форма по МДС 81-35.2004'!F197*'Базовые цены за единицу'!T15,0)</f>
        <v>0</v>
      </c>
      <c r="U15" s="48">
        <f>ROUND('Форма по МДС 81-35.2004'!F197*'Базовые цены за единицу'!U15,0)</f>
        <v>0</v>
      </c>
      <c r="V15" s="48">
        <f>ROUND('Форма по МДС 81-35.2004'!F197*'Базовые цены за единицу'!V15,0)</f>
        <v>0</v>
      </c>
      <c r="X15" s="44">
        <f>ROUND('Форма по МДС 81-35.2004'!F197*'Базовые цены за единицу'!X15,0)</f>
        <v>0</v>
      </c>
      <c r="Y15" s="44">
        <f>IF(Определители!I15="9",ROUND((C15+E15)*(Начисления!M15/100)*('Форма по МДС 81-35.2004'!G211/100),0),0)</f>
        <v>0</v>
      </c>
      <c r="Z15" s="44">
        <f>IF(Определители!I15="9",ROUND((C15+E15)*(100-Начисления!M15/100)*('Форма по МДС 81-35.2004'!G211/100),0),0)</f>
        <v>0</v>
      </c>
      <c r="AA15" s="44">
        <f>IF(Определители!I15="9",ROUND((C15+E15)*(Начисления!M15/100)*('Форма по МДС 81-35.2004'!G214/100),0),0)</f>
        <v>0</v>
      </c>
      <c r="AB15" s="44">
        <f>IF(Определители!I15="9",ROUND((C15+E15)*(100-Начисления!M15/100)*('Форма по МДС 81-35.2004'!G214/100),0),0)</f>
        <v>0</v>
      </c>
      <c r="AC15" s="44">
        <f>IF(Определители!I15="9",ROUND(B15*Начисления!M15/100,0),0)</f>
        <v>0</v>
      </c>
      <c r="AD15" s="44">
        <f>IF(Определители!I15="9",ROUND(B15*(100-Начисления!M15)/100,0),0)</f>
        <v>0</v>
      </c>
      <c r="AE15" s="44">
        <f>ROUND('Форма по МДС 81-35.2004'!F197*'Базовые цены за единицу'!AE15,0)</f>
        <v>0</v>
      </c>
    </row>
    <row r="16" spans="1:31" x14ac:dyDescent="0.15">
      <c r="A16" s="48" t="str">
        <f>'Форма по МДС 81-35.2004'!A218</f>
        <v>11.</v>
      </c>
      <c r="B16" s="48">
        <f>'Форма по МДС 81-35.2004'!H218</f>
        <v>0</v>
      </c>
      <c r="C16" s="48">
        <f>ROUND(SUMIF('Форма по МДС 81-35.2004'!M218:M238,"Г",'Форма по МДС 81-35.2004'!H218:H238),0)</f>
        <v>0</v>
      </c>
      <c r="D16" s="48">
        <f>ROUND(SUMIF('Форма по МДС 81-35.2004'!M218:M238,"IsMash",'Форма по МДС 81-35.2004'!H218:H238),0)</f>
        <v>0</v>
      </c>
      <c r="E16" s="48">
        <f>'Форма по МДС 81-35.2004'!H220</f>
        <v>0</v>
      </c>
      <c r="F16" s="48">
        <f>ROUND(SUMIF('Форма по МДС 81-35.2004'!M218:M238,"IsMater",'Форма по МДС 81-35.2004'!H218:H238),0)</f>
        <v>0</v>
      </c>
      <c r="G16" s="48">
        <f>ROUND('Форма по МДС 81-35.2004'!F218*'Базовые цены за единицу'!G16,0)</f>
        <v>0</v>
      </c>
      <c r="H16" s="48">
        <f>ROUND('Форма по МДС 81-35.2004'!F218*'Базовые цены за единицу'!H16,0)</f>
        <v>0</v>
      </c>
      <c r="I16" s="40">
        <f>ОКРУГЛВСЕ(SUMIF('Форма по МДС 81-35.2004'!M218:M238,"Г",'Форма по МДС 81-35.2004'!F218:F238),2)</f>
        <v>0</v>
      </c>
      <c r="J16" s="40">
        <f>ОКРУГЛВСЕ('Форма по МДС 81-35.2004'!F218*'Базовые цены за единицу'!J16,2)</f>
        <v>0</v>
      </c>
      <c r="K16" s="40">
        <f>ОКРУГЛВСЕ(SUMIF('Форма по МДС 81-35.2004'!M218:M238,"Ж",'Форма по МДС 81-35.2004'!F218:F238),2)</f>
        <v>0</v>
      </c>
      <c r="L16" s="48">
        <f>ROUND('Форма по МДС 81-35.2004'!F218*'Базовые цены за единицу'!L16,0)</f>
        <v>0</v>
      </c>
      <c r="M16" s="48">
        <f>ROUND('Форма по МДС 81-35.2004'!F218*'Базовые цены за единицу'!M16,0)</f>
        <v>0</v>
      </c>
      <c r="N16" s="48">
        <f>ROUND((C16+E16)*'Форма по МДС 81-35.2004'!G232/100,0)</f>
        <v>0</v>
      </c>
      <c r="O16" s="48">
        <f>ROUND((C16+E16)*'Форма по МДС 81-35.2004'!G235/100,0)</f>
        <v>0</v>
      </c>
      <c r="P16" s="48">
        <f>ROUND('Форма по МДС 81-35.2004'!F218*'Базовые цены за единицу'!P16,0)</f>
        <v>0</v>
      </c>
      <c r="Q16" s="48">
        <f>ROUND('Форма по МДС 81-35.2004'!F218*'Базовые цены за единицу'!Q16,0)</f>
        <v>0</v>
      </c>
      <c r="R16" s="48">
        <f>ROUND('Форма по МДС 81-35.2004'!F218*'Базовые цены за единицу'!R16,0)</f>
        <v>0</v>
      </c>
      <c r="S16" s="48">
        <f>ROUND('Форма по МДС 81-35.2004'!F218*'Базовые цены за единицу'!S16,0)</f>
        <v>0</v>
      </c>
      <c r="T16" s="48">
        <f>ROUND('Форма по МДС 81-35.2004'!F218*'Базовые цены за единицу'!T16,0)</f>
        <v>0</v>
      </c>
      <c r="U16" s="48">
        <f>ROUND('Форма по МДС 81-35.2004'!F218*'Базовые цены за единицу'!U16,0)</f>
        <v>0</v>
      </c>
      <c r="V16" s="48">
        <f>ROUND('Форма по МДС 81-35.2004'!F218*'Базовые цены за единицу'!V16,0)</f>
        <v>0</v>
      </c>
      <c r="X16" s="44">
        <f>ROUND('Форма по МДС 81-35.2004'!F218*'Базовые цены за единицу'!X16,0)</f>
        <v>0</v>
      </c>
      <c r="Y16" s="44">
        <f>IF(Определители!I16="9",ROUND((C16+E16)*(Начисления!M16/100)*('Форма по МДС 81-35.2004'!G232/100),0),0)</f>
        <v>0</v>
      </c>
      <c r="Z16" s="44">
        <f>IF(Определители!I16="9",ROUND((C16+E16)*(100-Начисления!M16/100)*('Форма по МДС 81-35.2004'!G232/100),0),0)</f>
        <v>0</v>
      </c>
      <c r="AA16" s="44">
        <f>IF(Определители!I16="9",ROUND((C16+E16)*(Начисления!M16/100)*('Форма по МДС 81-35.2004'!G235/100),0),0)</f>
        <v>0</v>
      </c>
      <c r="AB16" s="44">
        <f>IF(Определители!I16="9",ROUND((C16+E16)*(100-Начисления!M16/100)*('Форма по МДС 81-35.2004'!G235/100),0),0)</f>
        <v>0</v>
      </c>
      <c r="AC16" s="44">
        <f>IF(Определители!I16="9",ROUND(B16*Начисления!M16/100,0),0)</f>
        <v>0</v>
      </c>
      <c r="AD16" s="44">
        <f>IF(Определители!I16="9",ROUND(B16*(100-Начисления!M16)/100,0),0)</f>
        <v>0</v>
      </c>
      <c r="AE16" s="44">
        <f>ROUND('Форма по МДС 81-35.2004'!F218*'Базовые цены за единицу'!AE16,0)</f>
        <v>0</v>
      </c>
    </row>
    <row r="17" spans="1:31" x14ac:dyDescent="0.15">
      <c r="A17" s="48" t="str">
        <f>'Форма по МДС 81-35.2004'!A239</f>
        <v>12.</v>
      </c>
      <c r="B17" s="48">
        <f>'Форма по МДС 81-35.2004'!H239</f>
        <v>0</v>
      </c>
      <c r="C17" s="48">
        <f>ROUND(SUMIF('Форма по МДС 81-35.2004'!M239:M286,"Г",'Форма по МДС 81-35.2004'!H239:H286),0)</f>
        <v>0</v>
      </c>
      <c r="D17" s="48">
        <f>ROUND(SUMIF('Форма по МДС 81-35.2004'!M239:M286,"IsMash",'Форма по МДС 81-35.2004'!H239:H286),0)</f>
        <v>0</v>
      </c>
      <c r="E17" s="48">
        <f>'Форма по МДС 81-35.2004'!H241</f>
        <v>0</v>
      </c>
      <c r="F17" s="48">
        <f>ROUND(SUMIF('Форма по МДС 81-35.2004'!M239:M286,"IsMater",'Форма по МДС 81-35.2004'!H239:H286),0)</f>
        <v>0</v>
      </c>
      <c r="G17" s="48">
        <f>ROUND('Форма по МДС 81-35.2004'!F239*'Базовые цены за единицу'!G17,0)</f>
        <v>0</v>
      </c>
      <c r="H17" s="48">
        <f>ROUND('Форма по МДС 81-35.2004'!F239*'Базовые цены за единицу'!H17,0)</f>
        <v>0</v>
      </c>
      <c r="I17" s="40">
        <f>ОКРУГЛВСЕ(SUMIF('Форма по МДС 81-35.2004'!M239:M286,"Г",'Форма по МДС 81-35.2004'!F239:F286),2)</f>
        <v>0</v>
      </c>
      <c r="J17" s="40">
        <f>ОКРУГЛВСЕ('Форма по МДС 81-35.2004'!F239*'Базовые цены за единицу'!J17,2)</f>
        <v>0</v>
      </c>
      <c r="K17" s="40">
        <f>ОКРУГЛВСЕ(SUMIF('Форма по МДС 81-35.2004'!M239:M286,"Ж",'Форма по МДС 81-35.2004'!F239:F286),2)</f>
        <v>0</v>
      </c>
      <c r="L17" s="48">
        <f>ROUND('Форма по МДС 81-35.2004'!F239*'Базовые цены за единицу'!L17,0)</f>
        <v>0</v>
      </c>
      <c r="M17" s="48">
        <f>ROUND('Форма по МДС 81-35.2004'!F239*'Базовые цены за единицу'!M17,0)</f>
        <v>0</v>
      </c>
      <c r="N17" s="48">
        <f>ROUND((C17+E17)*'Форма по МДС 81-35.2004'!G280/100,0)</f>
        <v>0</v>
      </c>
      <c r="O17" s="48">
        <f>ROUND((C17+E17)*'Форма по МДС 81-35.2004'!G283/100,0)</f>
        <v>0</v>
      </c>
      <c r="P17" s="48">
        <f>ROUND('Форма по МДС 81-35.2004'!F239*'Базовые цены за единицу'!P17,0)</f>
        <v>0</v>
      </c>
      <c r="Q17" s="48">
        <f>ROUND('Форма по МДС 81-35.2004'!F239*'Базовые цены за единицу'!Q17,0)</f>
        <v>0</v>
      </c>
      <c r="R17" s="48">
        <f>ROUND('Форма по МДС 81-35.2004'!F239*'Базовые цены за единицу'!R17,0)</f>
        <v>0</v>
      </c>
      <c r="S17" s="48">
        <f>ROUND('Форма по МДС 81-35.2004'!F239*'Базовые цены за единицу'!S17,0)</f>
        <v>0</v>
      </c>
      <c r="T17" s="48">
        <f>ROUND('Форма по МДС 81-35.2004'!F239*'Базовые цены за единицу'!T17,0)</f>
        <v>0</v>
      </c>
      <c r="U17" s="48">
        <f>ROUND('Форма по МДС 81-35.2004'!F239*'Базовые цены за единицу'!U17,0)</f>
        <v>0</v>
      </c>
      <c r="V17" s="48">
        <f>ROUND('Форма по МДС 81-35.2004'!F239*'Базовые цены за единицу'!V17,0)</f>
        <v>0</v>
      </c>
      <c r="X17" s="44">
        <f>ROUND('Форма по МДС 81-35.2004'!F239*'Базовые цены за единицу'!X17,0)</f>
        <v>0</v>
      </c>
      <c r="Y17" s="44">
        <f>IF(Определители!I17="9",ROUND((C17+E17)*(Начисления!M17/100)*('Форма по МДС 81-35.2004'!G280/100),0),0)</f>
        <v>0</v>
      </c>
      <c r="Z17" s="44">
        <f>IF(Определители!I17="9",ROUND((C17+E17)*(100-Начисления!M17/100)*('Форма по МДС 81-35.2004'!G280/100),0),0)</f>
        <v>0</v>
      </c>
      <c r="AA17" s="44">
        <f>IF(Определители!I17="9",ROUND((C17+E17)*(Начисления!M17/100)*('Форма по МДС 81-35.2004'!G283/100),0),0)</f>
        <v>0</v>
      </c>
      <c r="AB17" s="44">
        <f>IF(Определители!I17="9",ROUND((C17+E17)*(100-Начисления!M17/100)*('Форма по МДС 81-35.2004'!G283/100),0),0)</f>
        <v>0</v>
      </c>
      <c r="AC17" s="44">
        <f>IF(Определители!I17="9",ROUND(B17*Начисления!M17/100,0),0)</f>
        <v>0</v>
      </c>
      <c r="AD17" s="44">
        <f>IF(Определители!I17="9",ROUND(B17*(100-Начисления!M17)/100,0),0)</f>
        <v>0</v>
      </c>
      <c r="AE17" s="44">
        <f>ROUND('Форма по МДС 81-35.2004'!F239*'Базовые цены за единицу'!AE17,0)</f>
        <v>0</v>
      </c>
    </row>
    <row r="18" spans="1:31" x14ac:dyDescent="0.15">
      <c r="A18" s="48" t="str">
        <f>'Форма по МДС 81-35.2004'!A287</f>
        <v>13.</v>
      </c>
      <c r="B18" s="48">
        <f>'Форма по МДС 81-35.2004'!H287</f>
        <v>0</v>
      </c>
      <c r="C18" s="48">
        <f>ROUND(SUMIF('Форма по МДС 81-35.2004'!M287:M308,"Г",'Форма по МДС 81-35.2004'!H287:H308),0)</f>
        <v>0</v>
      </c>
      <c r="D18" s="48">
        <f>ROUND(SUMIF('Форма по МДС 81-35.2004'!M287:M308,"IsMash",'Форма по МДС 81-35.2004'!H287:H308),0)</f>
        <v>0</v>
      </c>
      <c r="E18" s="48">
        <f>'Форма по МДС 81-35.2004'!H289</f>
        <v>0</v>
      </c>
      <c r="F18" s="48">
        <f>ROUND(SUMIF('Форма по МДС 81-35.2004'!M287:M308,"IsMater",'Форма по МДС 81-35.2004'!H287:H308),0)</f>
        <v>0</v>
      </c>
      <c r="G18" s="48">
        <f>ROUND('Форма по МДС 81-35.2004'!F287*'Базовые цены за единицу'!G18,0)</f>
        <v>0</v>
      </c>
      <c r="H18" s="48">
        <f>ROUND('Форма по МДС 81-35.2004'!F287*'Базовые цены за единицу'!H18,0)</f>
        <v>0</v>
      </c>
      <c r="I18" s="40">
        <f>ОКРУГЛВСЕ(SUMIF('Форма по МДС 81-35.2004'!M287:M308,"Г",'Форма по МДС 81-35.2004'!F287:F308),2)</f>
        <v>0</v>
      </c>
      <c r="J18" s="40">
        <f>ОКРУГЛВСЕ('Форма по МДС 81-35.2004'!F287*'Базовые цены за единицу'!J18,2)</f>
        <v>0</v>
      </c>
      <c r="K18" s="40">
        <f>ОКРУГЛВСЕ(SUMIF('Форма по МДС 81-35.2004'!M287:M308,"Ж",'Форма по МДС 81-35.2004'!F287:F308),2)</f>
        <v>0</v>
      </c>
      <c r="L18" s="48">
        <f>ROUND('Форма по МДС 81-35.2004'!F287*'Базовые цены за единицу'!L18,0)</f>
        <v>0</v>
      </c>
      <c r="M18" s="48">
        <f>ROUND('Форма по МДС 81-35.2004'!F287*'Базовые цены за единицу'!M18,0)</f>
        <v>0</v>
      </c>
      <c r="N18" s="48">
        <f>ROUND((C18+E18)*'Форма по МДС 81-35.2004'!G302/100,0)</f>
        <v>0</v>
      </c>
      <c r="O18" s="48">
        <f>ROUND((C18+E18)*'Форма по МДС 81-35.2004'!G305/100,0)</f>
        <v>0</v>
      </c>
      <c r="P18" s="48">
        <f>ROUND('Форма по МДС 81-35.2004'!F287*'Базовые цены за единицу'!P18,0)</f>
        <v>0</v>
      </c>
      <c r="Q18" s="48">
        <f>ROUND('Форма по МДС 81-35.2004'!F287*'Базовые цены за единицу'!Q18,0)</f>
        <v>0</v>
      </c>
      <c r="R18" s="48">
        <f>ROUND('Форма по МДС 81-35.2004'!F287*'Базовые цены за единицу'!R18,0)</f>
        <v>0</v>
      </c>
      <c r="S18" s="48">
        <f>ROUND('Форма по МДС 81-35.2004'!F287*'Базовые цены за единицу'!S18,0)</f>
        <v>0</v>
      </c>
      <c r="T18" s="48">
        <f>ROUND('Форма по МДС 81-35.2004'!F287*'Базовые цены за единицу'!T18,0)</f>
        <v>0</v>
      </c>
      <c r="U18" s="48">
        <f>ROUND('Форма по МДС 81-35.2004'!F287*'Базовые цены за единицу'!U18,0)</f>
        <v>0</v>
      </c>
      <c r="V18" s="48">
        <f>ROUND('Форма по МДС 81-35.2004'!F287*'Базовые цены за единицу'!V18,0)</f>
        <v>0</v>
      </c>
      <c r="X18" s="44">
        <f>ROUND('Форма по МДС 81-35.2004'!F287*'Базовые цены за единицу'!X18,0)</f>
        <v>0</v>
      </c>
      <c r="Y18" s="44">
        <f>IF(Определители!I18="9",ROUND((C18+E18)*(Начисления!M18/100)*('Форма по МДС 81-35.2004'!G302/100),0),0)</f>
        <v>0</v>
      </c>
      <c r="Z18" s="44">
        <f>IF(Определители!I18="9",ROUND((C18+E18)*(100-Начисления!M18/100)*('Форма по МДС 81-35.2004'!G302/100),0),0)</f>
        <v>0</v>
      </c>
      <c r="AA18" s="44">
        <f>IF(Определители!I18="9",ROUND((C18+E18)*(Начисления!M18/100)*('Форма по МДС 81-35.2004'!G305/100),0),0)</f>
        <v>0</v>
      </c>
      <c r="AB18" s="44">
        <f>IF(Определители!I18="9",ROUND((C18+E18)*(100-Начисления!M18/100)*('Форма по МДС 81-35.2004'!G305/100),0),0)</f>
        <v>0</v>
      </c>
      <c r="AC18" s="44">
        <f>IF(Определители!I18="9",ROUND(B18*Начисления!M18/100,0),0)</f>
        <v>0</v>
      </c>
      <c r="AD18" s="44">
        <f>IF(Определители!I18="9",ROUND(B18*(100-Начисления!M18)/100,0),0)</f>
        <v>0</v>
      </c>
      <c r="AE18" s="44">
        <f>ROUND('Форма по МДС 81-35.2004'!F287*'Базовые цены за единицу'!AE18,0)</f>
        <v>0</v>
      </c>
    </row>
    <row r="19" spans="1:31" x14ac:dyDescent="0.15">
      <c r="A19" s="48" t="str">
        <f>'Форма по МДС 81-35.2004'!A309</f>
        <v>14.</v>
      </c>
      <c r="B19" s="48">
        <f>'Форма по МДС 81-35.2004'!H309</f>
        <v>0</v>
      </c>
      <c r="C19" s="48">
        <f>ROUND(SUMIF('Форма по МДС 81-35.2004'!M309:M326,"Г",'Форма по МДС 81-35.2004'!H309:H326),0)</f>
        <v>0</v>
      </c>
      <c r="D19" s="48">
        <f>ROUND(SUMIF('Форма по МДС 81-35.2004'!M309:M326,"IsMash",'Форма по МДС 81-35.2004'!H309:H326),0)</f>
        <v>0</v>
      </c>
      <c r="E19" s="48">
        <f>'Форма по МДС 81-35.2004'!H310</f>
        <v>0</v>
      </c>
      <c r="F19" s="48">
        <f>ROUND(SUMIF('Форма по МДС 81-35.2004'!M309:M326,"IsMater",'Форма по МДС 81-35.2004'!H309:H326),0)</f>
        <v>0</v>
      </c>
      <c r="G19" s="48">
        <f>ROUND('Форма по МДС 81-35.2004'!F309*'Базовые цены за единицу'!G19,0)</f>
        <v>0</v>
      </c>
      <c r="H19" s="48">
        <f>ROUND('Форма по МДС 81-35.2004'!F309*'Базовые цены за единицу'!H19,0)</f>
        <v>0</v>
      </c>
      <c r="I19" s="40">
        <f>ОКРУГЛВСЕ(SUMIF('Форма по МДС 81-35.2004'!M309:M326,"Г",'Форма по МДС 81-35.2004'!F309:F326),2)</f>
        <v>0</v>
      </c>
      <c r="J19" s="40">
        <f>ОКРУГЛВСЕ('Форма по МДС 81-35.2004'!F309*'Базовые цены за единицу'!J19,2)</f>
        <v>0</v>
      </c>
      <c r="K19" s="40">
        <f>ОКРУГЛВСЕ(SUMIF('Форма по МДС 81-35.2004'!M309:M326,"Ж",'Форма по МДС 81-35.2004'!F309:F326),2)</f>
        <v>0</v>
      </c>
      <c r="L19" s="48">
        <f>ROUND('Форма по МДС 81-35.2004'!F309*'Базовые цены за единицу'!L19,0)</f>
        <v>0</v>
      </c>
      <c r="M19" s="48">
        <f>ROUND('Форма по МДС 81-35.2004'!F309*'Базовые цены за единицу'!M19,0)</f>
        <v>0</v>
      </c>
      <c r="N19" s="48">
        <f>ROUND((C19+E19)*'Форма по МДС 81-35.2004'!G321/100,0)</f>
        <v>0</v>
      </c>
      <c r="O19" s="48">
        <f>ROUND((C19+E19)*'Форма по МДС 81-35.2004'!G324/100,0)</f>
        <v>0</v>
      </c>
      <c r="P19" s="48">
        <f>ROUND('Форма по МДС 81-35.2004'!F309*'Базовые цены за единицу'!P19,0)</f>
        <v>0</v>
      </c>
      <c r="Q19" s="48">
        <f>ROUND('Форма по МДС 81-35.2004'!F309*'Базовые цены за единицу'!Q19,0)</f>
        <v>0</v>
      </c>
      <c r="R19" s="48">
        <f>ROUND('Форма по МДС 81-35.2004'!F309*'Базовые цены за единицу'!R19,0)</f>
        <v>0</v>
      </c>
      <c r="S19" s="48">
        <f>ROUND('Форма по МДС 81-35.2004'!F309*'Базовые цены за единицу'!S19,0)</f>
        <v>0</v>
      </c>
      <c r="T19" s="48">
        <f>ROUND('Форма по МДС 81-35.2004'!F309*'Базовые цены за единицу'!T19,0)</f>
        <v>0</v>
      </c>
      <c r="U19" s="48">
        <f>ROUND('Форма по МДС 81-35.2004'!F309*'Базовые цены за единицу'!U19,0)</f>
        <v>0</v>
      </c>
      <c r="V19" s="48">
        <f>ROUND('Форма по МДС 81-35.2004'!F309*'Базовые цены за единицу'!V19,0)</f>
        <v>0</v>
      </c>
      <c r="X19" s="44">
        <f>ROUND('Форма по МДС 81-35.2004'!F309*'Базовые цены за единицу'!X19,0)</f>
        <v>0</v>
      </c>
      <c r="Y19" s="44">
        <f>IF(Определители!I19="9",ROUND((C19+E19)*(Начисления!M19/100)*('Форма по МДС 81-35.2004'!G321/100),0),0)</f>
        <v>0</v>
      </c>
      <c r="Z19" s="44">
        <f>IF(Определители!I19="9",ROUND((C19+E19)*(100-Начисления!M19/100)*('Форма по МДС 81-35.2004'!G321/100),0),0)</f>
        <v>0</v>
      </c>
      <c r="AA19" s="44">
        <f>IF(Определители!I19="9",ROUND((C19+E19)*(Начисления!M19/100)*('Форма по МДС 81-35.2004'!G324/100),0),0)</f>
        <v>0</v>
      </c>
      <c r="AB19" s="44">
        <f>IF(Определители!I19="9",ROUND((C19+E19)*(100-Начисления!M19/100)*('Форма по МДС 81-35.2004'!G324/100),0),0)</f>
        <v>0</v>
      </c>
      <c r="AC19" s="44">
        <f>IF(Определители!I19="9",ROUND(B19*Начисления!M19/100,0),0)</f>
        <v>0</v>
      </c>
      <c r="AD19" s="44">
        <f>IF(Определители!I19="9",ROUND(B19*(100-Начисления!M19)/100,0),0)</f>
        <v>0</v>
      </c>
      <c r="AE19" s="44">
        <f>ROUND('Форма по МДС 81-35.2004'!F309*'Базовые цены за единицу'!AE19,0)</f>
        <v>0</v>
      </c>
    </row>
    <row r="20" spans="1:31" x14ac:dyDescent="0.15">
      <c r="A20" s="48" t="str">
        <f>'Форма по МДС 81-35.2004'!A327</f>
        <v>15.</v>
      </c>
      <c r="B20" s="48">
        <f>'Форма по МДС 81-35.2004'!H327</f>
        <v>0</v>
      </c>
      <c r="C20" s="48">
        <f>ROUND(SUMIF('Форма по МДС 81-35.2004'!M327:M347,"Г",'Форма по МДС 81-35.2004'!H327:H347),0)</f>
        <v>0</v>
      </c>
      <c r="D20" s="48">
        <f>ROUND(SUMIF('Форма по МДС 81-35.2004'!M327:M347,"IsMash",'Форма по МДС 81-35.2004'!H327:H347),0)</f>
        <v>0</v>
      </c>
      <c r="E20" s="48">
        <f>'Форма по МДС 81-35.2004'!H329</f>
        <v>0</v>
      </c>
      <c r="F20" s="48">
        <f>ROUND(SUMIF('Форма по МДС 81-35.2004'!M327:M347,"IsMater",'Форма по МДС 81-35.2004'!H327:H347),0)</f>
        <v>0</v>
      </c>
      <c r="G20" s="48">
        <f>ROUND('Форма по МДС 81-35.2004'!F327*'Базовые цены за единицу'!G20,0)</f>
        <v>0</v>
      </c>
      <c r="H20" s="48">
        <f>ROUND('Форма по МДС 81-35.2004'!F327*'Базовые цены за единицу'!H20,0)</f>
        <v>0</v>
      </c>
      <c r="I20" s="40">
        <f>ОКРУГЛВСЕ(SUMIF('Форма по МДС 81-35.2004'!M327:M347,"Г",'Форма по МДС 81-35.2004'!F327:F347),2)</f>
        <v>0</v>
      </c>
      <c r="J20" s="40">
        <f>ОКРУГЛВСЕ('Форма по МДС 81-35.2004'!F327*'Базовые цены за единицу'!J20,2)</f>
        <v>0</v>
      </c>
      <c r="K20" s="40">
        <f>ОКРУГЛВСЕ(SUMIF('Форма по МДС 81-35.2004'!M327:M347,"Ж",'Форма по МДС 81-35.2004'!F327:F347),2)</f>
        <v>0</v>
      </c>
      <c r="L20" s="48">
        <f>ROUND('Форма по МДС 81-35.2004'!F327*'Базовые цены за единицу'!L20,0)</f>
        <v>0</v>
      </c>
      <c r="M20" s="48">
        <f>ROUND('Форма по МДС 81-35.2004'!F327*'Базовые цены за единицу'!M20,0)</f>
        <v>0</v>
      </c>
      <c r="N20" s="48">
        <f>ROUND((C20+E20)*'Форма по МДС 81-35.2004'!G341/100,0)</f>
        <v>0</v>
      </c>
      <c r="O20" s="48">
        <f>ROUND((C20+E20)*'Форма по МДС 81-35.2004'!G344/100,0)</f>
        <v>0</v>
      </c>
      <c r="P20" s="48">
        <f>ROUND('Форма по МДС 81-35.2004'!F327*'Базовые цены за единицу'!P20,0)</f>
        <v>0</v>
      </c>
      <c r="Q20" s="48">
        <f>ROUND('Форма по МДС 81-35.2004'!F327*'Базовые цены за единицу'!Q20,0)</f>
        <v>0</v>
      </c>
      <c r="R20" s="48">
        <f>ROUND('Форма по МДС 81-35.2004'!F327*'Базовые цены за единицу'!R20,0)</f>
        <v>0</v>
      </c>
      <c r="S20" s="48">
        <f>ROUND('Форма по МДС 81-35.2004'!F327*'Базовые цены за единицу'!S20,0)</f>
        <v>0</v>
      </c>
      <c r="T20" s="48">
        <f>ROUND('Форма по МДС 81-35.2004'!F327*'Базовые цены за единицу'!T20,0)</f>
        <v>0</v>
      </c>
      <c r="U20" s="48">
        <f>ROUND('Форма по МДС 81-35.2004'!F327*'Базовые цены за единицу'!U20,0)</f>
        <v>0</v>
      </c>
      <c r="V20" s="48">
        <f>ROUND('Форма по МДС 81-35.2004'!F327*'Базовые цены за единицу'!V20,0)</f>
        <v>0</v>
      </c>
      <c r="X20" s="44">
        <f>ROUND('Форма по МДС 81-35.2004'!F327*'Базовые цены за единицу'!X20,0)</f>
        <v>0</v>
      </c>
      <c r="Y20" s="44">
        <f>IF(Определители!I20="9",ROUND((C20+E20)*(Начисления!M20/100)*('Форма по МДС 81-35.2004'!G341/100),0),0)</f>
        <v>0</v>
      </c>
      <c r="Z20" s="44">
        <f>IF(Определители!I20="9",ROUND((C20+E20)*(100-Начисления!M20/100)*('Форма по МДС 81-35.2004'!G341/100),0),0)</f>
        <v>0</v>
      </c>
      <c r="AA20" s="44">
        <f>IF(Определители!I20="9",ROUND((C20+E20)*(Начисления!M20/100)*('Форма по МДС 81-35.2004'!G344/100),0),0)</f>
        <v>0</v>
      </c>
      <c r="AB20" s="44">
        <f>IF(Определители!I20="9",ROUND((C20+E20)*(100-Начисления!M20/100)*('Форма по МДС 81-35.2004'!G344/100),0),0)</f>
        <v>0</v>
      </c>
      <c r="AC20" s="44">
        <f>IF(Определители!I20="9",ROUND(B20*Начисления!M20/100,0),0)</f>
        <v>0</v>
      </c>
      <c r="AD20" s="44">
        <f>IF(Определители!I20="9",ROUND(B20*(100-Начисления!M20)/100,0),0)</f>
        <v>0</v>
      </c>
      <c r="AE20" s="44">
        <f>ROUND('Форма по МДС 81-35.2004'!F327*'Базовые цены за единицу'!AE20,0)</f>
        <v>0</v>
      </c>
    </row>
    <row r="21" spans="1:31" x14ac:dyDescent="0.15">
      <c r="A21" s="48" t="str">
        <f>'Форма по МДС 81-35.2004'!A348</f>
        <v>16.</v>
      </c>
      <c r="B21" s="48">
        <f>'Форма по МДС 81-35.2004'!H348</f>
        <v>0</v>
      </c>
      <c r="C21" s="48">
        <f>ROUND(SUMIF('Форма по МДС 81-35.2004'!M348:M369,"Г",'Форма по МДС 81-35.2004'!H348:H369),0)</f>
        <v>0</v>
      </c>
      <c r="D21" s="48">
        <f>ROUND(SUMIF('Форма по МДС 81-35.2004'!M348:M369,"IsMash",'Форма по МДС 81-35.2004'!H348:H369),0)</f>
        <v>0</v>
      </c>
      <c r="E21" s="48">
        <f>'Форма по МДС 81-35.2004'!H350</f>
        <v>0</v>
      </c>
      <c r="F21" s="48">
        <f>ROUND(SUMIF('Форма по МДС 81-35.2004'!M348:M369,"IsMater",'Форма по МДС 81-35.2004'!H348:H369),0)</f>
        <v>0</v>
      </c>
      <c r="G21" s="48">
        <f>ROUND('Форма по МДС 81-35.2004'!F348*'Базовые цены за единицу'!G21,0)</f>
        <v>0</v>
      </c>
      <c r="H21" s="48">
        <f>ROUND('Форма по МДС 81-35.2004'!F348*'Базовые цены за единицу'!H21,0)</f>
        <v>0</v>
      </c>
      <c r="I21" s="40">
        <f>ОКРУГЛВСЕ(SUMIF('Форма по МДС 81-35.2004'!M348:M369,"Г",'Форма по МДС 81-35.2004'!F348:F369),2)</f>
        <v>0</v>
      </c>
      <c r="J21" s="40">
        <f>ОКРУГЛВСЕ('Форма по МДС 81-35.2004'!F348*'Базовые цены за единицу'!J21,2)</f>
        <v>0</v>
      </c>
      <c r="K21" s="40">
        <f>ОКРУГЛВСЕ(SUMIF('Форма по МДС 81-35.2004'!M348:M369,"Ж",'Форма по МДС 81-35.2004'!F348:F369),2)</f>
        <v>0</v>
      </c>
      <c r="L21" s="48">
        <f>ROUND('Форма по МДС 81-35.2004'!F348*'Базовые цены за единицу'!L21,0)</f>
        <v>0</v>
      </c>
      <c r="M21" s="48">
        <f>ROUND('Форма по МДС 81-35.2004'!F348*'Базовые цены за единицу'!M21,0)</f>
        <v>0</v>
      </c>
      <c r="N21" s="48">
        <f>ROUND((C21+E21)*'Форма по МДС 81-35.2004'!G363/100,0)</f>
        <v>0</v>
      </c>
      <c r="O21" s="48">
        <f>ROUND((C21+E21)*'Форма по МДС 81-35.2004'!G366/100,0)</f>
        <v>0</v>
      </c>
      <c r="P21" s="48">
        <f>ROUND('Форма по МДС 81-35.2004'!F348*'Базовые цены за единицу'!P21,0)</f>
        <v>0</v>
      </c>
      <c r="Q21" s="48">
        <f>ROUND('Форма по МДС 81-35.2004'!F348*'Базовые цены за единицу'!Q21,0)</f>
        <v>0</v>
      </c>
      <c r="R21" s="48">
        <f>ROUND('Форма по МДС 81-35.2004'!F348*'Базовые цены за единицу'!R21,0)</f>
        <v>0</v>
      </c>
      <c r="S21" s="48">
        <f>ROUND('Форма по МДС 81-35.2004'!F348*'Базовые цены за единицу'!S21,0)</f>
        <v>0</v>
      </c>
      <c r="T21" s="48">
        <f>ROUND('Форма по МДС 81-35.2004'!F348*'Базовые цены за единицу'!T21,0)</f>
        <v>0</v>
      </c>
      <c r="U21" s="48">
        <f>ROUND('Форма по МДС 81-35.2004'!F348*'Базовые цены за единицу'!U21,0)</f>
        <v>0</v>
      </c>
      <c r="V21" s="48">
        <f>ROUND('Форма по МДС 81-35.2004'!F348*'Базовые цены за единицу'!V21,0)</f>
        <v>0</v>
      </c>
      <c r="X21" s="44">
        <f>ROUND('Форма по МДС 81-35.2004'!F348*'Базовые цены за единицу'!X21,0)</f>
        <v>0</v>
      </c>
      <c r="Y21" s="44">
        <f>IF(Определители!I21="9",ROUND((C21+E21)*(Начисления!M21/100)*('Форма по МДС 81-35.2004'!G363/100),0),0)</f>
        <v>0</v>
      </c>
      <c r="Z21" s="44">
        <f>IF(Определители!I21="9",ROUND((C21+E21)*(100-Начисления!M21/100)*('Форма по МДС 81-35.2004'!G363/100),0),0)</f>
        <v>0</v>
      </c>
      <c r="AA21" s="44">
        <f>IF(Определители!I21="9",ROUND((C21+E21)*(Начисления!M21/100)*('Форма по МДС 81-35.2004'!G366/100),0),0)</f>
        <v>0</v>
      </c>
      <c r="AB21" s="44">
        <f>IF(Определители!I21="9",ROUND((C21+E21)*(100-Начисления!M21/100)*('Форма по МДС 81-35.2004'!G366/100),0),0)</f>
        <v>0</v>
      </c>
      <c r="AC21" s="44">
        <f>IF(Определители!I21="9",ROUND(B21*Начисления!M21/100,0),0)</f>
        <v>0</v>
      </c>
      <c r="AD21" s="44">
        <f>IF(Определители!I21="9",ROUND(B21*(100-Начисления!M21)/100,0),0)</f>
        <v>0</v>
      </c>
      <c r="AE21" s="44">
        <f>ROUND('Форма по МДС 81-35.2004'!F348*'Базовые цены за единицу'!AE21,0)</f>
        <v>0</v>
      </c>
    </row>
    <row r="22" spans="1:31" x14ac:dyDescent="0.15">
      <c r="A22" s="48" t="str">
        <f>'Форма по МДС 81-35.2004'!A370</f>
        <v>17.</v>
      </c>
      <c r="B22" s="48">
        <f>'Форма по МДС 81-35.2004'!H370</f>
        <v>0</v>
      </c>
      <c r="C22" s="48">
        <f>ROUND(SUMIF('Форма по МДС 81-35.2004'!M370:M402,"Г",'Форма по МДС 81-35.2004'!H370:H402),0)</f>
        <v>0</v>
      </c>
      <c r="D22" s="48">
        <f>ROUND(SUMIF('Форма по МДС 81-35.2004'!M370:M402,"IsMash",'Форма по МДС 81-35.2004'!H370:H402),0)</f>
        <v>0</v>
      </c>
      <c r="E22" s="48">
        <f>'Форма по МДС 81-35.2004'!H372</f>
        <v>0</v>
      </c>
      <c r="F22" s="48">
        <f>ROUND(SUMIF('Форма по МДС 81-35.2004'!M370:M402,"IsMater",'Форма по МДС 81-35.2004'!H370:H402),0)</f>
        <v>0</v>
      </c>
      <c r="G22" s="48">
        <f>ROUND('Форма по МДС 81-35.2004'!F370*'Базовые цены за единицу'!G22,0)</f>
        <v>0</v>
      </c>
      <c r="H22" s="48">
        <f>ROUND('Форма по МДС 81-35.2004'!F370*'Базовые цены за единицу'!H22,0)</f>
        <v>0</v>
      </c>
      <c r="I22" s="40">
        <f>ОКРУГЛВСЕ(SUMIF('Форма по МДС 81-35.2004'!M370:M402,"Г",'Форма по МДС 81-35.2004'!F370:F402),2)</f>
        <v>0</v>
      </c>
      <c r="J22" s="40">
        <f>ОКРУГЛВСЕ('Форма по МДС 81-35.2004'!F370*'Базовые цены за единицу'!J22,2)</f>
        <v>0</v>
      </c>
      <c r="K22" s="40">
        <f>ОКРУГЛВСЕ(SUMIF('Форма по МДС 81-35.2004'!M370:M402,"Ж",'Форма по МДС 81-35.2004'!F370:F402),2)</f>
        <v>0</v>
      </c>
      <c r="L22" s="48">
        <f>ROUND('Форма по МДС 81-35.2004'!F370*'Базовые цены за единицу'!L22,0)</f>
        <v>0</v>
      </c>
      <c r="M22" s="48">
        <f>ROUND('Форма по МДС 81-35.2004'!F370*'Базовые цены за единицу'!M22,0)</f>
        <v>0</v>
      </c>
      <c r="N22" s="48">
        <f>ROUND((C22+E22)*'Форма по МДС 81-35.2004'!G396/100,0)</f>
        <v>0</v>
      </c>
      <c r="O22" s="48">
        <f>ROUND((C22+E22)*'Форма по МДС 81-35.2004'!G399/100,0)</f>
        <v>0</v>
      </c>
      <c r="P22" s="48">
        <f>ROUND('Форма по МДС 81-35.2004'!F370*'Базовые цены за единицу'!P22,0)</f>
        <v>0</v>
      </c>
      <c r="Q22" s="48">
        <f>ROUND('Форма по МДС 81-35.2004'!F370*'Базовые цены за единицу'!Q22,0)</f>
        <v>0</v>
      </c>
      <c r="R22" s="48">
        <f>ROUND('Форма по МДС 81-35.2004'!F370*'Базовые цены за единицу'!R22,0)</f>
        <v>0</v>
      </c>
      <c r="S22" s="48">
        <f>ROUND('Форма по МДС 81-35.2004'!F370*'Базовые цены за единицу'!S22,0)</f>
        <v>0</v>
      </c>
      <c r="T22" s="48">
        <f>ROUND('Форма по МДС 81-35.2004'!F370*'Базовые цены за единицу'!T22,0)</f>
        <v>0</v>
      </c>
      <c r="U22" s="48">
        <f>ROUND('Форма по МДС 81-35.2004'!F370*'Базовые цены за единицу'!U22,0)</f>
        <v>0</v>
      </c>
      <c r="V22" s="48">
        <f>ROUND('Форма по МДС 81-35.2004'!F370*'Базовые цены за единицу'!V22,0)</f>
        <v>0</v>
      </c>
      <c r="X22" s="44">
        <f>ROUND('Форма по МДС 81-35.2004'!F370*'Базовые цены за единицу'!X22,0)</f>
        <v>0</v>
      </c>
      <c r="Y22" s="44">
        <f>IF(Определители!I22="9",ROUND((C22+E22)*(Начисления!M22/100)*('Форма по МДС 81-35.2004'!G396/100),0),0)</f>
        <v>0</v>
      </c>
      <c r="Z22" s="44">
        <f>IF(Определители!I22="9",ROUND((C22+E22)*(100-Начисления!M22/100)*('Форма по МДС 81-35.2004'!G396/100),0),0)</f>
        <v>0</v>
      </c>
      <c r="AA22" s="44">
        <f>IF(Определители!I22="9",ROUND((C22+E22)*(Начисления!M22/100)*('Форма по МДС 81-35.2004'!G399/100),0),0)</f>
        <v>0</v>
      </c>
      <c r="AB22" s="44">
        <f>IF(Определители!I22="9",ROUND((C22+E22)*(100-Начисления!M22/100)*('Форма по МДС 81-35.2004'!G399/100),0),0)</f>
        <v>0</v>
      </c>
      <c r="AC22" s="44">
        <f>IF(Определители!I22="9",ROUND(B22*Начисления!M22/100,0),0)</f>
        <v>0</v>
      </c>
      <c r="AD22" s="44">
        <f>IF(Определители!I22="9",ROUND(B22*(100-Начисления!M22)/100,0),0)</f>
        <v>0</v>
      </c>
      <c r="AE22" s="44">
        <f>ROUND('Форма по МДС 81-35.2004'!F370*'Базовые цены за единицу'!AE22,0)</f>
        <v>0</v>
      </c>
    </row>
    <row r="23" spans="1:31" x14ac:dyDescent="0.15">
      <c r="A23" s="48" t="str">
        <f>'Форма по МДС 81-35.2004'!A403</f>
        <v>18.</v>
      </c>
      <c r="B23" s="48">
        <f>'Форма по МДС 81-35.2004'!H403</f>
        <v>0</v>
      </c>
      <c r="C23" s="48">
        <f>ROUND(SUMIF('Форма по МДС 81-35.2004'!M403:M430,"Г",'Форма по МДС 81-35.2004'!H403:H430),0)</f>
        <v>0</v>
      </c>
      <c r="D23" s="48">
        <f>ROUND(SUMIF('Форма по МДС 81-35.2004'!M403:M430,"IsMash",'Форма по МДС 81-35.2004'!H403:H430),0)</f>
        <v>0</v>
      </c>
      <c r="E23" s="48">
        <f>'Форма по МДС 81-35.2004'!H405</f>
        <v>0</v>
      </c>
      <c r="F23" s="48">
        <f>ROUND(SUMIF('Форма по МДС 81-35.2004'!M403:M430,"IsMater",'Форма по МДС 81-35.2004'!H403:H430),0)</f>
        <v>0</v>
      </c>
      <c r="G23" s="48">
        <f>ROUND('Форма по МДС 81-35.2004'!F403*'Базовые цены за единицу'!G23,0)</f>
        <v>0</v>
      </c>
      <c r="H23" s="48">
        <f>ROUND('Форма по МДС 81-35.2004'!F403*'Базовые цены за единицу'!H23,0)</f>
        <v>0</v>
      </c>
      <c r="I23" s="40">
        <f>ОКРУГЛВСЕ(SUMIF('Форма по МДС 81-35.2004'!M403:M430,"Г",'Форма по МДС 81-35.2004'!F403:F430),2)</f>
        <v>0</v>
      </c>
      <c r="J23" s="40">
        <f>ОКРУГЛВСЕ('Форма по МДС 81-35.2004'!F403*'Базовые цены за единицу'!J23,2)</f>
        <v>0</v>
      </c>
      <c r="K23" s="40">
        <f>ОКРУГЛВСЕ(SUMIF('Форма по МДС 81-35.2004'!M403:M430,"Ж",'Форма по МДС 81-35.2004'!F403:F430),2)</f>
        <v>0</v>
      </c>
      <c r="L23" s="48">
        <f>ROUND('Форма по МДС 81-35.2004'!F403*'Базовые цены за единицу'!L23,0)</f>
        <v>0</v>
      </c>
      <c r="M23" s="48">
        <f>ROUND('Форма по МДС 81-35.2004'!F403*'Базовые цены за единицу'!M23,0)</f>
        <v>0</v>
      </c>
      <c r="N23" s="48">
        <f>ROUND((C23+E23)*'Форма по МДС 81-35.2004'!G424/100,0)</f>
        <v>0</v>
      </c>
      <c r="O23" s="48">
        <f>ROUND((C23+E23)*'Форма по МДС 81-35.2004'!G427/100,0)</f>
        <v>0</v>
      </c>
      <c r="P23" s="48">
        <f>ROUND('Форма по МДС 81-35.2004'!F403*'Базовые цены за единицу'!P23,0)</f>
        <v>0</v>
      </c>
      <c r="Q23" s="48">
        <f>ROUND('Форма по МДС 81-35.2004'!F403*'Базовые цены за единицу'!Q23,0)</f>
        <v>0</v>
      </c>
      <c r="R23" s="48">
        <f>ROUND('Форма по МДС 81-35.2004'!F403*'Базовые цены за единицу'!R23,0)</f>
        <v>0</v>
      </c>
      <c r="S23" s="48">
        <f>ROUND('Форма по МДС 81-35.2004'!F403*'Базовые цены за единицу'!S23,0)</f>
        <v>0</v>
      </c>
      <c r="T23" s="48">
        <f>ROUND('Форма по МДС 81-35.2004'!F403*'Базовые цены за единицу'!T23,0)</f>
        <v>0</v>
      </c>
      <c r="U23" s="48">
        <f>ROUND('Форма по МДС 81-35.2004'!F403*'Базовые цены за единицу'!U23,0)</f>
        <v>0</v>
      </c>
      <c r="V23" s="48">
        <f>ROUND('Форма по МДС 81-35.2004'!F403*'Базовые цены за единицу'!V23,0)</f>
        <v>0</v>
      </c>
      <c r="X23" s="44">
        <f>ROUND('Форма по МДС 81-35.2004'!F403*'Базовые цены за единицу'!X23,0)</f>
        <v>0</v>
      </c>
      <c r="Y23" s="44">
        <f>IF(Определители!I23="9",ROUND((C23+E23)*(Начисления!M23/100)*('Форма по МДС 81-35.2004'!G424/100),0),0)</f>
        <v>0</v>
      </c>
      <c r="Z23" s="44">
        <f>IF(Определители!I23="9",ROUND((C23+E23)*(100-Начисления!M23/100)*('Форма по МДС 81-35.2004'!G424/100),0),0)</f>
        <v>0</v>
      </c>
      <c r="AA23" s="44">
        <f>IF(Определители!I23="9",ROUND((C23+E23)*(Начисления!M23/100)*('Форма по МДС 81-35.2004'!G427/100),0),0)</f>
        <v>0</v>
      </c>
      <c r="AB23" s="44">
        <f>IF(Определители!I23="9",ROUND((C23+E23)*(100-Начисления!M23/100)*('Форма по МДС 81-35.2004'!G427/100),0),0)</f>
        <v>0</v>
      </c>
      <c r="AC23" s="44">
        <f>IF(Определители!I23="9",ROUND(B23*Начисления!M23/100,0),0)</f>
        <v>0</v>
      </c>
      <c r="AD23" s="44">
        <f>IF(Определители!I23="9",ROUND(B23*(100-Начисления!M23)/100,0),0)</f>
        <v>0</v>
      </c>
      <c r="AE23" s="44">
        <f>ROUND('Форма по МДС 81-35.2004'!F403*'Базовые цены за единицу'!AE23,0)</f>
        <v>0</v>
      </c>
    </row>
    <row r="24" spans="1:31" x14ac:dyDescent="0.15">
      <c r="A24" s="48" t="str">
        <f>'Форма по МДС 81-35.2004'!A431</f>
        <v>19.</v>
      </c>
      <c r="B24" s="48">
        <f>'Форма по МДС 81-35.2004'!H431</f>
        <v>0</v>
      </c>
      <c r="C24" s="48">
        <f>ROUND(SUMIF('Форма по МДС 81-35.2004'!M431:M448,"Г",'Форма по МДС 81-35.2004'!H431:H448),0)</f>
        <v>0</v>
      </c>
      <c r="D24" s="48">
        <f>ROUND(SUMIF('Форма по МДС 81-35.2004'!M431:M448,"IsMash",'Форма по МДС 81-35.2004'!H431:H448),0)</f>
        <v>0</v>
      </c>
      <c r="E24" s="48">
        <f>'Форма по МДС 81-35.2004'!H432</f>
        <v>0</v>
      </c>
      <c r="F24" s="48">
        <f>ROUND(SUMIF('Форма по МДС 81-35.2004'!M431:M448,"IsMater",'Форма по МДС 81-35.2004'!H431:H448),0)</f>
        <v>0</v>
      </c>
      <c r="G24" s="48">
        <f>ROUND('Форма по МДС 81-35.2004'!F431*'Базовые цены за единицу'!G24,0)</f>
        <v>0</v>
      </c>
      <c r="H24" s="48">
        <f>ROUND('Форма по МДС 81-35.2004'!F431*'Базовые цены за единицу'!H24,0)</f>
        <v>0</v>
      </c>
      <c r="I24" s="40">
        <f>ОКРУГЛВСЕ(SUMIF('Форма по МДС 81-35.2004'!M431:M448,"Г",'Форма по МДС 81-35.2004'!F431:F448),2)</f>
        <v>0</v>
      </c>
      <c r="J24" s="40">
        <f>ОКРУГЛВСЕ('Форма по МДС 81-35.2004'!F431*'Базовые цены за единицу'!J24,2)</f>
        <v>0</v>
      </c>
      <c r="K24" s="40">
        <f>ОКРУГЛВСЕ(SUMIF('Форма по МДС 81-35.2004'!M431:M448,"Ж",'Форма по МДС 81-35.2004'!F431:F448),2)</f>
        <v>0</v>
      </c>
      <c r="L24" s="48">
        <f>ROUND('Форма по МДС 81-35.2004'!F431*'Базовые цены за единицу'!L24,0)</f>
        <v>0</v>
      </c>
      <c r="M24" s="48">
        <f>ROUND('Форма по МДС 81-35.2004'!F431*'Базовые цены за единицу'!M24,0)</f>
        <v>0</v>
      </c>
      <c r="N24" s="48">
        <f>ROUND((C24+E24)*'Форма по МДС 81-35.2004'!G443/100,0)</f>
        <v>0</v>
      </c>
      <c r="O24" s="48">
        <f>ROUND((C24+E24)*'Форма по МДС 81-35.2004'!G446/100,0)</f>
        <v>0</v>
      </c>
      <c r="P24" s="48">
        <f>ROUND('Форма по МДС 81-35.2004'!F431*'Базовые цены за единицу'!P24,0)</f>
        <v>0</v>
      </c>
      <c r="Q24" s="48">
        <f>ROUND('Форма по МДС 81-35.2004'!F431*'Базовые цены за единицу'!Q24,0)</f>
        <v>0</v>
      </c>
      <c r="R24" s="48">
        <f>ROUND('Форма по МДС 81-35.2004'!F431*'Базовые цены за единицу'!R24,0)</f>
        <v>0</v>
      </c>
      <c r="S24" s="48">
        <f>ROUND('Форма по МДС 81-35.2004'!F431*'Базовые цены за единицу'!S24,0)</f>
        <v>0</v>
      </c>
      <c r="T24" s="48">
        <f>ROUND('Форма по МДС 81-35.2004'!F431*'Базовые цены за единицу'!T24,0)</f>
        <v>0</v>
      </c>
      <c r="U24" s="48">
        <f>ROUND('Форма по МДС 81-35.2004'!F431*'Базовые цены за единицу'!U24,0)</f>
        <v>0</v>
      </c>
      <c r="V24" s="48">
        <f>ROUND('Форма по МДС 81-35.2004'!F431*'Базовые цены за единицу'!V24,0)</f>
        <v>0</v>
      </c>
      <c r="X24" s="44">
        <f>ROUND('Форма по МДС 81-35.2004'!F431*'Базовые цены за единицу'!X24,0)</f>
        <v>0</v>
      </c>
      <c r="Y24" s="44">
        <f>IF(Определители!I24="9",ROUND((C24+E24)*(Начисления!M24/100)*('Форма по МДС 81-35.2004'!G443/100),0),0)</f>
        <v>0</v>
      </c>
      <c r="Z24" s="44">
        <f>IF(Определители!I24="9",ROUND((C24+E24)*(100-Начисления!M24/100)*('Форма по МДС 81-35.2004'!G443/100),0),0)</f>
        <v>0</v>
      </c>
      <c r="AA24" s="44">
        <f>IF(Определители!I24="9",ROUND((C24+E24)*(Начисления!M24/100)*('Форма по МДС 81-35.2004'!G446/100),0),0)</f>
        <v>0</v>
      </c>
      <c r="AB24" s="44">
        <f>IF(Определители!I24="9",ROUND((C24+E24)*(100-Начисления!M24/100)*('Форма по МДС 81-35.2004'!G446/100),0),0)</f>
        <v>0</v>
      </c>
      <c r="AC24" s="44">
        <f>IF(Определители!I24="9",ROUND(B24*Начисления!M24/100,0),0)</f>
        <v>0</v>
      </c>
      <c r="AD24" s="44">
        <f>IF(Определители!I24="9",ROUND(B24*(100-Начисления!M24)/100,0),0)</f>
        <v>0</v>
      </c>
      <c r="AE24" s="44">
        <f>ROUND('Форма по МДС 81-35.2004'!F431*'Базовые цены за единицу'!AE24,0)</f>
        <v>0</v>
      </c>
    </row>
    <row r="25" spans="1:31" x14ac:dyDescent="0.15">
      <c r="A25" s="48" t="str">
        <f>'Форма по МДС 81-35.2004'!A449</f>
        <v>20.</v>
      </c>
      <c r="B25" s="48">
        <f>'Форма по МДС 81-35.2004'!H449</f>
        <v>0</v>
      </c>
      <c r="C25" s="48">
        <f>ROUND(SUMIF('Форма по МДС 81-35.2004'!M449:M472,"Г",'Форма по МДС 81-35.2004'!H449:H472),0)</f>
        <v>0</v>
      </c>
      <c r="D25" s="48">
        <f>ROUND(SUMIF('Форма по МДС 81-35.2004'!M449:M472,"IsMash",'Форма по МДС 81-35.2004'!H449:H472),0)</f>
        <v>0</v>
      </c>
      <c r="E25" s="48">
        <f>'Форма по МДС 81-35.2004'!H451</f>
        <v>0</v>
      </c>
      <c r="F25" s="48">
        <f>ROUND(SUMIF('Форма по МДС 81-35.2004'!M449:M472,"IsMater",'Форма по МДС 81-35.2004'!H449:H472),0)</f>
        <v>0</v>
      </c>
      <c r="G25" s="48">
        <f>ROUND('Форма по МДС 81-35.2004'!F449*'Базовые цены за единицу'!G25,0)</f>
        <v>0</v>
      </c>
      <c r="H25" s="48">
        <f>ROUND('Форма по МДС 81-35.2004'!F449*'Базовые цены за единицу'!H25,0)</f>
        <v>0</v>
      </c>
      <c r="I25" s="40">
        <f>ОКРУГЛВСЕ(SUMIF('Форма по МДС 81-35.2004'!M449:M472,"Г",'Форма по МДС 81-35.2004'!F449:F472),2)</f>
        <v>0</v>
      </c>
      <c r="J25" s="40">
        <f>ОКРУГЛВСЕ('Форма по МДС 81-35.2004'!F449*'Базовые цены за единицу'!J25,2)</f>
        <v>0</v>
      </c>
      <c r="K25" s="40">
        <f>ОКРУГЛВСЕ(SUMIF('Форма по МДС 81-35.2004'!M449:M472,"Ж",'Форма по МДС 81-35.2004'!F449:F472),2)</f>
        <v>0</v>
      </c>
      <c r="L25" s="48">
        <f>ROUND('Форма по МДС 81-35.2004'!F449*'Базовые цены за единицу'!L25,0)</f>
        <v>0</v>
      </c>
      <c r="M25" s="48">
        <f>ROUND('Форма по МДС 81-35.2004'!F449*'Базовые цены за единицу'!M25,0)</f>
        <v>0</v>
      </c>
      <c r="N25" s="48">
        <f>ROUND((C25+E25)*'Форма по МДС 81-35.2004'!G466/100,0)</f>
        <v>0</v>
      </c>
      <c r="O25" s="48">
        <f>ROUND((C25+E25)*'Форма по МДС 81-35.2004'!G469/100,0)</f>
        <v>0</v>
      </c>
      <c r="P25" s="48">
        <f>ROUND('Форма по МДС 81-35.2004'!F449*'Базовые цены за единицу'!P25,0)</f>
        <v>0</v>
      </c>
      <c r="Q25" s="48">
        <f>ROUND('Форма по МДС 81-35.2004'!F449*'Базовые цены за единицу'!Q25,0)</f>
        <v>0</v>
      </c>
      <c r="R25" s="48">
        <f>ROUND('Форма по МДС 81-35.2004'!F449*'Базовые цены за единицу'!R25,0)</f>
        <v>0</v>
      </c>
      <c r="S25" s="48">
        <f>ROUND('Форма по МДС 81-35.2004'!F449*'Базовые цены за единицу'!S25,0)</f>
        <v>0</v>
      </c>
      <c r="T25" s="48">
        <f>ROUND('Форма по МДС 81-35.2004'!F449*'Базовые цены за единицу'!T25,0)</f>
        <v>0</v>
      </c>
      <c r="U25" s="48">
        <f>ROUND('Форма по МДС 81-35.2004'!F449*'Базовые цены за единицу'!U25,0)</f>
        <v>0</v>
      </c>
      <c r="V25" s="48">
        <f>ROUND('Форма по МДС 81-35.2004'!F449*'Базовые цены за единицу'!V25,0)</f>
        <v>0</v>
      </c>
      <c r="X25" s="44">
        <f>ROUND('Форма по МДС 81-35.2004'!F449*'Базовые цены за единицу'!X25,0)</f>
        <v>0</v>
      </c>
      <c r="Y25" s="44">
        <f>IF(Определители!I25="9",ROUND((C25+E25)*(Начисления!M25/100)*('Форма по МДС 81-35.2004'!G466/100),0),0)</f>
        <v>0</v>
      </c>
      <c r="Z25" s="44">
        <f>IF(Определители!I25="9",ROUND((C25+E25)*(100-Начисления!M25/100)*('Форма по МДС 81-35.2004'!G466/100),0),0)</f>
        <v>0</v>
      </c>
      <c r="AA25" s="44">
        <f>IF(Определители!I25="9",ROUND((C25+E25)*(Начисления!M25/100)*('Форма по МДС 81-35.2004'!G469/100),0),0)</f>
        <v>0</v>
      </c>
      <c r="AB25" s="44">
        <f>IF(Определители!I25="9",ROUND((C25+E25)*(100-Начисления!M25/100)*('Форма по МДС 81-35.2004'!G469/100),0),0)</f>
        <v>0</v>
      </c>
      <c r="AC25" s="44">
        <f>IF(Определители!I25="9",ROUND(B25*Начисления!M25/100,0),0)</f>
        <v>0</v>
      </c>
      <c r="AD25" s="44">
        <f>IF(Определители!I25="9",ROUND(B25*(100-Начисления!M25)/100,0),0)</f>
        <v>0</v>
      </c>
      <c r="AE25" s="44">
        <f>ROUND('Форма по МДС 81-35.2004'!F449*'Базовые цены за единицу'!AE25,0)</f>
        <v>0</v>
      </c>
    </row>
    <row r="26" spans="1:31" x14ac:dyDescent="0.15">
      <c r="A26" s="48" t="str">
        <f>'Форма по МДС 81-35.2004'!A473</f>
        <v>21.</v>
      </c>
      <c r="B26" s="48">
        <f>'Форма по МДС 81-35.2004'!H473</f>
        <v>0</v>
      </c>
      <c r="C26" s="48">
        <f>ROUND(SUMIF('Форма по МДС 81-35.2004'!M473:M490,"Г",'Форма по МДС 81-35.2004'!H473:H490),0)</f>
        <v>0</v>
      </c>
      <c r="D26" s="48">
        <f>ROUND(SUMIF('Форма по МДС 81-35.2004'!M473:M490,"IsMash",'Форма по МДС 81-35.2004'!H473:H490),0)</f>
        <v>0</v>
      </c>
      <c r="E26" s="48">
        <f>'Форма по МДС 81-35.2004'!H474</f>
        <v>0</v>
      </c>
      <c r="F26" s="48">
        <f>ROUND(SUMIF('Форма по МДС 81-35.2004'!M473:M490,"IsMater",'Форма по МДС 81-35.2004'!H473:H490),0)</f>
        <v>0</v>
      </c>
      <c r="G26" s="48">
        <f>ROUND('Форма по МДС 81-35.2004'!F473*'Базовые цены за единицу'!G26,0)</f>
        <v>0</v>
      </c>
      <c r="H26" s="48">
        <f>ROUND('Форма по МДС 81-35.2004'!F473*'Базовые цены за единицу'!H26,0)</f>
        <v>0</v>
      </c>
      <c r="I26" s="40">
        <f>ОКРУГЛВСЕ(SUMIF('Форма по МДС 81-35.2004'!M473:M490,"Г",'Форма по МДС 81-35.2004'!F473:F490),2)</f>
        <v>0</v>
      </c>
      <c r="J26" s="40">
        <f>ОКРУГЛВСЕ('Форма по МДС 81-35.2004'!F473*'Базовые цены за единицу'!J26,2)</f>
        <v>0</v>
      </c>
      <c r="K26" s="40">
        <f>ОКРУГЛВСЕ(SUMIF('Форма по МДС 81-35.2004'!M473:M490,"Ж",'Форма по МДС 81-35.2004'!F473:F490),2)</f>
        <v>0</v>
      </c>
      <c r="L26" s="48">
        <f>ROUND('Форма по МДС 81-35.2004'!F473*'Базовые цены за единицу'!L26,0)</f>
        <v>0</v>
      </c>
      <c r="M26" s="48">
        <f>ROUND('Форма по МДС 81-35.2004'!F473*'Базовые цены за единицу'!M26,0)</f>
        <v>0</v>
      </c>
      <c r="N26" s="48">
        <f>ROUND((C26+E26)*'Форма по МДС 81-35.2004'!G485/100,0)</f>
        <v>0</v>
      </c>
      <c r="O26" s="48">
        <f>ROUND((C26+E26)*'Форма по МДС 81-35.2004'!G488/100,0)</f>
        <v>0</v>
      </c>
      <c r="P26" s="48">
        <f>ROUND('Форма по МДС 81-35.2004'!F473*'Базовые цены за единицу'!P26,0)</f>
        <v>0</v>
      </c>
      <c r="Q26" s="48">
        <f>ROUND('Форма по МДС 81-35.2004'!F473*'Базовые цены за единицу'!Q26,0)</f>
        <v>0</v>
      </c>
      <c r="R26" s="48">
        <f>ROUND('Форма по МДС 81-35.2004'!F473*'Базовые цены за единицу'!R26,0)</f>
        <v>0</v>
      </c>
      <c r="S26" s="48">
        <f>ROUND('Форма по МДС 81-35.2004'!F473*'Базовые цены за единицу'!S26,0)</f>
        <v>0</v>
      </c>
      <c r="T26" s="48">
        <f>ROUND('Форма по МДС 81-35.2004'!F473*'Базовые цены за единицу'!T26,0)</f>
        <v>0</v>
      </c>
      <c r="U26" s="48">
        <f>ROUND('Форма по МДС 81-35.2004'!F473*'Базовые цены за единицу'!U26,0)</f>
        <v>0</v>
      </c>
      <c r="V26" s="48">
        <f>ROUND('Форма по МДС 81-35.2004'!F473*'Базовые цены за единицу'!V26,0)</f>
        <v>0</v>
      </c>
      <c r="X26" s="44">
        <f>ROUND('Форма по МДС 81-35.2004'!F473*'Базовые цены за единицу'!X26,0)</f>
        <v>0</v>
      </c>
      <c r="Y26" s="44">
        <f>IF(Определители!I26="9",ROUND((C26+E26)*(Начисления!M26/100)*('Форма по МДС 81-35.2004'!G485/100),0),0)</f>
        <v>0</v>
      </c>
      <c r="Z26" s="44">
        <f>IF(Определители!I26="9",ROUND((C26+E26)*(100-Начисления!M26/100)*('Форма по МДС 81-35.2004'!G485/100),0),0)</f>
        <v>0</v>
      </c>
      <c r="AA26" s="44">
        <f>IF(Определители!I26="9",ROUND((C26+E26)*(Начисления!M26/100)*('Форма по МДС 81-35.2004'!G488/100),0),0)</f>
        <v>0</v>
      </c>
      <c r="AB26" s="44">
        <f>IF(Определители!I26="9",ROUND((C26+E26)*(100-Начисления!M26/100)*('Форма по МДС 81-35.2004'!G488/100),0),0)</f>
        <v>0</v>
      </c>
      <c r="AC26" s="44">
        <f>IF(Определители!I26="9",ROUND(B26*Начисления!M26/100,0),0)</f>
        <v>0</v>
      </c>
      <c r="AD26" s="44">
        <f>IF(Определители!I26="9",ROUND(B26*(100-Начисления!M26)/100,0),0)</f>
        <v>0</v>
      </c>
      <c r="AE26" s="44">
        <f>ROUND('Форма по МДС 81-35.2004'!F473*'Базовые цены за единицу'!AE26,0)</f>
        <v>0</v>
      </c>
    </row>
    <row r="27" spans="1:31" x14ac:dyDescent="0.15">
      <c r="A27" s="48" t="str">
        <f>'Форма по МДС 81-35.2004'!A491</f>
        <v>22.</v>
      </c>
      <c r="B27" s="48">
        <f>'Форма по МДС 81-35.2004'!H491</f>
        <v>0</v>
      </c>
      <c r="C27" s="48">
        <f>ROUND(SUMIF('Форма по МДС 81-35.2004'!M491:M509,"Г",'Форма по МДС 81-35.2004'!H491:H509),0)</f>
        <v>0</v>
      </c>
      <c r="D27" s="48">
        <f>ROUND(SUMIF('Форма по МДС 81-35.2004'!M491:M509,"IsMash",'Форма по МДС 81-35.2004'!H491:H509),0)</f>
        <v>0</v>
      </c>
      <c r="E27" s="48">
        <f>'Форма по МДС 81-35.2004'!H493</f>
        <v>0</v>
      </c>
      <c r="F27" s="48">
        <f>ROUND(SUMIF('Форма по МДС 81-35.2004'!M491:M509,"IsMater",'Форма по МДС 81-35.2004'!H491:H509),0)</f>
        <v>0</v>
      </c>
      <c r="G27" s="48">
        <f>ROUND('Форма по МДС 81-35.2004'!F491*'Базовые цены за единицу'!G27,0)</f>
        <v>0</v>
      </c>
      <c r="H27" s="48">
        <f>ROUND('Форма по МДС 81-35.2004'!F491*'Базовые цены за единицу'!H27,0)</f>
        <v>0</v>
      </c>
      <c r="I27" s="40">
        <f>ОКРУГЛВСЕ(SUMIF('Форма по МДС 81-35.2004'!M491:M509,"Г",'Форма по МДС 81-35.2004'!F491:F509),2)</f>
        <v>0</v>
      </c>
      <c r="J27" s="40">
        <f>ОКРУГЛВСЕ('Форма по МДС 81-35.2004'!F491*'Базовые цены за единицу'!J27,2)</f>
        <v>0</v>
      </c>
      <c r="K27" s="40">
        <f>ОКРУГЛВСЕ(SUMIF('Форма по МДС 81-35.2004'!M491:M509,"Ж",'Форма по МДС 81-35.2004'!F491:F509),2)</f>
        <v>0</v>
      </c>
      <c r="L27" s="48">
        <f>ROUND('Форма по МДС 81-35.2004'!F491*'Базовые цены за единицу'!L27,0)</f>
        <v>0</v>
      </c>
      <c r="M27" s="48">
        <f>ROUND('Форма по МДС 81-35.2004'!F491*'Базовые цены за единицу'!M27,0)</f>
        <v>0</v>
      </c>
      <c r="N27" s="48">
        <f>ROUND((C27+E27)*'Форма по МДС 81-35.2004'!G504/100,0)</f>
        <v>0</v>
      </c>
      <c r="O27" s="48">
        <f>ROUND((C27+E27)*'Форма по МДС 81-35.2004'!G507/100,0)</f>
        <v>0</v>
      </c>
      <c r="P27" s="48">
        <f>ROUND('Форма по МДС 81-35.2004'!F491*'Базовые цены за единицу'!P27,0)</f>
        <v>0</v>
      </c>
      <c r="Q27" s="48">
        <f>ROUND('Форма по МДС 81-35.2004'!F491*'Базовые цены за единицу'!Q27,0)</f>
        <v>0</v>
      </c>
      <c r="R27" s="48">
        <f>ROUND('Форма по МДС 81-35.2004'!F491*'Базовые цены за единицу'!R27,0)</f>
        <v>0</v>
      </c>
      <c r="S27" s="48">
        <f>ROUND('Форма по МДС 81-35.2004'!F491*'Базовые цены за единицу'!S27,0)</f>
        <v>0</v>
      </c>
      <c r="T27" s="48">
        <f>ROUND('Форма по МДС 81-35.2004'!F491*'Базовые цены за единицу'!T27,0)</f>
        <v>0</v>
      </c>
      <c r="U27" s="48">
        <f>ROUND('Форма по МДС 81-35.2004'!F491*'Базовые цены за единицу'!U27,0)</f>
        <v>0</v>
      </c>
      <c r="V27" s="48">
        <f>ROUND('Форма по МДС 81-35.2004'!F491*'Базовые цены за единицу'!V27,0)</f>
        <v>0</v>
      </c>
      <c r="X27" s="44">
        <f>ROUND('Форма по МДС 81-35.2004'!F491*'Базовые цены за единицу'!X27,0)</f>
        <v>0</v>
      </c>
      <c r="Y27" s="44">
        <f>IF(Определители!I27="9",ROUND((C27+E27)*(Начисления!M27/100)*('Форма по МДС 81-35.2004'!G504/100),0),0)</f>
        <v>0</v>
      </c>
      <c r="Z27" s="44">
        <f>IF(Определители!I27="9",ROUND((C27+E27)*(100-Начисления!M27/100)*('Форма по МДС 81-35.2004'!G504/100),0),0)</f>
        <v>0</v>
      </c>
      <c r="AA27" s="44">
        <f>IF(Определители!I27="9",ROUND((C27+E27)*(Начисления!M27/100)*('Форма по МДС 81-35.2004'!G507/100),0),0)</f>
        <v>0</v>
      </c>
      <c r="AB27" s="44">
        <f>IF(Определители!I27="9",ROUND((C27+E27)*(100-Начисления!M27/100)*('Форма по МДС 81-35.2004'!G507/100),0),0)</f>
        <v>0</v>
      </c>
      <c r="AC27" s="44">
        <f>IF(Определители!I27="9",ROUND(B27*Начисления!M27/100,0),0)</f>
        <v>0</v>
      </c>
      <c r="AD27" s="44">
        <f>IF(Определители!I27="9",ROUND(B27*(100-Начисления!M27)/100,0),0)</f>
        <v>0</v>
      </c>
      <c r="AE27" s="44">
        <f>ROUND('Форма по МДС 81-35.2004'!F491*'Базовые цены за единицу'!AE27,0)</f>
        <v>0</v>
      </c>
    </row>
  </sheetData>
  <mergeCells count="4">
    <mergeCell ref="A2:K2"/>
    <mergeCell ref="B3:K3"/>
    <mergeCell ref="B4:K4"/>
    <mergeCell ref="A5:K5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E27"/>
  <sheetViews>
    <sheetView workbookViewId="0"/>
  </sheetViews>
  <sheetFormatPr defaultRowHeight="10.5" x14ac:dyDescent="0.15"/>
  <cols>
    <col min="1" max="1" width="5.7109375" style="40" customWidth="1"/>
    <col min="2" max="16384" width="9.140625" style="44"/>
  </cols>
  <sheetData>
    <row r="1" spans="1:31" s="45" customFormat="1" x14ac:dyDescent="0.15">
      <c r="A1" s="46"/>
      <c r="B1" s="45" t="s">
        <v>378</v>
      </c>
      <c r="C1" s="45" t="s">
        <v>379</v>
      </c>
      <c r="D1" s="45" t="s">
        <v>380</v>
      </c>
      <c r="E1" s="45" t="s">
        <v>381</v>
      </c>
      <c r="F1" s="45" t="s">
        <v>382</v>
      </c>
      <c r="G1" s="45" t="s">
        <v>383</v>
      </c>
      <c r="H1" s="45" t="s">
        <v>384</v>
      </c>
      <c r="I1" s="45" t="s">
        <v>385</v>
      </c>
      <c r="J1" s="45" t="s">
        <v>386</v>
      </c>
      <c r="K1" s="45" t="s">
        <v>387</v>
      </c>
      <c r="L1" s="45" t="s">
        <v>388</v>
      </c>
      <c r="M1" s="45" t="s">
        <v>389</v>
      </c>
      <c r="N1" s="45" t="s">
        <v>390</v>
      </c>
      <c r="O1" s="45" t="s">
        <v>391</v>
      </c>
      <c r="P1" s="45" t="s">
        <v>392</v>
      </c>
      <c r="Q1" s="45" t="s">
        <v>393</v>
      </c>
      <c r="R1" s="45" t="s">
        <v>394</v>
      </c>
      <c r="S1" s="45" t="s">
        <v>395</v>
      </c>
      <c r="T1" s="45" t="s">
        <v>396</v>
      </c>
      <c r="U1" s="45" t="s">
        <v>397</v>
      </c>
      <c r="V1" s="45" t="s">
        <v>398</v>
      </c>
      <c r="X1" s="45" t="s">
        <v>399</v>
      </c>
      <c r="Y1" s="45" t="s">
        <v>400</v>
      </c>
      <c r="Z1" s="45" t="s">
        <v>401</v>
      </c>
      <c r="AA1" s="45" t="s">
        <v>402</v>
      </c>
      <c r="AB1" s="45" t="s">
        <v>403</v>
      </c>
      <c r="AC1" s="45" t="s">
        <v>404</v>
      </c>
      <c r="AD1" s="45" t="s">
        <v>405</v>
      </c>
      <c r="AE1" s="45" t="s">
        <v>406</v>
      </c>
    </row>
    <row r="2" spans="1:31" x14ac:dyDescent="0.1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31" x14ac:dyDescent="0.15">
      <c r="A3" s="47"/>
      <c r="B3" s="80" t="s">
        <v>407</v>
      </c>
      <c r="C3" s="80"/>
      <c r="D3" s="80"/>
      <c r="E3" s="80"/>
      <c r="F3" s="80"/>
      <c r="G3" s="80"/>
      <c r="H3" s="80"/>
      <c r="I3" s="80"/>
      <c r="J3" s="80"/>
      <c r="K3" s="80"/>
    </row>
    <row r="4" spans="1:31" x14ac:dyDescent="0.15">
      <c r="A4" s="47"/>
      <c r="B4" s="80" t="s">
        <v>408</v>
      </c>
      <c r="C4" s="80"/>
      <c r="D4" s="80"/>
      <c r="E4" s="80"/>
      <c r="F4" s="80"/>
      <c r="G4" s="80"/>
      <c r="H4" s="80"/>
      <c r="I4" s="80"/>
      <c r="J4" s="80"/>
      <c r="K4" s="80"/>
    </row>
    <row r="5" spans="1:31" x14ac:dyDescent="0.15">
      <c r="A5" s="78"/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31" x14ac:dyDescent="0.15">
      <c r="A6" s="48" t="str">
        <f>'Форма по МДС 81-35.2004'!A19</f>
        <v>1.</v>
      </c>
      <c r="B6" s="48">
        <f t="shared" ref="B6:B12" si="0">ROUND(C6+D6+F6,0)</f>
        <v>0</v>
      </c>
      <c r="C6" s="48">
        <f>ROUND(SUMIF('Форма по МДС 81-35.2004'!M19:M35,"Г",'Форма по МДС 81-35.2004'!J19:J35),0)</f>
        <v>0</v>
      </c>
      <c r="D6" s="48">
        <f>ROUND(SUMIF('Форма по МДС 81-35.2004'!M19:M35,"IsMash",'Форма по МДС 81-35.2004'!J19:J35),0)</f>
        <v>0</v>
      </c>
      <c r="E6" s="48">
        <f>'Форма по МДС 81-35.2004'!J20</f>
        <v>0</v>
      </c>
      <c r="F6" s="48">
        <f>ROUND(SUMIF('Форма по МДС 81-35.2004'!M19:M35,"IsMater",'Форма по МДС 81-35.2004'!J19:J35),0)</f>
        <v>0</v>
      </c>
      <c r="G6" s="48">
        <f>ROUND('Форма по МДС 81-35.2004'!F19*'Текущие цены за единицу'!G6,0)</f>
        <v>0</v>
      </c>
      <c r="H6" s="48">
        <f>ROUND('Форма по МДС 81-35.2004'!F19*'Текущие цены за единицу'!H6,0)</f>
        <v>0</v>
      </c>
      <c r="I6" s="40">
        <f>ОКРУГЛВСЕ(SUMIF('Форма по МДС 81-35.2004'!M19:M35,"Г",'Форма по МДС 81-35.2004'!F19:F35),2)</f>
        <v>0</v>
      </c>
      <c r="J6" s="40">
        <f>ОКРУГЛВСЕ('Форма по МДС 81-35.2004'!F19*'Текущие цены за единицу'!J6,2)</f>
        <v>0</v>
      </c>
      <c r="K6" s="40">
        <f>ОКРУГЛВСЕ(SUMIF('Форма по МДС 81-35.2004'!M19:M35,"Ж",'Форма по МДС 81-35.2004'!F19:F35),2)</f>
        <v>0</v>
      </c>
      <c r="L6" s="48">
        <f>ROUND('Форма по МДС 81-35.2004'!F19*'Текущие цены за единицу'!L6,0)</f>
        <v>0</v>
      </c>
      <c r="M6" s="48">
        <f>ROUND('Форма по МДС 81-35.2004'!F19*'Текущие цены за единицу'!M6,0)</f>
        <v>0</v>
      </c>
      <c r="N6" s="48">
        <f>ROUND((C6+E6)*'Форма по МДС 81-35.2004'!I30/100,0)</f>
        <v>0</v>
      </c>
      <c r="O6" s="48">
        <f>ROUND((C6+E6)*'Форма по МДС 81-35.2004'!I33/100,0)</f>
        <v>0</v>
      </c>
      <c r="P6" s="48">
        <f>ROUND('Форма по МДС 81-35.2004'!F19*'Текущие цены за единицу'!P6,0)</f>
        <v>0</v>
      </c>
      <c r="Q6" s="48">
        <f>ROUND('Форма по МДС 81-35.2004'!F19*'Текущие цены за единицу'!Q6,0)</f>
        <v>0</v>
      </c>
      <c r="R6" s="48">
        <f>ROUND('Форма по МДС 81-35.2004'!F19*'Текущие цены за единицу'!R6,0)</f>
        <v>0</v>
      </c>
      <c r="S6" s="48">
        <f>ROUND('Форма по МДС 81-35.2004'!F19*'Текущие цены за единицу'!S6,0)</f>
        <v>0</v>
      </c>
      <c r="T6" s="48">
        <f>ROUND('Форма по МДС 81-35.2004'!F19*'Текущие цены за единицу'!T6,0)</f>
        <v>0</v>
      </c>
      <c r="U6" s="48">
        <f>ROUND('Форма по МДС 81-35.2004'!F19*'Текущие цены за единицу'!U6,0)</f>
        <v>0</v>
      </c>
      <c r="V6" s="48">
        <f>ROUND('Форма по МДС 81-35.2004'!F19*'Текущие цены за единицу'!V6,0)</f>
        <v>0</v>
      </c>
      <c r="X6" s="44">
        <f>ROUND('Форма по МДС 81-35.2004'!F19*'Текущие цены за единицу'!X6,0)</f>
        <v>0</v>
      </c>
      <c r="Y6" s="44">
        <f>IF(Определители!I6="9",ROUND((C6+E6)*(Начисления!M6/100)*('Форма по МДС 81-35.2004'!I30/100),0),0)</f>
        <v>0</v>
      </c>
      <c r="Z6" s="44">
        <f>IF(Определители!I6="9",ROUND((C6+E6)*(100-Начисления!M6/100)*('Форма по МДС 81-35.2004'!I30/100),0),0)</f>
        <v>0</v>
      </c>
      <c r="AA6" s="44">
        <f>IF(Определители!I6="9",ROUND((C6+E6)*(Начисления!M6/100)*('Форма по МДС 81-35.2004'!I33/100),0),0)</f>
        <v>0</v>
      </c>
      <c r="AB6" s="44">
        <f>IF(Определители!I6="9",ROUND((C6+E6)*(100-Начисления!M6/100)*('Форма по МДС 81-35.2004'!I33/100),0),0)</f>
        <v>0</v>
      </c>
      <c r="AC6" s="44">
        <f>IF(Определители!I6="9",ROUND(B6*Начисления!M6/100,0),0)</f>
        <v>0</v>
      </c>
      <c r="AD6" s="44">
        <f>IF(Определители!I6="9",ROUND(B6*(100-Начисления!M6)/100,0),0)</f>
        <v>0</v>
      </c>
      <c r="AE6" s="44">
        <f>ROUND('Форма по МДС 81-35.2004'!F19*'Текущие цены за единицу'!AE6,0)</f>
        <v>0</v>
      </c>
    </row>
    <row r="7" spans="1:31" x14ac:dyDescent="0.15">
      <c r="A7" s="48" t="str">
        <f>'Форма по МДС 81-35.2004'!A40</f>
        <v>2.</v>
      </c>
      <c r="B7" s="48">
        <f t="shared" si="0"/>
        <v>0</v>
      </c>
      <c r="C7" s="48">
        <f>ROUND(SUMIF('Форма по МДС 81-35.2004'!M40:M56,"Г",'Форма по МДС 81-35.2004'!J40:J56),0)</f>
        <v>0</v>
      </c>
      <c r="D7" s="48">
        <f>ROUND(SUMIF('Форма по МДС 81-35.2004'!M40:M56,"IsMash",'Форма по МДС 81-35.2004'!J40:J56),0)</f>
        <v>0</v>
      </c>
      <c r="E7" s="48">
        <f>'Форма по МДС 81-35.2004'!J41</f>
        <v>0</v>
      </c>
      <c r="F7" s="48">
        <f>ROUND(SUMIF('Форма по МДС 81-35.2004'!M40:M56,"IsMater",'Форма по МДС 81-35.2004'!J40:J56),0)</f>
        <v>0</v>
      </c>
      <c r="G7" s="48">
        <f>ROUND('Форма по МДС 81-35.2004'!F40*'Текущие цены за единицу'!G7,0)</f>
        <v>0</v>
      </c>
      <c r="H7" s="48">
        <f>ROUND('Форма по МДС 81-35.2004'!F40*'Текущие цены за единицу'!H7,0)</f>
        <v>0</v>
      </c>
      <c r="I7" s="40">
        <f>ОКРУГЛВСЕ(SUMIF('Форма по МДС 81-35.2004'!M40:M56,"Г",'Форма по МДС 81-35.2004'!F40:F56),2)</f>
        <v>0</v>
      </c>
      <c r="J7" s="40">
        <f>ОКРУГЛВСЕ('Форма по МДС 81-35.2004'!F40*'Текущие цены за единицу'!J7,2)</f>
        <v>0</v>
      </c>
      <c r="K7" s="40">
        <f>ОКРУГЛВСЕ(SUMIF('Форма по МДС 81-35.2004'!M40:M56,"Ж",'Форма по МДС 81-35.2004'!F40:F56),2)</f>
        <v>0</v>
      </c>
      <c r="L7" s="48">
        <f>ROUND('Форма по МДС 81-35.2004'!F40*'Текущие цены за единицу'!L7,0)</f>
        <v>0</v>
      </c>
      <c r="M7" s="48">
        <f>ROUND('Форма по МДС 81-35.2004'!F40*'Текущие цены за единицу'!M7,0)</f>
        <v>0</v>
      </c>
      <c r="N7" s="48">
        <f>ROUND((C7+E7)*'Форма по МДС 81-35.2004'!I51/100,0)</f>
        <v>0</v>
      </c>
      <c r="O7" s="48">
        <f>ROUND((C7+E7)*'Форма по МДС 81-35.2004'!I54/100,0)</f>
        <v>0</v>
      </c>
      <c r="P7" s="48">
        <f>ROUND('Форма по МДС 81-35.2004'!F40*'Текущие цены за единицу'!P7,0)</f>
        <v>0</v>
      </c>
      <c r="Q7" s="48">
        <f>ROUND('Форма по МДС 81-35.2004'!F40*'Текущие цены за единицу'!Q7,0)</f>
        <v>0</v>
      </c>
      <c r="R7" s="48">
        <f>ROUND('Форма по МДС 81-35.2004'!F40*'Текущие цены за единицу'!R7,0)</f>
        <v>0</v>
      </c>
      <c r="S7" s="48">
        <f>ROUND('Форма по МДС 81-35.2004'!F40*'Текущие цены за единицу'!S7,0)</f>
        <v>0</v>
      </c>
      <c r="T7" s="48">
        <f>ROUND('Форма по МДС 81-35.2004'!F40*'Текущие цены за единицу'!T7,0)</f>
        <v>0</v>
      </c>
      <c r="U7" s="48">
        <f>ROUND('Форма по МДС 81-35.2004'!F40*'Текущие цены за единицу'!U7,0)</f>
        <v>0</v>
      </c>
      <c r="V7" s="48">
        <f>ROUND('Форма по МДС 81-35.2004'!F40*'Текущие цены за единицу'!V7,0)</f>
        <v>0</v>
      </c>
      <c r="X7" s="44">
        <f>ROUND('Форма по МДС 81-35.2004'!F40*'Текущие цены за единицу'!X7,0)</f>
        <v>0</v>
      </c>
      <c r="Y7" s="44">
        <f>IF(Определители!I7="9",ROUND((C7+E7)*(Начисления!M7/100)*('Форма по МДС 81-35.2004'!I51/100),0),0)</f>
        <v>0</v>
      </c>
      <c r="Z7" s="44">
        <f>IF(Определители!I7="9",ROUND((C7+E7)*(100-Начисления!M7/100)*('Форма по МДС 81-35.2004'!I51/100),0),0)</f>
        <v>0</v>
      </c>
      <c r="AA7" s="44">
        <f>IF(Определители!I7="9",ROUND((C7+E7)*(Начисления!M7/100)*('Форма по МДС 81-35.2004'!I54/100),0),0)</f>
        <v>0</v>
      </c>
      <c r="AB7" s="44">
        <f>IF(Определители!I7="9",ROUND((C7+E7)*(100-Начисления!M7/100)*('Форма по МДС 81-35.2004'!I54/100),0),0)</f>
        <v>0</v>
      </c>
      <c r="AC7" s="44">
        <f>IF(Определители!I7="9",ROUND(B7*Начисления!M7/100,0),0)</f>
        <v>0</v>
      </c>
      <c r="AD7" s="44">
        <f>IF(Определители!I7="9",ROUND(B7*(100-Начисления!M7)/100,0),0)</f>
        <v>0</v>
      </c>
      <c r="AE7" s="44">
        <f>ROUND('Форма по МДС 81-35.2004'!F40*'Текущие цены за единицу'!AE7,0)</f>
        <v>0</v>
      </c>
    </row>
    <row r="8" spans="1:31" x14ac:dyDescent="0.15">
      <c r="A8" s="48" t="str">
        <f>'Форма по МДС 81-35.2004'!A61</f>
        <v>3.</v>
      </c>
      <c r="B8" s="48">
        <f t="shared" si="0"/>
        <v>0</v>
      </c>
      <c r="C8" s="48">
        <f>ROUND(SUMIF('Форма по МДС 81-35.2004'!M61:M77,"Г",'Форма по МДС 81-35.2004'!J61:J77),0)</f>
        <v>0</v>
      </c>
      <c r="D8" s="48">
        <f>ROUND(SUMIF('Форма по МДС 81-35.2004'!M61:M77,"IsMash",'Форма по МДС 81-35.2004'!J61:J77),0)</f>
        <v>0</v>
      </c>
      <c r="E8" s="48">
        <f>'Форма по МДС 81-35.2004'!J62</f>
        <v>0</v>
      </c>
      <c r="F8" s="48">
        <f>ROUND(SUMIF('Форма по МДС 81-35.2004'!M61:M77,"IsMater",'Форма по МДС 81-35.2004'!J61:J77),0)</f>
        <v>0</v>
      </c>
      <c r="G8" s="48">
        <f>ROUND('Форма по МДС 81-35.2004'!F61*'Текущие цены за единицу'!G8,0)</f>
        <v>0</v>
      </c>
      <c r="H8" s="48">
        <f>ROUND('Форма по МДС 81-35.2004'!F61*'Текущие цены за единицу'!H8,0)</f>
        <v>0</v>
      </c>
      <c r="I8" s="40">
        <f>ОКРУГЛВСЕ(SUMIF('Форма по МДС 81-35.2004'!M61:M77,"Г",'Форма по МДС 81-35.2004'!F61:F77),2)</f>
        <v>0</v>
      </c>
      <c r="J8" s="40">
        <f>ОКРУГЛВСЕ('Форма по МДС 81-35.2004'!F61*'Текущие цены за единицу'!J8,2)</f>
        <v>0</v>
      </c>
      <c r="K8" s="40">
        <f>ОКРУГЛВСЕ(SUMIF('Форма по МДС 81-35.2004'!M61:M77,"Ж",'Форма по МДС 81-35.2004'!F61:F77),2)</f>
        <v>0</v>
      </c>
      <c r="L8" s="48">
        <f>ROUND('Форма по МДС 81-35.2004'!F61*'Текущие цены за единицу'!L8,0)</f>
        <v>0</v>
      </c>
      <c r="M8" s="48">
        <f>ROUND('Форма по МДС 81-35.2004'!F61*'Текущие цены за единицу'!M8,0)</f>
        <v>0</v>
      </c>
      <c r="N8" s="48">
        <f>ROUND((C8+E8)*'Форма по МДС 81-35.2004'!I72/100,0)</f>
        <v>0</v>
      </c>
      <c r="O8" s="48">
        <f>ROUND((C8+E8)*'Форма по МДС 81-35.2004'!I75/100,0)</f>
        <v>0</v>
      </c>
      <c r="P8" s="48">
        <f>ROUND('Форма по МДС 81-35.2004'!F61*'Текущие цены за единицу'!P8,0)</f>
        <v>0</v>
      </c>
      <c r="Q8" s="48">
        <f>ROUND('Форма по МДС 81-35.2004'!F61*'Текущие цены за единицу'!Q8,0)</f>
        <v>0</v>
      </c>
      <c r="R8" s="48">
        <f>ROUND('Форма по МДС 81-35.2004'!F61*'Текущие цены за единицу'!R8,0)</f>
        <v>0</v>
      </c>
      <c r="S8" s="48">
        <f>ROUND('Форма по МДС 81-35.2004'!F61*'Текущие цены за единицу'!S8,0)</f>
        <v>0</v>
      </c>
      <c r="T8" s="48">
        <f>ROUND('Форма по МДС 81-35.2004'!F61*'Текущие цены за единицу'!T8,0)</f>
        <v>0</v>
      </c>
      <c r="U8" s="48">
        <f>ROUND('Форма по МДС 81-35.2004'!F61*'Текущие цены за единицу'!U8,0)</f>
        <v>0</v>
      </c>
      <c r="V8" s="48">
        <f>ROUND('Форма по МДС 81-35.2004'!F61*'Текущие цены за единицу'!V8,0)</f>
        <v>0</v>
      </c>
      <c r="X8" s="44">
        <f>ROUND('Форма по МДС 81-35.2004'!F61*'Текущие цены за единицу'!X8,0)</f>
        <v>0</v>
      </c>
      <c r="Y8" s="44">
        <f>IF(Определители!I8="9",ROUND((C8+E8)*(Начисления!M8/100)*('Форма по МДС 81-35.2004'!I72/100),0),0)</f>
        <v>0</v>
      </c>
      <c r="Z8" s="44">
        <f>IF(Определители!I8="9",ROUND((C8+E8)*(100-Начисления!M8/100)*('Форма по МДС 81-35.2004'!I72/100),0),0)</f>
        <v>0</v>
      </c>
      <c r="AA8" s="44">
        <f>IF(Определители!I8="9",ROUND((C8+E8)*(Начисления!M8/100)*('Форма по МДС 81-35.2004'!I75/100),0),0)</f>
        <v>0</v>
      </c>
      <c r="AB8" s="44">
        <f>IF(Определители!I8="9",ROUND((C8+E8)*(100-Начисления!M8/100)*('Форма по МДС 81-35.2004'!I75/100),0),0)</f>
        <v>0</v>
      </c>
      <c r="AC8" s="44">
        <f>IF(Определители!I8="9",ROUND(B8*Начисления!M8/100,0),0)</f>
        <v>0</v>
      </c>
      <c r="AD8" s="44">
        <f>IF(Определители!I8="9",ROUND(B8*(100-Начисления!M8)/100,0),0)</f>
        <v>0</v>
      </c>
      <c r="AE8" s="44">
        <f>ROUND('Форма по МДС 81-35.2004'!F61*'Текущие цены за единицу'!AE8,0)</f>
        <v>0</v>
      </c>
    </row>
    <row r="9" spans="1:31" x14ac:dyDescent="0.15">
      <c r="A9" s="48" t="str">
        <f>'Форма по МДС 81-35.2004'!A82</f>
        <v>4.</v>
      </c>
      <c r="B9" s="48">
        <f t="shared" si="0"/>
        <v>0</v>
      </c>
      <c r="C9" s="48">
        <f>ROUND(SUMIF('Форма по МДС 81-35.2004'!M82:M98,"Г",'Форма по МДС 81-35.2004'!J82:J98),0)</f>
        <v>0</v>
      </c>
      <c r="D9" s="48">
        <f>ROUND(SUMIF('Форма по МДС 81-35.2004'!M82:M98,"IsMash",'Форма по МДС 81-35.2004'!J82:J98),0)</f>
        <v>0</v>
      </c>
      <c r="E9" s="48">
        <f>'Форма по МДС 81-35.2004'!J83</f>
        <v>0</v>
      </c>
      <c r="F9" s="48">
        <f>ROUND(SUMIF('Форма по МДС 81-35.2004'!M82:M98,"IsMater",'Форма по МДС 81-35.2004'!J82:J98),0)</f>
        <v>0</v>
      </c>
      <c r="G9" s="48">
        <f>ROUND('Форма по МДС 81-35.2004'!F82*'Текущие цены за единицу'!G9,0)</f>
        <v>0</v>
      </c>
      <c r="H9" s="48">
        <f>ROUND('Форма по МДС 81-35.2004'!F82*'Текущие цены за единицу'!H9,0)</f>
        <v>0</v>
      </c>
      <c r="I9" s="40">
        <f>ОКРУГЛВСЕ(SUMIF('Форма по МДС 81-35.2004'!M82:M98,"Г",'Форма по МДС 81-35.2004'!F82:F98),2)</f>
        <v>0</v>
      </c>
      <c r="J9" s="40">
        <f>ОКРУГЛВСЕ('Форма по МДС 81-35.2004'!F82*'Текущие цены за единицу'!J9,2)</f>
        <v>0</v>
      </c>
      <c r="K9" s="40">
        <f>ОКРУГЛВСЕ(SUMIF('Форма по МДС 81-35.2004'!M82:M98,"Ж",'Форма по МДС 81-35.2004'!F82:F98),2)</f>
        <v>0</v>
      </c>
      <c r="L9" s="48">
        <f>ROUND('Форма по МДС 81-35.2004'!F82*'Текущие цены за единицу'!L9,0)</f>
        <v>0</v>
      </c>
      <c r="M9" s="48">
        <f>ROUND('Форма по МДС 81-35.2004'!F82*'Текущие цены за единицу'!M9,0)</f>
        <v>0</v>
      </c>
      <c r="N9" s="48">
        <f>ROUND((C9+E9)*'Форма по МДС 81-35.2004'!I93/100,0)</f>
        <v>0</v>
      </c>
      <c r="O9" s="48">
        <f>ROUND((C9+E9)*'Форма по МДС 81-35.2004'!I96/100,0)</f>
        <v>0</v>
      </c>
      <c r="P9" s="48">
        <f>ROUND('Форма по МДС 81-35.2004'!F82*'Текущие цены за единицу'!P9,0)</f>
        <v>0</v>
      </c>
      <c r="Q9" s="48">
        <f>ROUND('Форма по МДС 81-35.2004'!F82*'Текущие цены за единицу'!Q9,0)</f>
        <v>0</v>
      </c>
      <c r="R9" s="48">
        <f>ROUND('Форма по МДС 81-35.2004'!F82*'Текущие цены за единицу'!R9,0)</f>
        <v>0</v>
      </c>
      <c r="S9" s="48">
        <f>ROUND('Форма по МДС 81-35.2004'!F82*'Текущие цены за единицу'!S9,0)</f>
        <v>0</v>
      </c>
      <c r="T9" s="48">
        <f>ROUND('Форма по МДС 81-35.2004'!F82*'Текущие цены за единицу'!T9,0)</f>
        <v>0</v>
      </c>
      <c r="U9" s="48">
        <f>ROUND('Форма по МДС 81-35.2004'!F82*'Текущие цены за единицу'!U9,0)</f>
        <v>0</v>
      </c>
      <c r="V9" s="48">
        <f>ROUND('Форма по МДС 81-35.2004'!F82*'Текущие цены за единицу'!V9,0)</f>
        <v>0</v>
      </c>
      <c r="X9" s="44">
        <f>ROUND('Форма по МДС 81-35.2004'!F82*'Текущие цены за единицу'!X9,0)</f>
        <v>0</v>
      </c>
      <c r="Y9" s="44">
        <f>IF(Определители!I9="9",ROUND((C9+E9)*(Начисления!M9/100)*('Форма по МДС 81-35.2004'!I93/100),0),0)</f>
        <v>0</v>
      </c>
      <c r="Z9" s="44">
        <f>IF(Определители!I9="9",ROUND((C9+E9)*(100-Начисления!M9/100)*('Форма по МДС 81-35.2004'!I93/100),0),0)</f>
        <v>0</v>
      </c>
      <c r="AA9" s="44">
        <f>IF(Определители!I9="9",ROUND((C9+E9)*(Начисления!M9/100)*('Форма по МДС 81-35.2004'!I96/100),0),0)</f>
        <v>0</v>
      </c>
      <c r="AB9" s="44">
        <f>IF(Определители!I9="9",ROUND((C9+E9)*(100-Начисления!M9/100)*('Форма по МДС 81-35.2004'!I96/100),0),0)</f>
        <v>0</v>
      </c>
      <c r="AC9" s="44">
        <f>IF(Определители!I9="9",ROUND(B9*Начисления!M9/100,0),0)</f>
        <v>0</v>
      </c>
      <c r="AD9" s="44">
        <f>IF(Определители!I9="9",ROUND(B9*(100-Начисления!M9)/100,0),0)</f>
        <v>0</v>
      </c>
      <c r="AE9" s="44">
        <f>ROUND('Форма по МДС 81-35.2004'!F82*'Текущие цены за единицу'!AE9,0)</f>
        <v>0</v>
      </c>
    </row>
    <row r="10" spans="1:31" x14ac:dyDescent="0.15">
      <c r="A10" s="48" t="str">
        <f>'Форма по МДС 81-35.2004'!A103</f>
        <v>5.</v>
      </c>
      <c r="B10" s="48">
        <f t="shared" si="0"/>
        <v>0</v>
      </c>
      <c r="C10" s="48">
        <f>ROUND(SUMIF('Форма по МДС 81-35.2004'!M103:M119,"Г",'Форма по МДС 81-35.2004'!J103:J119),0)</f>
        <v>0</v>
      </c>
      <c r="D10" s="48">
        <f>ROUND(SUMIF('Форма по МДС 81-35.2004'!M103:M119,"IsMash",'Форма по МДС 81-35.2004'!J103:J119),0)</f>
        <v>0</v>
      </c>
      <c r="E10" s="48">
        <f>'Форма по МДС 81-35.2004'!J104</f>
        <v>0</v>
      </c>
      <c r="F10" s="48">
        <f>ROUND(SUMIF('Форма по МДС 81-35.2004'!M103:M119,"IsMater",'Форма по МДС 81-35.2004'!J103:J119),0)</f>
        <v>0</v>
      </c>
      <c r="G10" s="48">
        <f>ROUND('Форма по МДС 81-35.2004'!F103*'Текущие цены за единицу'!G10,0)</f>
        <v>0</v>
      </c>
      <c r="H10" s="48">
        <f>ROUND('Форма по МДС 81-35.2004'!F103*'Текущие цены за единицу'!H10,0)</f>
        <v>0</v>
      </c>
      <c r="I10" s="40">
        <f>ОКРУГЛВСЕ(SUMIF('Форма по МДС 81-35.2004'!M103:M119,"Г",'Форма по МДС 81-35.2004'!F103:F119),2)</f>
        <v>0</v>
      </c>
      <c r="J10" s="40">
        <f>ОКРУГЛВСЕ('Форма по МДС 81-35.2004'!F103*'Текущие цены за единицу'!J10,2)</f>
        <v>0</v>
      </c>
      <c r="K10" s="40">
        <f>ОКРУГЛВСЕ(SUMIF('Форма по МДС 81-35.2004'!M103:M119,"Ж",'Форма по МДС 81-35.2004'!F103:F119),2)</f>
        <v>0</v>
      </c>
      <c r="L10" s="48">
        <f>ROUND('Форма по МДС 81-35.2004'!F103*'Текущие цены за единицу'!L10,0)</f>
        <v>0</v>
      </c>
      <c r="M10" s="48">
        <f>ROUND('Форма по МДС 81-35.2004'!F103*'Текущие цены за единицу'!M10,0)</f>
        <v>0</v>
      </c>
      <c r="N10" s="48">
        <f>ROUND((C10+E10)*'Форма по МДС 81-35.2004'!I114/100,0)</f>
        <v>0</v>
      </c>
      <c r="O10" s="48">
        <f>ROUND((C10+E10)*'Форма по МДС 81-35.2004'!I117/100,0)</f>
        <v>0</v>
      </c>
      <c r="P10" s="48">
        <f>ROUND('Форма по МДС 81-35.2004'!F103*'Текущие цены за единицу'!P10,0)</f>
        <v>0</v>
      </c>
      <c r="Q10" s="48">
        <f>ROUND('Форма по МДС 81-35.2004'!F103*'Текущие цены за единицу'!Q10,0)</f>
        <v>0</v>
      </c>
      <c r="R10" s="48">
        <f>ROUND('Форма по МДС 81-35.2004'!F103*'Текущие цены за единицу'!R10,0)</f>
        <v>0</v>
      </c>
      <c r="S10" s="48">
        <f>ROUND('Форма по МДС 81-35.2004'!F103*'Текущие цены за единицу'!S10,0)</f>
        <v>0</v>
      </c>
      <c r="T10" s="48">
        <f>ROUND('Форма по МДС 81-35.2004'!F103*'Текущие цены за единицу'!T10,0)</f>
        <v>0</v>
      </c>
      <c r="U10" s="48">
        <f>ROUND('Форма по МДС 81-35.2004'!F103*'Текущие цены за единицу'!U10,0)</f>
        <v>0</v>
      </c>
      <c r="V10" s="48">
        <f>ROUND('Форма по МДС 81-35.2004'!F103*'Текущие цены за единицу'!V10,0)</f>
        <v>0</v>
      </c>
      <c r="X10" s="44">
        <f>ROUND('Форма по МДС 81-35.2004'!F103*'Текущие цены за единицу'!X10,0)</f>
        <v>0</v>
      </c>
      <c r="Y10" s="44">
        <f>IF(Определители!I10="9",ROUND((C10+E10)*(Начисления!M10/100)*('Форма по МДС 81-35.2004'!I114/100),0),0)</f>
        <v>0</v>
      </c>
      <c r="Z10" s="44">
        <f>IF(Определители!I10="9",ROUND((C10+E10)*(100-Начисления!M10/100)*('Форма по МДС 81-35.2004'!I114/100),0),0)</f>
        <v>0</v>
      </c>
      <c r="AA10" s="44">
        <f>IF(Определители!I10="9",ROUND((C10+E10)*(Начисления!M10/100)*('Форма по МДС 81-35.2004'!I117/100),0),0)</f>
        <v>0</v>
      </c>
      <c r="AB10" s="44">
        <f>IF(Определители!I10="9",ROUND((C10+E10)*(100-Начисления!M10/100)*('Форма по МДС 81-35.2004'!I117/100),0),0)</f>
        <v>0</v>
      </c>
      <c r="AC10" s="44">
        <f>IF(Определители!I10="9",ROUND(B10*Начисления!M10/100,0),0)</f>
        <v>0</v>
      </c>
      <c r="AD10" s="44">
        <f>IF(Определители!I10="9",ROUND(B10*(100-Начисления!M10)/100,0),0)</f>
        <v>0</v>
      </c>
      <c r="AE10" s="44">
        <f>ROUND('Форма по МДС 81-35.2004'!F103*'Текущие цены за единицу'!AE10,0)</f>
        <v>0</v>
      </c>
    </row>
    <row r="11" spans="1:31" x14ac:dyDescent="0.15">
      <c r="A11" s="48" t="str">
        <f>'Форма по МДС 81-35.2004'!A124</f>
        <v>6.</v>
      </c>
      <c r="B11" s="48">
        <f t="shared" si="0"/>
        <v>0</v>
      </c>
      <c r="C11" s="48">
        <f>ROUND(SUMIF('Форма по МДС 81-35.2004'!M124:M140,"Г",'Форма по МДС 81-35.2004'!J124:J140),0)</f>
        <v>0</v>
      </c>
      <c r="D11" s="48">
        <f>ROUND(SUMIF('Форма по МДС 81-35.2004'!M124:M140,"IsMash",'Форма по МДС 81-35.2004'!J124:J140),0)</f>
        <v>0</v>
      </c>
      <c r="E11" s="48">
        <f>'Форма по МДС 81-35.2004'!J125</f>
        <v>0</v>
      </c>
      <c r="F11" s="48">
        <f>ROUND(SUMIF('Форма по МДС 81-35.2004'!M124:M140,"IsMater",'Форма по МДС 81-35.2004'!J124:J140),0)</f>
        <v>0</v>
      </c>
      <c r="G11" s="48">
        <f>ROUND('Форма по МДС 81-35.2004'!F124*'Текущие цены за единицу'!G11,0)</f>
        <v>0</v>
      </c>
      <c r="H11" s="48">
        <f>ROUND('Форма по МДС 81-35.2004'!F124*'Текущие цены за единицу'!H11,0)</f>
        <v>0</v>
      </c>
      <c r="I11" s="40">
        <f>ОКРУГЛВСЕ(SUMIF('Форма по МДС 81-35.2004'!M124:M140,"Г",'Форма по МДС 81-35.2004'!F124:F140),2)</f>
        <v>0</v>
      </c>
      <c r="J11" s="40">
        <f>ОКРУГЛВСЕ('Форма по МДС 81-35.2004'!F124*'Текущие цены за единицу'!J11,2)</f>
        <v>0</v>
      </c>
      <c r="K11" s="40">
        <f>ОКРУГЛВСЕ(SUMIF('Форма по МДС 81-35.2004'!M124:M140,"Ж",'Форма по МДС 81-35.2004'!F124:F140),2)</f>
        <v>0</v>
      </c>
      <c r="L11" s="48">
        <f>ROUND('Форма по МДС 81-35.2004'!F124*'Текущие цены за единицу'!L11,0)</f>
        <v>0</v>
      </c>
      <c r="M11" s="48">
        <f>ROUND('Форма по МДС 81-35.2004'!F124*'Текущие цены за единицу'!M11,0)</f>
        <v>0</v>
      </c>
      <c r="N11" s="48">
        <f>ROUND((C11+E11)*'Форма по МДС 81-35.2004'!I135/100,0)</f>
        <v>0</v>
      </c>
      <c r="O11" s="48">
        <f>ROUND((C11+E11)*'Форма по МДС 81-35.2004'!I138/100,0)</f>
        <v>0</v>
      </c>
      <c r="P11" s="48">
        <f>ROUND('Форма по МДС 81-35.2004'!F124*'Текущие цены за единицу'!P11,0)</f>
        <v>0</v>
      </c>
      <c r="Q11" s="48">
        <f>ROUND('Форма по МДС 81-35.2004'!F124*'Текущие цены за единицу'!Q11,0)</f>
        <v>0</v>
      </c>
      <c r="R11" s="48">
        <f>ROUND('Форма по МДС 81-35.2004'!F124*'Текущие цены за единицу'!R11,0)</f>
        <v>0</v>
      </c>
      <c r="S11" s="48">
        <f>ROUND('Форма по МДС 81-35.2004'!F124*'Текущие цены за единицу'!S11,0)</f>
        <v>0</v>
      </c>
      <c r="T11" s="48">
        <f>ROUND('Форма по МДС 81-35.2004'!F124*'Текущие цены за единицу'!T11,0)</f>
        <v>0</v>
      </c>
      <c r="U11" s="48">
        <f>ROUND('Форма по МДС 81-35.2004'!F124*'Текущие цены за единицу'!U11,0)</f>
        <v>0</v>
      </c>
      <c r="V11" s="48">
        <f>ROUND('Форма по МДС 81-35.2004'!F124*'Текущие цены за единицу'!V11,0)</f>
        <v>0</v>
      </c>
      <c r="X11" s="44">
        <f>ROUND('Форма по МДС 81-35.2004'!F124*'Текущие цены за единицу'!X11,0)</f>
        <v>0</v>
      </c>
      <c r="Y11" s="44">
        <f>IF(Определители!I11="9",ROUND((C11+E11)*(Начисления!M11/100)*('Форма по МДС 81-35.2004'!I135/100),0),0)</f>
        <v>0</v>
      </c>
      <c r="Z11" s="44">
        <f>IF(Определители!I11="9",ROUND((C11+E11)*(100-Начисления!M11/100)*('Форма по МДС 81-35.2004'!I135/100),0),0)</f>
        <v>0</v>
      </c>
      <c r="AA11" s="44">
        <f>IF(Определители!I11="9",ROUND((C11+E11)*(Начисления!M11/100)*('Форма по МДС 81-35.2004'!I138/100),0),0)</f>
        <v>0</v>
      </c>
      <c r="AB11" s="44">
        <f>IF(Определители!I11="9",ROUND((C11+E11)*(100-Начисления!M11/100)*('Форма по МДС 81-35.2004'!I138/100),0),0)</f>
        <v>0</v>
      </c>
      <c r="AC11" s="44">
        <f>IF(Определители!I11="9",ROUND(B11*Начисления!M11/100,0),0)</f>
        <v>0</v>
      </c>
      <c r="AD11" s="44">
        <f>IF(Определители!I11="9",ROUND(B11*(100-Начисления!M11)/100,0),0)</f>
        <v>0</v>
      </c>
      <c r="AE11" s="44">
        <f>ROUND('Форма по МДС 81-35.2004'!F124*'Текущие цены за единицу'!AE11,0)</f>
        <v>0</v>
      </c>
    </row>
    <row r="12" spans="1:31" x14ac:dyDescent="0.15">
      <c r="A12" s="48" t="str">
        <f>'Форма по МДС 81-35.2004'!A145</f>
        <v>7.</v>
      </c>
      <c r="B12" s="48">
        <f t="shared" si="0"/>
        <v>0</v>
      </c>
      <c r="C12" s="48">
        <f>ROUND(SUMIF('Форма по МДС 81-35.2004'!M145:M155,"Г",'Форма по МДС 81-35.2004'!J145:J155),0)</f>
        <v>0</v>
      </c>
      <c r="D12" s="48">
        <f>ROUND(SUMIF('Форма по МДС 81-35.2004'!M145:M155,"IsMash",'Форма по МДС 81-35.2004'!J145:J155),0)</f>
        <v>0</v>
      </c>
      <c r="E12" s="48">
        <f>'Форма по МДС 81-35.2004'!J146</f>
        <v>0</v>
      </c>
      <c r="F12" s="48">
        <f>ROUND(SUMIF('Форма по МДС 81-35.2004'!M145:M155,"IsMater",'Форма по МДС 81-35.2004'!J145:J155),0)</f>
        <v>0</v>
      </c>
      <c r="G12" s="48">
        <f>ROUND('Форма по МДС 81-35.2004'!F145*'Текущие цены за единицу'!G12,0)</f>
        <v>0</v>
      </c>
      <c r="H12" s="48">
        <f>ROUND('Форма по МДС 81-35.2004'!F145*'Текущие цены за единицу'!H12,0)</f>
        <v>0</v>
      </c>
      <c r="I12" s="40">
        <f>ОКРУГЛВСЕ(SUMIF('Форма по МДС 81-35.2004'!M145:M155,"Г",'Форма по МДС 81-35.2004'!F145:F155),2)</f>
        <v>0</v>
      </c>
      <c r="J12" s="40">
        <f>ОКРУГЛВСЕ('Форма по МДС 81-35.2004'!F145*'Текущие цены за единицу'!J12,2)</f>
        <v>0</v>
      </c>
      <c r="K12" s="40">
        <f>ОКРУГЛВСЕ(SUMIF('Форма по МДС 81-35.2004'!M145:M155,"Ж",'Форма по МДС 81-35.2004'!F145:F155),2)</f>
        <v>0</v>
      </c>
      <c r="L12" s="48">
        <f>ROUND('Форма по МДС 81-35.2004'!F145*'Текущие цены за единицу'!L12,0)</f>
        <v>0</v>
      </c>
      <c r="M12" s="48">
        <f>ROUND('Форма по МДС 81-35.2004'!F145*'Текущие цены за единицу'!M12,0)</f>
        <v>0</v>
      </c>
      <c r="N12" s="48">
        <f>ROUND('Форма по МДС 81-35.2004'!F145*'Текущие цены за единицу'!N12,0)</f>
        <v>0</v>
      </c>
      <c r="O12" s="48">
        <f>ROUND('Форма по МДС 81-35.2004'!F145*'Текущие цены за единицу'!O12,0)</f>
        <v>0</v>
      </c>
      <c r="P12" s="48">
        <f>ROUND('Форма по МДС 81-35.2004'!F145*'Текущие цены за единицу'!P12,0)</f>
        <v>0</v>
      </c>
      <c r="Q12" s="48">
        <f>ROUND('Форма по МДС 81-35.2004'!F145*'Текущие цены за единицу'!Q12,0)</f>
        <v>0</v>
      </c>
      <c r="R12" s="48">
        <f>ROUND('Форма по МДС 81-35.2004'!F145*'Текущие цены за единицу'!R12,0)</f>
        <v>0</v>
      </c>
      <c r="S12" s="48">
        <f>ROUND('Форма по МДС 81-35.2004'!F145*'Текущие цены за единицу'!S12,0)</f>
        <v>0</v>
      </c>
      <c r="T12" s="48">
        <f>ROUND('Форма по МДС 81-35.2004'!F145*'Текущие цены за единицу'!T12,0)</f>
        <v>0</v>
      </c>
      <c r="U12" s="48">
        <f>ROUND('Форма по МДС 81-35.2004'!F145*'Текущие цены за единицу'!U12,0)</f>
        <v>0</v>
      </c>
      <c r="V12" s="48">
        <f>ROUND('Форма по МДС 81-35.2004'!F145*'Текущие цены за единицу'!V12,0)</f>
        <v>0</v>
      </c>
      <c r="X12" s="44">
        <f>ROUND('Форма по МДС 81-35.2004'!F145*'Текущие цены за единицу'!X12,0)</f>
        <v>0</v>
      </c>
      <c r="Y12" s="44">
        <f>ROUND('Форма по МДС 81-35.2004'!F145*'Текущие цены за единицу'!Y12,0)</f>
        <v>0</v>
      </c>
      <c r="Z12" s="44">
        <f>ROUND('Форма по МДС 81-35.2004'!F145*'Текущие цены за единицу'!Z12,0)</f>
        <v>0</v>
      </c>
      <c r="AA12" s="44">
        <f>ROUND('Форма по МДС 81-35.2004'!F145*'Текущие цены за единицу'!AA12,0)</f>
        <v>0</v>
      </c>
      <c r="AB12" s="44">
        <f>ROUND('Форма по МДС 81-35.2004'!F145*'Текущие цены за единицу'!AB12,0)</f>
        <v>0</v>
      </c>
      <c r="AC12" s="44">
        <f>ROUND('Форма по МДС 81-35.2004'!F145*'Текущие цены за единицу'!AC12,0)</f>
        <v>0</v>
      </c>
      <c r="AD12" s="44">
        <f>ROUND('Форма по МДС 81-35.2004'!F145*'Текущие цены за единицу'!AD12,0)</f>
        <v>0</v>
      </c>
      <c r="AE12" s="44">
        <f>ROUND('Форма по МДС 81-35.2004'!F145*'Текущие цены за единицу'!AE12,0)</f>
        <v>0</v>
      </c>
    </row>
    <row r="13" spans="1:31" x14ac:dyDescent="0.15">
      <c r="A13" s="48" t="str">
        <f>'Форма по МДС 81-35.2004'!A160</f>
        <v>8.</v>
      </c>
      <c r="B13" s="48">
        <f>'Форма по МДС 81-35.2004'!J160</f>
        <v>0</v>
      </c>
      <c r="C13" s="48">
        <f>ROUND(SUMIF('Форма по МДС 81-35.2004'!M160:M171,"Г",'Форма по МДС 81-35.2004'!J160:J171),0)</f>
        <v>0</v>
      </c>
      <c r="D13" s="48">
        <f>ROUND(SUMIF('Форма по МДС 81-35.2004'!M160:M171,"IsMash",'Форма по МДС 81-35.2004'!J160:J171),0)</f>
        <v>0</v>
      </c>
      <c r="E13" s="48">
        <f>'Форма по МДС 81-35.2004'!J161</f>
        <v>0</v>
      </c>
      <c r="F13" s="48">
        <f>ROUND(SUMIF('Форма по МДС 81-35.2004'!M160:M171,"IsMater",'Форма по МДС 81-35.2004'!J160:J171),0)</f>
        <v>0</v>
      </c>
      <c r="G13" s="48">
        <f>ROUND('Форма по МДС 81-35.2004'!F160*'Текущие цены за единицу'!G13,0)</f>
        <v>0</v>
      </c>
      <c r="H13" s="48">
        <f>ROUND('Форма по МДС 81-35.2004'!F160*'Текущие цены за единицу'!H13,0)</f>
        <v>0</v>
      </c>
      <c r="I13" s="40">
        <f>ОКРУГЛВСЕ(SUMIF('Форма по МДС 81-35.2004'!M160:M171,"Г",'Форма по МДС 81-35.2004'!F160:F171),2)</f>
        <v>0</v>
      </c>
      <c r="J13" s="40">
        <f>ОКРУГЛВСЕ('Форма по МДС 81-35.2004'!F160*'Текущие цены за единицу'!J13,2)</f>
        <v>0</v>
      </c>
      <c r="K13" s="40">
        <f>ОКРУГЛВСЕ(SUMIF('Форма по МДС 81-35.2004'!M160:M171,"Ж",'Форма по МДС 81-35.2004'!F160:F171),2)</f>
        <v>0</v>
      </c>
      <c r="L13" s="48">
        <f>ROUND('Форма по МДС 81-35.2004'!F160*'Текущие цены за единицу'!L13,0)</f>
        <v>0</v>
      </c>
      <c r="M13" s="48">
        <f>ROUND('Форма по МДС 81-35.2004'!F160*'Текущие цены за единицу'!M13,0)</f>
        <v>0</v>
      </c>
      <c r="N13" s="48">
        <f>ROUND('Форма по МДС 81-35.2004'!F160*'Текущие цены за единицу'!N13,0)</f>
        <v>0</v>
      </c>
      <c r="O13" s="48">
        <f>ROUND('Форма по МДС 81-35.2004'!F160*'Текущие цены за единицу'!O13,0)</f>
        <v>0</v>
      </c>
      <c r="P13" s="48">
        <f>ROUND('Форма по МДС 81-35.2004'!F160*'Текущие цены за единицу'!P13,0)</f>
        <v>0</v>
      </c>
      <c r="Q13" s="48">
        <f>ROUND('Форма по МДС 81-35.2004'!F160*'Текущие цены за единицу'!Q13,0)</f>
        <v>0</v>
      </c>
      <c r="R13" s="48">
        <f>ROUND('Форма по МДС 81-35.2004'!F160*'Текущие цены за единицу'!R13,0)</f>
        <v>0</v>
      </c>
      <c r="S13" s="48">
        <f>ROUND('Форма по МДС 81-35.2004'!F160*'Текущие цены за единицу'!S13,0)</f>
        <v>0</v>
      </c>
      <c r="T13" s="48">
        <f>ROUND('Форма по МДС 81-35.2004'!F160*'Текущие цены за единицу'!T13,0)</f>
        <v>0</v>
      </c>
      <c r="U13" s="48">
        <f>ROUND('Форма по МДС 81-35.2004'!F160*'Текущие цены за единицу'!U13,0)</f>
        <v>0</v>
      </c>
      <c r="V13" s="48">
        <f>ROUND('Форма по МДС 81-35.2004'!F160*'Текущие цены за единицу'!V13,0)</f>
        <v>0</v>
      </c>
      <c r="X13" s="44">
        <f>ROUND('Форма по МДС 81-35.2004'!F160*'Текущие цены за единицу'!X13,0)</f>
        <v>0</v>
      </c>
      <c r="Y13" s="44">
        <f>ROUND('Форма по МДС 81-35.2004'!F160*'Текущие цены за единицу'!Y13,0)</f>
        <v>0</v>
      </c>
      <c r="Z13" s="44">
        <f>ROUND('Форма по МДС 81-35.2004'!F160*'Текущие цены за единицу'!Z13,0)</f>
        <v>0</v>
      </c>
      <c r="AA13" s="44">
        <f>ROUND('Форма по МДС 81-35.2004'!F160*'Текущие цены за единицу'!AA13,0)</f>
        <v>0</v>
      </c>
      <c r="AB13" s="44">
        <f>ROUND('Форма по МДС 81-35.2004'!F160*'Текущие цены за единицу'!AB13,0)</f>
        <v>0</v>
      </c>
      <c r="AC13" s="44">
        <f>ROUND('Форма по МДС 81-35.2004'!F160*'Текущие цены за единицу'!AC13,0)</f>
        <v>0</v>
      </c>
      <c r="AD13" s="44">
        <f>ROUND('Форма по МДС 81-35.2004'!F160*'Текущие цены за единицу'!AD13,0)</f>
        <v>0</v>
      </c>
      <c r="AE13" s="44">
        <f>ROUND('Форма по МДС 81-35.2004'!F160*'Текущие цены за единицу'!AE13,0)</f>
        <v>0</v>
      </c>
    </row>
    <row r="14" spans="1:31" x14ac:dyDescent="0.15">
      <c r="A14" s="48" t="str">
        <f>'Форма по МДС 81-35.2004'!A176</f>
        <v>9.</v>
      </c>
      <c r="B14" s="48">
        <f>'Форма по МДС 81-35.2004'!J176</f>
        <v>0</v>
      </c>
      <c r="C14" s="48">
        <f>ROUND(SUMIF('Форма по МДС 81-35.2004'!M176:M196,"Г",'Форма по МДС 81-35.2004'!J176:J196),0)</f>
        <v>0</v>
      </c>
      <c r="D14" s="48">
        <f>ROUND(SUMIF('Форма по МДС 81-35.2004'!M176:M196,"IsMash",'Форма по МДС 81-35.2004'!J176:J196),0)</f>
        <v>0</v>
      </c>
      <c r="E14" s="48">
        <f>'Форма по МДС 81-35.2004'!J178</f>
        <v>0</v>
      </c>
      <c r="F14" s="48">
        <f>ROUND(SUMIF('Форма по МДС 81-35.2004'!M176:M196,"IsMater",'Форма по МДС 81-35.2004'!J176:J196),0)</f>
        <v>0</v>
      </c>
      <c r="G14" s="48">
        <f>ROUND('Форма по МДС 81-35.2004'!F176*'Текущие цены за единицу'!G14,0)</f>
        <v>0</v>
      </c>
      <c r="H14" s="48">
        <f>ROUND('Форма по МДС 81-35.2004'!F176*'Текущие цены за единицу'!H14,0)</f>
        <v>0</v>
      </c>
      <c r="I14" s="40">
        <f>ОКРУГЛВСЕ(SUMIF('Форма по МДС 81-35.2004'!M176:M196,"Г",'Форма по МДС 81-35.2004'!F176:F196),2)</f>
        <v>0</v>
      </c>
      <c r="J14" s="40">
        <f>ОКРУГЛВСЕ('Форма по МДС 81-35.2004'!F176*'Текущие цены за единицу'!J14,2)</f>
        <v>0</v>
      </c>
      <c r="K14" s="40">
        <f>ОКРУГЛВСЕ(SUMIF('Форма по МДС 81-35.2004'!M176:M196,"Ж",'Форма по МДС 81-35.2004'!F176:F196),2)</f>
        <v>0</v>
      </c>
      <c r="L14" s="48">
        <f>ROUND('Форма по МДС 81-35.2004'!F176*'Текущие цены за единицу'!L14,0)</f>
        <v>0</v>
      </c>
      <c r="M14" s="48">
        <f>ROUND('Форма по МДС 81-35.2004'!F176*'Текущие цены за единицу'!M14,0)</f>
        <v>0</v>
      </c>
      <c r="N14" s="48">
        <f>ROUND(E14*'Форма по МДС 81-35.2004'!I190/100,0)</f>
        <v>0</v>
      </c>
      <c r="O14" s="48">
        <f>ROUND(E14*'Форма по МДС 81-35.2004'!I193/100,0)</f>
        <v>0</v>
      </c>
      <c r="P14" s="48">
        <f>ROUND('Форма по МДС 81-35.2004'!F176*'Текущие цены за единицу'!P14,0)</f>
        <v>0</v>
      </c>
      <c r="Q14" s="48">
        <f>ROUND('Форма по МДС 81-35.2004'!F176*'Текущие цены за единицу'!Q14,0)</f>
        <v>0</v>
      </c>
      <c r="R14" s="48">
        <f>ROUND('Форма по МДС 81-35.2004'!F176*'Текущие цены за единицу'!R14,0)</f>
        <v>0</v>
      </c>
      <c r="S14" s="48">
        <f>ROUND('Форма по МДС 81-35.2004'!F176*'Текущие цены за единицу'!S14,0)</f>
        <v>0</v>
      </c>
      <c r="T14" s="48">
        <f>ROUND('Форма по МДС 81-35.2004'!F176*'Текущие цены за единицу'!T14,0)</f>
        <v>0</v>
      </c>
      <c r="U14" s="48">
        <f>ROUND('Форма по МДС 81-35.2004'!F176*'Текущие цены за единицу'!U14,0)</f>
        <v>0</v>
      </c>
      <c r="V14" s="48">
        <f>ROUND('Форма по МДС 81-35.2004'!F176*'Текущие цены за единицу'!V14,0)</f>
        <v>0</v>
      </c>
      <c r="X14" s="44">
        <f>ROUND('Форма по МДС 81-35.2004'!F176*'Текущие цены за единицу'!X14,0)</f>
        <v>0</v>
      </c>
      <c r="Y14" s="44">
        <f>IF(Определители!I14="9",ROUND(E14*(Начисления!M14/100)*'Форма по МДС 81-35.2004'!I190/100,0),0)</f>
        <v>0</v>
      </c>
      <c r="Z14" s="44">
        <f>IF(Определители!I14="9",ROUND(E14*(100-Начисления!M14/100)*'Форма по МДС 81-35.2004'!I190/100,0),0)</f>
        <v>0</v>
      </c>
      <c r="AA14" s="44">
        <f>IF(Определители!I14="9",ROUND(E14*(Начисления!M14/100)*'Форма по МДС 81-35.2004'!I193/100,0),0)</f>
        <v>0</v>
      </c>
      <c r="AB14" s="44">
        <f>IF(Определители!I14="9",ROUND(E14*(100-Начисления!M14/100)*'Форма по МДС 81-35.2004'!I193/100,0),0)</f>
        <v>0</v>
      </c>
      <c r="AC14" s="44">
        <f>IF(Определители!I14="9",ROUND(B14*Начисления!M14/100,0),0)</f>
        <v>0</v>
      </c>
      <c r="AD14" s="44">
        <f>IF(Определители!I14="9",ROUND(B14*(100-Начисления!M14)/100,0),0)</f>
        <v>0</v>
      </c>
      <c r="AE14" s="44">
        <f>ROUND('Форма по МДС 81-35.2004'!F176*'Текущие цены за единицу'!AE14,0)</f>
        <v>0</v>
      </c>
    </row>
    <row r="15" spans="1:31" x14ac:dyDescent="0.15">
      <c r="A15" s="48" t="str">
        <f>'Форма по МДС 81-35.2004'!A197</f>
        <v>10.</v>
      </c>
      <c r="B15" s="48">
        <f>'Форма по МДС 81-35.2004'!J197</f>
        <v>0</v>
      </c>
      <c r="C15" s="48">
        <f>ROUND(SUMIF('Форма по МДС 81-35.2004'!M197:M217,"Г",'Форма по МДС 81-35.2004'!J197:J217),0)</f>
        <v>0</v>
      </c>
      <c r="D15" s="48">
        <f>ROUND(SUMIF('Форма по МДС 81-35.2004'!M197:M217,"IsMash",'Форма по МДС 81-35.2004'!J197:J217),0)</f>
        <v>0</v>
      </c>
      <c r="E15" s="48">
        <f>'Форма по МДС 81-35.2004'!J199</f>
        <v>0</v>
      </c>
      <c r="F15" s="48">
        <f>ROUND(SUMIF('Форма по МДС 81-35.2004'!M197:M217,"IsMater",'Форма по МДС 81-35.2004'!J197:J217),0)</f>
        <v>0</v>
      </c>
      <c r="G15" s="48">
        <f>ROUND('Форма по МДС 81-35.2004'!F197*'Текущие цены за единицу'!G15,0)</f>
        <v>0</v>
      </c>
      <c r="H15" s="48">
        <f>ROUND('Форма по МДС 81-35.2004'!F197*'Текущие цены за единицу'!H15,0)</f>
        <v>0</v>
      </c>
      <c r="I15" s="40">
        <f>ОКРУГЛВСЕ(SUMIF('Форма по МДС 81-35.2004'!M197:M217,"Г",'Форма по МДС 81-35.2004'!F197:F217),2)</f>
        <v>0</v>
      </c>
      <c r="J15" s="40">
        <f>ОКРУГЛВСЕ('Форма по МДС 81-35.2004'!F197*'Текущие цены за единицу'!J15,2)</f>
        <v>0</v>
      </c>
      <c r="K15" s="40">
        <f>ОКРУГЛВСЕ(SUMIF('Форма по МДС 81-35.2004'!M197:M217,"Ж",'Форма по МДС 81-35.2004'!F197:F217),2)</f>
        <v>0</v>
      </c>
      <c r="L15" s="48">
        <f>ROUND('Форма по МДС 81-35.2004'!F197*'Текущие цены за единицу'!L15,0)</f>
        <v>0</v>
      </c>
      <c r="M15" s="48">
        <f>ROUND('Форма по МДС 81-35.2004'!F197*'Текущие цены за единицу'!M15,0)</f>
        <v>0</v>
      </c>
      <c r="N15" s="48">
        <f>ROUND((C15+E15)*'Форма по МДС 81-35.2004'!I211/100,0)</f>
        <v>0</v>
      </c>
      <c r="O15" s="48">
        <f>ROUND((C15+E15)*'Форма по МДС 81-35.2004'!I214/100,0)</f>
        <v>0</v>
      </c>
      <c r="P15" s="48">
        <f>ROUND('Форма по МДС 81-35.2004'!F197*'Текущие цены за единицу'!P15,0)</f>
        <v>0</v>
      </c>
      <c r="Q15" s="48">
        <f>ROUND('Форма по МДС 81-35.2004'!F197*'Текущие цены за единицу'!Q15,0)</f>
        <v>0</v>
      </c>
      <c r="R15" s="48">
        <f>ROUND('Форма по МДС 81-35.2004'!F197*'Текущие цены за единицу'!R15,0)</f>
        <v>0</v>
      </c>
      <c r="S15" s="48">
        <f>ROUND('Форма по МДС 81-35.2004'!F197*'Текущие цены за единицу'!S15,0)</f>
        <v>0</v>
      </c>
      <c r="T15" s="48">
        <f>ROUND('Форма по МДС 81-35.2004'!F197*'Текущие цены за единицу'!T15,0)</f>
        <v>0</v>
      </c>
      <c r="U15" s="48">
        <f>ROUND('Форма по МДС 81-35.2004'!F197*'Текущие цены за единицу'!U15,0)</f>
        <v>0</v>
      </c>
      <c r="V15" s="48">
        <f>ROUND('Форма по МДС 81-35.2004'!F197*'Текущие цены за единицу'!V15,0)</f>
        <v>0</v>
      </c>
      <c r="X15" s="44">
        <f>ROUND('Форма по МДС 81-35.2004'!F197*'Текущие цены за единицу'!X15,0)</f>
        <v>0</v>
      </c>
      <c r="Y15" s="44">
        <f>IF(Определители!I15="9",ROUND((C15+E15)*(Начисления!M15/100)*('Форма по МДС 81-35.2004'!I211/100),0),0)</f>
        <v>0</v>
      </c>
      <c r="Z15" s="44">
        <f>IF(Определители!I15="9",ROUND((C15+E15)*(100-Начисления!M15/100)*('Форма по МДС 81-35.2004'!I211/100),0),0)</f>
        <v>0</v>
      </c>
      <c r="AA15" s="44">
        <f>IF(Определители!I15="9",ROUND((C15+E15)*(Начисления!M15/100)*('Форма по МДС 81-35.2004'!I214/100),0),0)</f>
        <v>0</v>
      </c>
      <c r="AB15" s="44">
        <f>IF(Определители!I15="9",ROUND((C15+E15)*(100-Начисления!M15/100)*('Форма по МДС 81-35.2004'!I214/100),0),0)</f>
        <v>0</v>
      </c>
      <c r="AC15" s="44">
        <f>IF(Определители!I15="9",ROUND(B15*Начисления!M15/100,0),0)</f>
        <v>0</v>
      </c>
      <c r="AD15" s="44">
        <f>IF(Определители!I15="9",ROUND(B15*(100-Начисления!M15)/100,0),0)</f>
        <v>0</v>
      </c>
      <c r="AE15" s="44">
        <f>ROUND('Форма по МДС 81-35.2004'!F197*'Текущие цены за единицу'!AE15,0)</f>
        <v>0</v>
      </c>
    </row>
    <row r="16" spans="1:31" x14ac:dyDescent="0.15">
      <c r="A16" s="48" t="str">
        <f>'Форма по МДС 81-35.2004'!A218</f>
        <v>11.</v>
      </c>
      <c r="B16" s="48">
        <f>'Форма по МДС 81-35.2004'!J218</f>
        <v>0</v>
      </c>
      <c r="C16" s="48">
        <f>ROUND(SUMIF('Форма по МДС 81-35.2004'!M218:M238,"Г",'Форма по МДС 81-35.2004'!J218:J238),0)</f>
        <v>0</v>
      </c>
      <c r="D16" s="48">
        <f>ROUND(SUMIF('Форма по МДС 81-35.2004'!M218:M238,"IsMash",'Форма по МДС 81-35.2004'!J218:J238),0)</f>
        <v>0</v>
      </c>
      <c r="E16" s="48">
        <f>'Форма по МДС 81-35.2004'!J220</f>
        <v>0</v>
      </c>
      <c r="F16" s="48">
        <f>ROUND(SUMIF('Форма по МДС 81-35.2004'!M218:M238,"IsMater",'Форма по МДС 81-35.2004'!J218:J238),0)</f>
        <v>0</v>
      </c>
      <c r="G16" s="48">
        <f>ROUND('Форма по МДС 81-35.2004'!F218*'Текущие цены за единицу'!G16,0)</f>
        <v>0</v>
      </c>
      <c r="H16" s="48">
        <f>ROUND('Форма по МДС 81-35.2004'!F218*'Текущие цены за единицу'!H16,0)</f>
        <v>0</v>
      </c>
      <c r="I16" s="40">
        <f>ОКРУГЛВСЕ(SUMIF('Форма по МДС 81-35.2004'!M218:M238,"Г",'Форма по МДС 81-35.2004'!F218:F238),2)</f>
        <v>0</v>
      </c>
      <c r="J16" s="40">
        <f>ОКРУГЛВСЕ('Форма по МДС 81-35.2004'!F218*'Текущие цены за единицу'!J16,2)</f>
        <v>0</v>
      </c>
      <c r="K16" s="40">
        <f>ОКРУГЛВСЕ(SUMIF('Форма по МДС 81-35.2004'!M218:M238,"Ж",'Форма по МДС 81-35.2004'!F218:F238),2)</f>
        <v>0</v>
      </c>
      <c r="L16" s="48">
        <f>ROUND('Форма по МДС 81-35.2004'!F218*'Текущие цены за единицу'!L16,0)</f>
        <v>0</v>
      </c>
      <c r="M16" s="48">
        <f>ROUND('Форма по МДС 81-35.2004'!F218*'Текущие цены за единицу'!M16,0)</f>
        <v>0</v>
      </c>
      <c r="N16" s="48">
        <f>ROUND((C16+E16)*'Форма по МДС 81-35.2004'!I232/100,0)</f>
        <v>0</v>
      </c>
      <c r="O16" s="48">
        <f>ROUND((C16+E16)*'Форма по МДС 81-35.2004'!I235/100,0)</f>
        <v>0</v>
      </c>
      <c r="P16" s="48">
        <f>ROUND('Форма по МДС 81-35.2004'!F218*'Текущие цены за единицу'!P16,0)</f>
        <v>0</v>
      </c>
      <c r="Q16" s="48">
        <f>ROUND('Форма по МДС 81-35.2004'!F218*'Текущие цены за единицу'!Q16,0)</f>
        <v>0</v>
      </c>
      <c r="R16" s="48">
        <f>ROUND('Форма по МДС 81-35.2004'!F218*'Текущие цены за единицу'!R16,0)</f>
        <v>0</v>
      </c>
      <c r="S16" s="48">
        <f>ROUND('Форма по МДС 81-35.2004'!F218*'Текущие цены за единицу'!S16,0)</f>
        <v>0</v>
      </c>
      <c r="T16" s="48">
        <f>ROUND('Форма по МДС 81-35.2004'!F218*'Текущие цены за единицу'!T16,0)</f>
        <v>0</v>
      </c>
      <c r="U16" s="48">
        <f>ROUND('Форма по МДС 81-35.2004'!F218*'Текущие цены за единицу'!U16,0)</f>
        <v>0</v>
      </c>
      <c r="V16" s="48">
        <f>ROUND('Форма по МДС 81-35.2004'!F218*'Текущие цены за единицу'!V16,0)</f>
        <v>0</v>
      </c>
      <c r="X16" s="44">
        <f>ROUND('Форма по МДС 81-35.2004'!F218*'Текущие цены за единицу'!X16,0)</f>
        <v>0</v>
      </c>
      <c r="Y16" s="44">
        <f>IF(Определители!I16="9",ROUND((C16+E16)*(Начисления!M16/100)*('Форма по МДС 81-35.2004'!I232/100),0),0)</f>
        <v>0</v>
      </c>
      <c r="Z16" s="44">
        <f>IF(Определители!I16="9",ROUND((C16+E16)*(100-Начисления!M16/100)*('Форма по МДС 81-35.2004'!I232/100),0),0)</f>
        <v>0</v>
      </c>
      <c r="AA16" s="44">
        <f>IF(Определители!I16="9",ROUND((C16+E16)*(Начисления!M16/100)*('Форма по МДС 81-35.2004'!I235/100),0),0)</f>
        <v>0</v>
      </c>
      <c r="AB16" s="44">
        <f>IF(Определители!I16="9",ROUND((C16+E16)*(100-Начисления!M16/100)*('Форма по МДС 81-35.2004'!I235/100),0),0)</f>
        <v>0</v>
      </c>
      <c r="AC16" s="44">
        <f>IF(Определители!I16="9",ROUND(B16*Начисления!M16/100,0),0)</f>
        <v>0</v>
      </c>
      <c r="AD16" s="44">
        <f>IF(Определители!I16="9",ROUND(B16*(100-Начисления!M16)/100,0),0)</f>
        <v>0</v>
      </c>
      <c r="AE16" s="44">
        <f>ROUND('Форма по МДС 81-35.2004'!F218*'Текущие цены за единицу'!AE16,0)</f>
        <v>0</v>
      </c>
    </row>
    <row r="17" spans="1:31" x14ac:dyDescent="0.15">
      <c r="A17" s="48" t="str">
        <f>'Форма по МДС 81-35.2004'!A239</f>
        <v>12.</v>
      </c>
      <c r="B17" s="48">
        <f>'Форма по МДС 81-35.2004'!J239</f>
        <v>0</v>
      </c>
      <c r="C17" s="48">
        <f>ROUND(SUMIF('Форма по МДС 81-35.2004'!M239:M286,"Г",'Форма по МДС 81-35.2004'!J239:J286),0)</f>
        <v>0</v>
      </c>
      <c r="D17" s="48">
        <f>ROUND(SUMIF('Форма по МДС 81-35.2004'!M239:M286,"IsMash",'Форма по МДС 81-35.2004'!J239:J286),0)</f>
        <v>0</v>
      </c>
      <c r="E17" s="48">
        <f>'Форма по МДС 81-35.2004'!J241</f>
        <v>0</v>
      </c>
      <c r="F17" s="48">
        <f>ROUND(SUMIF('Форма по МДС 81-35.2004'!M239:M286,"IsMater",'Форма по МДС 81-35.2004'!J239:J286),0)</f>
        <v>0</v>
      </c>
      <c r="G17" s="48">
        <f>ROUND('Форма по МДС 81-35.2004'!F239*'Текущие цены за единицу'!G17,0)</f>
        <v>0</v>
      </c>
      <c r="H17" s="48">
        <f>ROUND('Форма по МДС 81-35.2004'!F239*'Текущие цены за единицу'!H17,0)</f>
        <v>0</v>
      </c>
      <c r="I17" s="40">
        <f>ОКРУГЛВСЕ(SUMIF('Форма по МДС 81-35.2004'!M239:M286,"Г",'Форма по МДС 81-35.2004'!F239:F286),2)</f>
        <v>0</v>
      </c>
      <c r="J17" s="40">
        <f>ОКРУГЛВСЕ('Форма по МДС 81-35.2004'!F239*'Текущие цены за единицу'!J17,2)</f>
        <v>0</v>
      </c>
      <c r="K17" s="40">
        <f>ОКРУГЛВСЕ(SUMIF('Форма по МДС 81-35.2004'!M239:M286,"Ж",'Форма по МДС 81-35.2004'!F239:F286),2)</f>
        <v>0</v>
      </c>
      <c r="L17" s="48">
        <f>ROUND('Форма по МДС 81-35.2004'!F239*'Текущие цены за единицу'!L17,0)</f>
        <v>0</v>
      </c>
      <c r="M17" s="48">
        <f>ROUND('Форма по МДС 81-35.2004'!F239*'Текущие цены за единицу'!M17,0)</f>
        <v>0</v>
      </c>
      <c r="N17" s="48">
        <f>ROUND((C17+E17)*'Форма по МДС 81-35.2004'!I280/100,0)</f>
        <v>0</v>
      </c>
      <c r="O17" s="48">
        <f>ROUND((C17+E17)*'Форма по МДС 81-35.2004'!I283/100,0)</f>
        <v>0</v>
      </c>
      <c r="P17" s="48">
        <f>ROUND('Форма по МДС 81-35.2004'!F239*'Текущие цены за единицу'!P17,0)</f>
        <v>0</v>
      </c>
      <c r="Q17" s="48">
        <f>ROUND('Форма по МДС 81-35.2004'!F239*'Текущие цены за единицу'!Q17,0)</f>
        <v>0</v>
      </c>
      <c r="R17" s="48">
        <f>ROUND('Форма по МДС 81-35.2004'!F239*'Текущие цены за единицу'!R17,0)</f>
        <v>0</v>
      </c>
      <c r="S17" s="48">
        <f>ROUND('Форма по МДС 81-35.2004'!F239*'Текущие цены за единицу'!S17,0)</f>
        <v>0</v>
      </c>
      <c r="T17" s="48">
        <f>ROUND('Форма по МДС 81-35.2004'!F239*'Текущие цены за единицу'!T17,0)</f>
        <v>0</v>
      </c>
      <c r="U17" s="48">
        <f>ROUND('Форма по МДС 81-35.2004'!F239*'Текущие цены за единицу'!U17,0)</f>
        <v>0</v>
      </c>
      <c r="V17" s="48">
        <f>ROUND('Форма по МДС 81-35.2004'!F239*'Текущие цены за единицу'!V17,0)</f>
        <v>0</v>
      </c>
      <c r="X17" s="44">
        <f>ROUND('Форма по МДС 81-35.2004'!F239*'Текущие цены за единицу'!X17,0)</f>
        <v>0</v>
      </c>
      <c r="Y17" s="44">
        <f>IF(Определители!I17="9",ROUND((C17+E17)*(Начисления!M17/100)*('Форма по МДС 81-35.2004'!I280/100),0),0)</f>
        <v>0</v>
      </c>
      <c r="Z17" s="44">
        <f>IF(Определители!I17="9",ROUND((C17+E17)*(100-Начисления!M17/100)*('Форма по МДС 81-35.2004'!I280/100),0),0)</f>
        <v>0</v>
      </c>
      <c r="AA17" s="44">
        <f>IF(Определители!I17="9",ROUND((C17+E17)*(Начисления!M17/100)*('Форма по МДС 81-35.2004'!I283/100),0),0)</f>
        <v>0</v>
      </c>
      <c r="AB17" s="44">
        <f>IF(Определители!I17="9",ROUND((C17+E17)*(100-Начисления!M17/100)*('Форма по МДС 81-35.2004'!I283/100),0),0)</f>
        <v>0</v>
      </c>
      <c r="AC17" s="44">
        <f>IF(Определители!I17="9",ROUND(B17*Начисления!M17/100,0),0)</f>
        <v>0</v>
      </c>
      <c r="AD17" s="44">
        <f>IF(Определители!I17="9",ROUND(B17*(100-Начисления!M17)/100,0),0)</f>
        <v>0</v>
      </c>
      <c r="AE17" s="44">
        <f>ROUND('Форма по МДС 81-35.2004'!F239*'Текущие цены за единицу'!AE17,0)</f>
        <v>0</v>
      </c>
    </row>
    <row r="18" spans="1:31" x14ac:dyDescent="0.15">
      <c r="A18" s="48" t="str">
        <f>'Форма по МДС 81-35.2004'!A287</f>
        <v>13.</v>
      </c>
      <c r="B18" s="48">
        <f>'Форма по МДС 81-35.2004'!J287</f>
        <v>0</v>
      </c>
      <c r="C18" s="48">
        <f>ROUND(SUMIF('Форма по МДС 81-35.2004'!M287:M308,"Г",'Форма по МДС 81-35.2004'!J287:J308),0)</f>
        <v>0</v>
      </c>
      <c r="D18" s="48">
        <f>ROUND(SUMIF('Форма по МДС 81-35.2004'!M287:M308,"IsMash",'Форма по МДС 81-35.2004'!J287:J308),0)</f>
        <v>0</v>
      </c>
      <c r="E18" s="48">
        <f>'Форма по МДС 81-35.2004'!J289</f>
        <v>0</v>
      </c>
      <c r="F18" s="48">
        <f>ROUND(SUMIF('Форма по МДС 81-35.2004'!M287:M308,"IsMater",'Форма по МДС 81-35.2004'!J287:J308),0)</f>
        <v>0</v>
      </c>
      <c r="G18" s="48">
        <f>ROUND('Форма по МДС 81-35.2004'!F287*'Текущие цены за единицу'!G18,0)</f>
        <v>0</v>
      </c>
      <c r="H18" s="48">
        <f>ROUND('Форма по МДС 81-35.2004'!F287*'Текущие цены за единицу'!H18,0)</f>
        <v>0</v>
      </c>
      <c r="I18" s="40">
        <f>ОКРУГЛВСЕ(SUMIF('Форма по МДС 81-35.2004'!M287:M308,"Г",'Форма по МДС 81-35.2004'!F287:F308),2)</f>
        <v>0</v>
      </c>
      <c r="J18" s="40">
        <f>ОКРУГЛВСЕ('Форма по МДС 81-35.2004'!F287*'Текущие цены за единицу'!J18,2)</f>
        <v>0</v>
      </c>
      <c r="K18" s="40">
        <f>ОКРУГЛВСЕ(SUMIF('Форма по МДС 81-35.2004'!M287:M308,"Ж",'Форма по МДС 81-35.2004'!F287:F308),2)</f>
        <v>0</v>
      </c>
      <c r="L18" s="48">
        <f>ROUND('Форма по МДС 81-35.2004'!F287*'Текущие цены за единицу'!L18,0)</f>
        <v>0</v>
      </c>
      <c r="M18" s="48">
        <f>ROUND('Форма по МДС 81-35.2004'!F287*'Текущие цены за единицу'!M18,0)</f>
        <v>0</v>
      </c>
      <c r="N18" s="48">
        <f>ROUND((C18+E18)*'Форма по МДС 81-35.2004'!I302/100,0)</f>
        <v>0</v>
      </c>
      <c r="O18" s="48">
        <f>ROUND((C18+E18)*'Форма по МДС 81-35.2004'!I305/100,0)</f>
        <v>0</v>
      </c>
      <c r="P18" s="48">
        <f>ROUND('Форма по МДС 81-35.2004'!F287*'Текущие цены за единицу'!P18,0)</f>
        <v>0</v>
      </c>
      <c r="Q18" s="48">
        <f>ROUND('Форма по МДС 81-35.2004'!F287*'Текущие цены за единицу'!Q18,0)</f>
        <v>0</v>
      </c>
      <c r="R18" s="48">
        <f>ROUND('Форма по МДС 81-35.2004'!F287*'Текущие цены за единицу'!R18,0)</f>
        <v>0</v>
      </c>
      <c r="S18" s="48">
        <f>ROUND('Форма по МДС 81-35.2004'!F287*'Текущие цены за единицу'!S18,0)</f>
        <v>0</v>
      </c>
      <c r="T18" s="48">
        <f>ROUND('Форма по МДС 81-35.2004'!F287*'Текущие цены за единицу'!T18,0)</f>
        <v>0</v>
      </c>
      <c r="U18" s="48">
        <f>ROUND('Форма по МДС 81-35.2004'!F287*'Текущие цены за единицу'!U18,0)</f>
        <v>0</v>
      </c>
      <c r="V18" s="48">
        <f>ROUND('Форма по МДС 81-35.2004'!F287*'Текущие цены за единицу'!V18,0)</f>
        <v>0</v>
      </c>
      <c r="X18" s="44">
        <f>ROUND('Форма по МДС 81-35.2004'!F287*'Текущие цены за единицу'!X18,0)</f>
        <v>0</v>
      </c>
      <c r="Y18" s="44">
        <f>IF(Определители!I18="9",ROUND((C18+E18)*(Начисления!M18/100)*('Форма по МДС 81-35.2004'!I302/100),0),0)</f>
        <v>0</v>
      </c>
      <c r="Z18" s="44">
        <f>IF(Определители!I18="9",ROUND((C18+E18)*(100-Начисления!M18/100)*('Форма по МДС 81-35.2004'!I302/100),0),0)</f>
        <v>0</v>
      </c>
      <c r="AA18" s="44">
        <f>IF(Определители!I18="9",ROUND((C18+E18)*(Начисления!M18/100)*('Форма по МДС 81-35.2004'!I305/100),0),0)</f>
        <v>0</v>
      </c>
      <c r="AB18" s="44">
        <f>IF(Определители!I18="9",ROUND((C18+E18)*(100-Начисления!M18/100)*('Форма по МДС 81-35.2004'!I305/100),0),0)</f>
        <v>0</v>
      </c>
      <c r="AC18" s="44">
        <f>IF(Определители!I18="9",ROUND(B18*Начисления!M18/100,0),0)</f>
        <v>0</v>
      </c>
      <c r="AD18" s="44">
        <f>IF(Определители!I18="9",ROUND(B18*(100-Начисления!M18)/100,0),0)</f>
        <v>0</v>
      </c>
      <c r="AE18" s="44">
        <f>ROUND('Форма по МДС 81-35.2004'!F287*'Текущие цены за единицу'!AE18,0)</f>
        <v>0</v>
      </c>
    </row>
    <row r="19" spans="1:31" x14ac:dyDescent="0.15">
      <c r="A19" s="48" t="str">
        <f>'Форма по МДС 81-35.2004'!A309</f>
        <v>14.</v>
      </c>
      <c r="B19" s="48">
        <f>'Форма по МДС 81-35.2004'!J309</f>
        <v>0</v>
      </c>
      <c r="C19" s="48">
        <f>ROUND(SUMIF('Форма по МДС 81-35.2004'!M309:M326,"Г",'Форма по МДС 81-35.2004'!J309:J326),0)</f>
        <v>0</v>
      </c>
      <c r="D19" s="48">
        <f>ROUND(SUMIF('Форма по МДС 81-35.2004'!M309:M326,"IsMash",'Форма по МДС 81-35.2004'!J309:J326),0)</f>
        <v>0</v>
      </c>
      <c r="E19" s="48">
        <f>'Форма по МДС 81-35.2004'!J310</f>
        <v>0</v>
      </c>
      <c r="F19" s="48">
        <f>ROUND(SUMIF('Форма по МДС 81-35.2004'!M309:M326,"IsMater",'Форма по МДС 81-35.2004'!J309:J326),0)</f>
        <v>0</v>
      </c>
      <c r="G19" s="48">
        <f>ROUND('Форма по МДС 81-35.2004'!F309*'Текущие цены за единицу'!G19,0)</f>
        <v>0</v>
      </c>
      <c r="H19" s="48">
        <f>ROUND('Форма по МДС 81-35.2004'!F309*'Текущие цены за единицу'!H19,0)</f>
        <v>0</v>
      </c>
      <c r="I19" s="40">
        <f>ОКРУГЛВСЕ(SUMIF('Форма по МДС 81-35.2004'!M309:M326,"Г",'Форма по МДС 81-35.2004'!F309:F326),2)</f>
        <v>0</v>
      </c>
      <c r="J19" s="40">
        <f>ОКРУГЛВСЕ('Форма по МДС 81-35.2004'!F309*'Текущие цены за единицу'!J19,2)</f>
        <v>0</v>
      </c>
      <c r="K19" s="40">
        <f>ОКРУГЛВСЕ(SUMIF('Форма по МДС 81-35.2004'!M309:M326,"Ж",'Форма по МДС 81-35.2004'!F309:F326),2)</f>
        <v>0</v>
      </c>
      <c r="L19" s="48">
        <f>ROUND('Форма по МДС 81-35.2004'!F309*'Текущие цены за единицу'!L19,0)</f>
        <v>0</v>
      </c>
      <c r="M19" s="48">
        <f>ROUND('Форма по МДС 81-35.2004'!F309*'Текущие цены за единицу'!M19,0)</f>
        <v>0</v>
      </c>
      <c r="N19" s="48">
        <f>ROUND((C19+E19)*'Форма по МДС 81-35.2004'!I321/100,0)</f>
        <v>0</v>
      </c>
      <c r="O19" s="48">
        <f>ROUND((C19+E19)*'Форма по МДС 81-35.2004'!I324/100,0)</f>
        <v>0</v>
      </c>
      <c r="P19" s="48">
        <f>ROUND('Форма по МДС 81-35.2004'!F309*'Текущие цены за единицу'!P19,0)</f>
        <v>0</v>
      </c>
      <c r="Q19" s="48">
        <f>ROUND('Форма по МДС 81-35.2004'!F309*'Текущие цены за единицу'!Q19,0)</f>
        <v>0</v>
      </c>
      <c r="R19" s="48">
        <f>ROUND('Форма по МДС 81-35.2004'!F309*'Текущие цены за единицу'!R19,0)</f>
        <v>0</v>
      </c>
      <c r="S19" s="48">
        <f>ROUND('Форма по МДС 81-35.2004'!F309*'Текущие цены за единицу'!S19,0)</f>
        <v>0</v>
      </c>
      <c r="T19" s="48">
        <f>ROUND('Форма по МДС 81-35.2004'!F309*'Текущие цены за единицу'!T19,0)</f>
        <v>0</v>
      </c>
      <c r="U19" s="48">
        <f>ROUND('Форма по МДС 81-35.2004'!F309*'Текущие цены за единицу'!U19,0)</f>
        <v>0</v>
      </c>
      <c r="V19" s="48">
        <f>ROUND('Форма по МДС 81-35.2004'!F309*'Текущие цены за единицу'!V19,0)</f>
        <v>0</v>
      </c>
      <c r="X19" s="44">
        <f>ROUND('Форма по МДС 81-35.2004'!F309*'Текущие цены за единицу'!X19,0)</f>
        <v>0</v>
      </c>
      <c r="Y19" s="44">
        <f>IF(Определители!I19="9",ROUND((C19+E19)*(Начисления!M19/100)*('Форма по МДС 81-35.2004'!I321/100),0),0)</f>
        <v>0</v>
      </c>
      <c r="Z19" s="44">
        <f>IF(Определители!I19="9",ROUND((C19+E19)*(100-Начисления!M19/100)*('Форма по МДС 81-35.2004'!I321/100),0),0)</f>
        <v>0</v>
      </c>
      <c r="AA19" s="44">
        <f>IF(Определители!I19="9",ROUND((C19+E19)*(Начисления!M19/100)*('Форма по МДС 81-35.2004'!I324/100),0),0)</f>
        <v>0</v>
      </c>
      <c r="AB19" s="44">
        <f>IF(Определители!I19="9",ROUND((C19+E19)*(100-Начисления!M19/100)*('Форма по МДС 81-35.2004'!I324/100),0),0)</f>
        <v>0</v>
      </c>
      <c r="AC19" s="44">
        <f>IF(Определители!I19="9",ROUND(B19*Начисления!M19/100,0),0)</f>
        <v>0</v>
      </c>
      <c r="AD19" s="44">
        <f>IF(Определители!I19="9",ROUND(B19*(100-Начисления!M19)/100,0),0)</f>
        <v>0</v>
      </c>
      <c r="AE19" s="44">
        <f>ROUND('Форма по МДС 81-35.2004'!F309*'Текущие цены за единицу'!AE19,0)</f>
        <v>0</v>
      </c>
    </row>
    <row r="20" spans="1:31" x14ac:dyDescent="0.15">
      <c r="A20" s="48" t="str">
        <f>'Форма по МДС 81-35.2004'!A327</f>
        <v>15.</v>
      </c>
      <c r="B20" s="48">
        <f>'Форма по МДС 81-35.2004'!J327</f>
        <v>0</v>
      </c>
      <c r="C20" s="48">
        <f>ROUND(SUMIF('Форма по МДС 81-35.2004'!M327:M347,"Г",'Форма по МДС 81-35.2004'!J327:J347),0)</f>
        <v>0</v>
      </c>
      <c r="D20" s="48">
        <f>ROUND(SUMIF('Форма по МДС 81-35.2004'!M327:M347,"IsMash",'Форма по МДС 81-35.2004'!J327:J347),0)</f>
        <v>0</v>
      </c>
      <c r="E20" s="48">
        <f>'Форма по МДС 81-35.2004'!J329</f>
        <v>0</v>
      </c>
      <c r="F20" s="48">
        <f>ROUND(SUMIF('Форма по МДС 81-35.2004'!M327:M347,"IsMater",'Форма по МДС 81-35.2004'!J327:J347),0)</f>
        <v>0</v>
      </c>
      <c r="G20" s="48">
        <f>ROUND('Форма по МДС 81-35.2004'!F327*'Текущие цены за единицу'!G20,0)</f>
        <v>0</v>
      </c>
      <c r="H20" s="48">
        <f>ROUND('Форма по МДС 81-35.2004'!F327*'Текущие цены за единицу'!H20,0)</f>
        <v>0</v>
      </c>
      <c r="I20" s="40">
        <f>ОКРУГЛВСЕ(SUMIF('Форма по МДС 81-35.2004'!M327:M347,"Г",'Форма по МДС 81-35.2004'!F327:F347),2)</f>
        <v>0</v>
      </c>
      <c r="J20" s="40">
        <f>ОКРУГЛВСЕ('Форма по МДС 81-35.2004'!F327*'Текущие цены за единицу'!J20,2)</f>
        <v>0</v>
      </c>
      <c r="K20" s="40">
        <f>ОКРУГЛВСЕ(SUMIF('Форма по МДС 81-35.2004'!M327:M347,"Ж",'Форма по МДС 81-35.2004'!F327:F347),2)</f>
        <v>0</v>
      </c>
      <c r="L20" s="48">
        <f>ROUND('Форма по МДС 81-35.2004'!F327*'Текущие цены за единицу'!L20,0)</f>
        <v>0</v>
      </c>
      <c r="M20" s="48">
        <f>ROUND('Форма по МДС 81-35.2004'!F327*'Текущие цены за единицу'!M20,0)</f>
        <v>0</v>
      </c>
      <c r="N20" s="48">
        <f>ROUND((C20+E20)*'Форма по МДС 81-35.2004'!I341/100,0)</f>
        <v>0</v>
      </c>
      <c r="O20" s="48">
        <f>ROUND((C20+E20)*'Форма по МДС 81-35.2004'!I344/100,0)</f>
        <v>0</v>
      </c>
      <c r="P20" s="48">
        <f>ROUND('Форма по МДС 81-35.2004'!F327*'Текущие цены за единицу'!P20,0)</f>
        <v>0</v>
      </c>
      <c r="Q20" s="48">
        <f>ROUND('Форма по МДС 81-35.2004'!F327*'Текущие цены за единицу'!Q20,0)</f>
        <v>0</v>
      </c>
      <c r="R20" s="48">
        <f>ROUND('Форма по МДС 81-35.2004'!F327*'Текущие цены за единицу'!R20,0)</f>
        <v>0</v>
      </c>
      <c r="S20" s="48">
        <f>ROUND('Форма по МДС 81-35.2004'!F327*'Текущие цены за единицу'!S20,0)</f>
        <v>0</v>
      </c>
      <c r="T20" s="48">
        <f>ROUND('Форма по МДС 81-35.2004'!F327*'Текущие цены за единицу'!T20,0)</f>
        <v>0</v>
      </c>
      <c r="U20" s="48">
        <f>ROUND('Форма по МДС 81-35.2004'!F327*'Текущие цены за единицу'!U20,0)</f>
        <v>0</v>
      </c>
      <c r="V20" s="48">
        <f>ROUND('Форма по МДС 81-35.2004'!F327*'Текущие цены за единицу'!V20,0)</f>
        <v>0</v>
      </c>
      <c r="X20" s="44">
        <f>ROUND('Форма по МДС 81-35.2004'!F327*'Текущие цены за единицу'!X20,0)</f>
        <v>0</v>
      </c>
      <c r="Y20" s="44">
        <f>IF(Определители!I20="9",ROUND((C20+E20)*(Начисления!M20/100)*('Форма по МДС 81-35.2004'!I341/100),0),0)</f>
        <v>0</v>
      </c>
      <c r="Z20" s="44">
        <f>IF(Определители!I20="9",ROUND((C20+E20)*(100-Начисления!M20/100)*('Форма по МДС 81-35.2004'!I341/100),0),0)</f>
        <v>0</v>
      </c>
      <c r="AA20" s="44">
        <f>IF(Определители!I20="9",ROUND((C20+E20)*(Начисления!M20/100)*('Форма по МДС 81-35.2004'!I344/100),0),0)</f>
        <v>0</v>
      </c>
      <c r="AB20" s="44">
        <f>IF(Определители!I20="9",ROUND((C20+E20)*(100-Начисления!M20/100)*('Форма по МДС 81-35.2004'!I344/100),0),0)</f>
        <v>0</v>
      </c>
      <c r="AC20" s="44">
        <f>IF(Определители!I20="9",ROUND(B20*Начисления!M20/100,0),0)</f>
        <v>0</v>
      </c>
      <c r="AD20" s="44">
        <f>IF(Определители!I20="9",ROUND(B20*(100-Начисления!M20)/100,0),0)</f>
        <v>0</v>
      </c>
      <c r="AE20" s="44">
        <f>ROUND('Форма по МДС 81-35.2004'!F327*'Текущие цены за единицу'!AE20,0)</f>
        <v>0</v>
      </c>
    </row>
    <row r="21" spans="1:31" x14ac:dyDescent="0.15">
      <c r="A21" s="48" t="str">
        <f>'Форма по МДС 81-35.2004'!A348</f>
        <v>16.</v>
      </c>
      <c r="B21" s="48">
        <f>'Форма по МДС 81-35.2004'!J348</f>
        <v>0</v>
      </c>
      <c r="C21" s="48">
        <f>ROUND(SUMIF('Форма по МДС 81-35.2004'!M348:M369,"Г",'Форма по МДС 81-35.2004'!J348:J369),0)</f>
        <v>0</v>
      </c>
      <c r="D21" s="48">
        <f>ROUND(SUMIF('Форма по МДС 81-35.2004'!M348:M369,"IsMash",'Форма по МДС 81-35.2004'!J348:J369),0)</f>
        <v>0</v>
      </c>
      <c r="E21" s="48">
        <f>'Форма по МДС 81-35.2004'!J350</f>
        <v>0</v>
      </c>
      <c r="F21" s="48">
        <f>ROUND(SUMIF('Форма по МДС 81-35.2004'!M348:M369,"IsMater",'Форма по МДС 81-35.2004'!J348:J369),0)</f>
        <v>0</v>
      </c>
      <c r="G21" s="48">
        <f>ROUND('Форма по МДС 81-35.2004'!F348*'Текущие цены за единицу'!G21,0)</f>
        <v>0</v>
      </c>
      <c r="H21" s="48">
        <f>ROUND('Форма по МДС 81-35.2004'!F348*'Текущие цены за единицу'!H21,0)</f>
        <v>0</v>
      </c>
      <c r="I21" s="40">
        <f>ОКРУГЛВСЕ(SUMIF('Форма по МДС 81-35.2004'!M348:M369,"Г",'Форма по МДС 81-35.2004'!F348:F369),2)</f>
        <v>0</v>
      </c>
      <c r="J21" s="40">
        <f>ОКРУГЛВСЕ('Форма по МДС 81-35.2004'!F348*'Текущие цены за единицу'!J21,2)</f>
        <v>0</v>
      </c>
      <c r="K21" s="40">
        <f>ОКРУГЛВСЕ(SUMIF('Форма по МДС 81-35.2004'!M348:M369,"Ж",'Форма по МДС 81-35.2004'!F348:F369),2)</f>
        <v>0</v>
      </c>
      <c r="L21" s="48">
        <f>ROUND('Форма по МДС 81-35.2004'!F348*'Текущие цены за единицу'!L21,0)</f>
        <v>0</v>
      </c>
      <c r="M21" s="48">
        <f>ROUND('Форма по МДС 81-35.2004'!F348*'Текущие цены за единицу'!M21,0)</f>
        <v>0</v>
      </c>
      <c r="N21" s="48">
        <f>ROUND((C21+E21)*'Форма по МДС 81-35.2004'!I363/100,0)</f>
        <v>0</v>
      </c>
      <c r="O21" s="48">
        <f>ROUND((C21+E21)*'Форма по МДС 81-35.2004'!I366/100,0)</f>
        <v>0</v>
      </c>
      <c r="P21" s="48">
        <f>ROUND('Форма по МДС 81-35.2004'!F348*'Текущие цены за единицу'!P21,0)</f>
        <v>0</v>
      </c>
      <c r="Q21" s="48">
        <f>ROUND('Форма по МДС 81-35.2004'!F348*'Текущие цены за единицу'!Q21,0)</f>
        <v>0</v>
      </c>
      <c r="R21" s="48">
        <f>ROUND('Форма по МДС 81-35.2004'!F348*'Текущие цены за единицу'!R21,0)</f>
        <v>0</v>
      </c>
      <c r="S21" s="48">
        <f>ROUND('Форма по МДС 81-35.2004'!F348*'Текущие цены за единицу'!S21,0)</f>
        <v>0</v>
      </c>
      <c r="T21" s="48">
        <f>ROUND('Форма по МДС 81-35.2004'!F348*'Текущие цены за единицу'!T21,0)</f>
        <v>0</v>
      </c>
      <c r="U21" s="48">
        <f>ROUND('Форма по МДС 81-35.2004'!F348*'Текущие цены за единицу'!U21,0)</f>
        <v>0</v>
      </c>
      <c r="V21" s="48">
        <f>ROUND('Форма по МДС 81-35.2004'!F348*'Текущие цены за единицу'!V21,0)</f>
        <v>0</v>
      </c>
      <c r="X21" s="44">
        <f>ROUND('Форма по МДС 81-35.2004'!F348*'Текущие цены за единицу'!X21,0)</f>
        <v>0</v>
      </c>
      <c r="Y21" s="44">
        <f>IF(Определители!I21="9",ROUND((C21+E21)*(Начисления!M21/100)*('Форма по МДС 81-35.2004'!I363/100),0),0)</f>
        <v>0</v>
      </c>
      <c r="Z21" s="44">
        <f>IF(Определители!I21="9",ROUND((C21+E21)*(100-Начисления!M21/100)*('Форма по МДС 81-35.2004'!I363/100),0),0)</f>
        <v>0</v>
      </c>
      <c r="AA21" s="44">
        <f>IF(Определители!I21="9",ROUND((C21+E21)*(Начисления!M21/100)*('Форма по МДС 81-35.2004'!I366/100),0),0)</f>
        <v>0</v>
      </c>
      <c r="AB21" s="44">
        <f>IF(Определители!I21="9",ROUND((C21+E21)*(100-Начисления!M21/100)*('Форма по МДС 81-35.2004'!I366/100),0),0)</f>
        <v>0</v>
      </c>
      <c r="AC21" s="44">
        <f>IF(Определители!I21="9",ROUND(B21*Начисления!M21/100,0),0)</f>
        <v>0</v>
      </c>
      <c r="AD21" s="44">
        <f>IF(Определители!I21="9",ROUND(B21*(100-Начисления!M21)/100,0),0)</f>
        <v>0</v>
      </c>
      <c r="AE21" s="44">
        <f>ROUND('Форма по МДС 81-35.2004'!F348*'Текущие цены за единицу'!AE21,0)</f>
        <v>0</v>
      </c>
    </row>
    <row r="22" spans="1:31" x14ac:dyDescent="0.15">
      <c r="A22" s="48" t="str">
        <f>'Форма по МДС 81-35.2004'!A370</f>
        <v>17.</v>
      </c>
      <c r="B22" s="48">
        <f>'Форма по МДС 81-35.2004'!J370</f>
        <v>0</v>
      </c>
      <c r="C22" s="48">
        <f>ROUND(SUMIF('Форма по МДС 81-35.2004'!M370:M402,"Г",'Форма по МДС 81-35.2004'!J370:J402),0)</f>
        <v>0</v>
      </c>
      <c r="D22" s="48">
        <f>ROUND(SUMIF('Форма по МДС 81-35.2004'!M370:M402,"IsMash",'Форма по МДС 81-35.2004'!J370:J402),0)</f>
        <v>0</v>
      </c>
      <c r="E22" s="48">
        <f>'Форма по МДС 81-35.2004'!J372</f>
        <v>0</v>
      </c>
      <c r="F22" s="48">
        <f>ROUND(SUMIF('Форма по МДС 81-35.2004'!M370:M402,"IsMater",'Форма по МДС 81-35.2004'!J370:J402),0)</f>
        <v>0</v>
      </c>
      <c r="G22" s="48">
        <f>ROUND('Форма по МДС 81-35.2004'!F370*'Текущие цены за единицу'!G22,0)</f>
        <v>0</v>
      </c>
      <c r="H22" s="48">
        <f>ROUND('Форма по МДС 81-35.2004'!F370*'Текущие цены за единицу'!H22,0)</f>
        <v>0</v>
      </c>
      <c r="I22" s="40">
        <f>ОКРУГЛВСЕ(SUMIF('Форма по МДС 81-35.2004'!M370:M402,"Г",'Форма по МДС 81-35.2004'!F370:F402),2)</f>
        <v>0</v>
      </c>
      <c r="J22" s="40">
        <f>ОКРУГЛВСЕ('Форма по МДС 81-35.2004'!F370*'Текущие цены за единицу'!J22,2)</f>
        <v>0</v>
      </c>
      <c r="K22" s="40">
        <f>ОКРУГЛВСЕ(SUMIF('Форма по МДС 81-35.2004'!M370:M402,"Ж",'Форма по МДС 81-35.2004'!F370:F402),2)</f>
        <v>0</v>
      </c>
      <c r="L22" s="48">
        <f>ROUND('Форма по МДС 81-35.2004'!F370*'Текущие цены за единицу'!L22,0)</f>
        <v>0</v>
      </c>
      <c r="M22" s="48">
        <f>ROUND('Форма по МДС 81-35.2004'!F370*'Текущие цены за единицу'!M22,0)</f>
        <v>0</v>
      </c>
      <c r="N22" s="48">
        <f>ROUND((C22+E22)*'Форма по МДС 81-35.2004'!I396/100,0)</f>
        <v>0</v>
      </c>
      <c r="O22" s="48">
        <f>ROUND((C22+E22)*'Форма по МДС 81-35.2004'!I399/100,0)</f>
        <v>0</v>
      </c>
      <c r="P22" s="48">
        <f>ROUND('Форма по МДС 81-35.2004'!F370*'Текущие цены за единицу'!P22,0)</f>
        <v>0</v>
      </c>
      <c r="Q22" s="48">
        <f>ROUND('Форма по МДС 81-35.2004'!F370*'Текущие цены за единицу'!Q22,0)</f>
        <v>0</v>
      </c>
      <c r="R22" s="48">
        <f>ROUND('Форма по МДС 81-35.2004'!F370*'Текущие цены за единицу'!R22,0)</f>
        <v>0</v>
      </c>
      <c r="S22" s="48">
        <f>ROUND('Форма по МДС 81-35.2004'!F370*'Текущие цены за единицу'!S22,0)</f>
        <v>0</v>
      </c>
      <c r="T22" s="48">
        <f>ROUND('Форма по МДС 81-35.2004'!F370*'Текущие цены за единицу'!T22,0)</f>
        <v>0</v>
      </c>
      <c r="U22" s="48">
        <f>ROUND('Форма по МДС 81-35.2004'!F370*'Текущие цены за единицу'!U22,0)</f>
        <v>0</v>
      </c>
      <c r="V22" s="48">
        <f>ROUND('Форма по МДС 81-35.2004'!F370*'Текущие цены за единицу'!V22,0)</f>
        <v>0</v>
      </c>
      <c r="X22" s="44">
        <f>ROUND('Форма по МДС 81-35.2004'!F370*'Текущие цены за единицу'!X22,0)</f>
        <v>0</v>
      </c>
      <c r="Y22" s="44">
        <f>IF(Определители!I22="9",ROUND((C22+E22)*(Начисления!M22/100)*('Форма по МДС 81-35.2004'!I396/100),0),0)</f>
        <v>0</v>
      </c>
      <c r="Z22" s="44">
        <f>IF(Определители!I22="9",ROUND((C22+E22)*(100-Начисления!M22/100)*('Форма по МДС 81-35.2004'!I396/100),0),0)</f>
        <v>0</v>
      </c>
      <c r="AA22" s="44">
        <f>IF(Определители!I22="9",ROUND((C22+E22)*(Начисления!M22/100)*('Форма по МДС 81-35.2004'!I399/100),0),0)</f>
        <v>0</v>
      </c>
      <c r="AB22" s="44">
        <f>IF(Определители!I22="9",ROUND((C22+E22)*(100-Начисления!M22/100)*('Форма по МДС 81-35.2004'!I399/100),0),0)</f>
        <v>0</v>
      </c>
      <c r="AC22" s="44">
        <f>IF(Определители!I22="9",ROUND(B22*Начисления!M22/100,0),0)</f>
        <v>0</v>
      </c>
      <c r="AD22" s="44">
        <f>IF(Определители!I22="9",ROUND(B22*(100-Начисления!M22)/100,0),0)</f>
        <v>0</v>
      </c>
      <c r="AE22" s="44">
        <f>ROUND('Форма по МДС 81-35.2004'!F370*'Текущие цены за единицу'!AE22,0)</f>
        <v>0</v>
      </c>
    </row>
    <row r="23" spans="1:31" x14ac:dyDescent="0.15">
      <c r="A23" s="48" t="str">
        <f>'Форма по МДС 81-35.2004'!A403</f>
        <v>18.</v>
      </c>
      <c r="B23" s="48">
        <f>'Форма по МДС 81-35.2004'!J403</f>
        <v>0</v>
      </c>
      <c r="C23" s="48">
        <f>ROUND(SUMIF('Форма по МДС 81-35.2004'!M403:M430,"Г",'Форма по МДС 81-35.2004'!J403:J430),0)</f>
        <v>0</v>
      </c>
      <c r="D23" s="48">
        <f>ROUND(SUMIF('Форма по МДС 81-35.2004'!M403:M430,"IsMash",'Форма по МДС 81-35.2004'!J403:J430),0)</f>
        <v>0</v>
      </c>
      <c r="E23" s="48">
        <f>'Форма по МДС 81-35.2004'!J405</f>
        <v>0</v>
      </c>
      <c r="F23" s="48">
        <f>ROUND(SUMIF('Форма по МДС 81-35.2004'!M403:M430,"IsMater",'Форма по МДС 81-35.2004'!J403:J430),0)</f>
        <v>0</v>
      </c>
      <c r="G23" s="48">
        <f>ROUND('Форма по МДС 81-35.2004'!F403*'Текущие цены за единицу'!G23,0)</f>
        <v>0</v>
      </c>
      <c r="H23" s="48">
        <f>ROUND('Форма по МДС 81-35.2004'!F403*'Текущие цены за единицу'!H23,0)</f>
        <v>0</v>
      </c>
      <c r="I23" s="40">
        <f>ОКРУГЛВСЕ(SUMIF('Форма по МДС 81-35.2004'!M403:M430,"Г",'Форма по МДС 81-35.2004'!F403:F430),2)</f>
        <v>0</v>
      </c>
      <c r="J23" s="40">
        <f>ОКРУГЛВСЕ('Форма по МДС 81-35.2004'!F403*'Текущие цены за единицу'!J23,2)</f>
        <v>0</v>
      </c>
      <c r="K23" s="40">
        <f>ОКРУГЛВСЕ(SUMIF('Форма по МДС 81-35.2004'!M403:M430,"Ж",'Форма по МДС 81-35.2004'!F403:F430),2)</f>
        <v>0</v>
      </c>
      <c r="L23" s="48">
        <f>ROUND('Форма по МДС 81-35.2004'!F403*'Текущие цены за единицу'!L23,0)</f>
        <v>0</v>
      </c>
      <c r="M23" s="48">
        <f>ROUND('Форма по МДС 81-35.2004'!F403*'Текущие цены за единицу'!M23,0)</f>
        <v>0</v>
      </c>
      <c r="N23" s="48">
        <f>ROUND((C23+E23)*'Форма по МДС 81-35.2004'!I424/100,0)</f>
        <v>0</v>
      </c>
      <c r="O23" s="48">
        <f>ROUND((C23+E23)*'Форма по МДС 81-35.2004'!I427/100,0)</f>
        <v>0</v>
      </c>
      <c r="P23" s="48">
        <f>ROUND('Форма по МДС 81-35.2004'!F403*'Текущие цены за единицу'!P23,0)</f>
        <v>0</v>
      </c>
      <c r="Q23" s="48">
        <f>ROUND('Форма по МДС 81-35.2004'!F403*'Текущие цены за единицу'!Q23,0)</f>
        <v>0</v>
      </c>
      <c r="R23" s="48">
        <f>ROUND('Форма по МДС 81-35.2004'!F403*'Текущие цены за единицу'!R23,0)</f>
        <v>0</v>
      </c>
      <c r="S23" s="48">
        <f>ROUND('Форма по МДС 81-35.2004'!F403*'Текущие цены за единицу'!S23,0)</f>
        <v>0</v>
      </c>
      <c r="T23" s="48">
        <f>ROUND('Форма по МДС 81-35.2004'!F403*'Текущие цены за единицу'!T23,0)</f>
        <v>0</v>
      </c>
      <c r="U23" s="48">
        <f>ROUND('Форма по МДС 81-35.2004'!F403*'Текущие цены за единицу'!U23,0)</f>
        <v>0</v>
      </c>
      <c r="V23" s="48">
        <f>ROUND('Форма по МДС 81-35.2004'!F403*'Текущие цены за единицу'!V23,0)</f>
        <v>0</v>
      </c>
      <c r="X23" s="44">
        <f>ROUND('Форма по МДС 81-35.2004'!F403*'Текущие цены за единицу'!X23,0)</f>
        <v>0</v>
      </c>
      <c r="Y23" s="44">
        <f>IF(Определители!I23="9",ROUND((C23+E23)*(Начисления!M23/100)*('Форма по МДС 81-35.2004'!I424/100),0),0)</f>
        <v>0</v>
      </c>
      <c r="Z23" s="44">
        <f>IF(Определители!I23="9",ROUND((C23+E23)*(100-Начисления!M23/100)*('Форма по МДС 81-35.2004'!I424/100),0),0)</f>
        <v>0</v>
      </c>
      <c r="AA23" s="44">
        <f>IF(Определители!I23="9",ROUND((C23+E23)*(Начисления!M23/100)*('Форма по МДС 81-35.2004'!I427/100),0),0)</f>
        <v>0</v>
      </c>
      <c r="AB23" s="44">
        <f>IF(Определители!I23="9",ROUND((C23+E23)*(100-Начисления!M23/100)*('Форма по МДС 81-35.2004'!I427/100),0),0)</f>
        <v>0</v>
      </c>
      <c r="AC23" s="44">
        <f>IF(Определители!I23="9",ROUND(B23*Начисления!M23/100,0),0)</f>
        <v>0</v>
      </c>
      <c r="AD23" s="44">
        <f>IF(Определители!I23="9",ROUND(B23*(100-Начисления!M23)/100,0),0)</f>
        <v>0</v>
      </c>
      <c r="AE23" s="44">
        <f>ROUND('Форма по МДС 81-35.2004'!F403*'Текущие цены за единицу'!AE23,0)</f>
        <v>0</v>
      </c>
    </row>
    <row r="24" spans="1:31" x14ac:dyDescent="0.15">
      <c r="A24" s="48" t="str">
        <f>'Форма по МДС 81-35.2004'!A431</f>
        <v>19.</v>
      </c>
      <c r="B24" s="48">
        <f>'Форма по МДС 81-35.2004'!J431</f>
        <v>0</v>
      </c>
      <c r="C24" s="48">
        <f>ROUND(SUMIF('Форма по МДС 81-35.2004'!M431:M448,"Г",'Форма по МДС 81-35.2004'!J431:J448),0)</f>
        <v>0</v>
      </c>
      <c r="D24" s="48">
        <f>ROUND(SUMIF('Форма по МДС 81-35.2004'!M431:M448,"IsMash",'Форма по МДС 81-35.2004'!J431:J448),0)</f>
        <v>0</v>
      </c>
      <c r="E24" s="48">
        <f>'Форма по МДС 81-35.2004'!J432</f>
        <v>0</v>
      </c>
      <c r="F24" s="48">
        <f>ROUND(SUMIF('Форма по МДС 81-35.2004'!M431:M448,"IsMater",'Форма по МДС 81-35.2004'!J431:J448),0)</f>
        <v>0</v>
      </c>
      <c r="G24" s="48">
        <f>ROUND('Форма по МДС 81-35.2004'!F431*'Текущие цены за единицу'!G24,0)</f>
        <v>0</v>
      </c>
      <c r="H24" s="48">
        <f>ROUND('Форма по МДС 81-35.2004'!F431*'Текущие цены за единицу'!H24,0)</f>
        <v>0</v>
      </c>
      <c r="I24" s="40">
        <f>ОКРУГЛВСЕ(SUMIF('Форма по МДС 81-35.2004'!M431:M448,"Г",'Форма по МДС 81-35.2004'!F431:F448),2)</f>
        <v>0</v>
      </c>
      <c r="J24" s="40">
        <f>ОКРУГЛВСЕ('Форма по МДС 81-35.2004'!F431*'Текущие цены за единицу'!J24,2)</f>
        <v>0</v>
      </c>
      <c r="K24" s="40">
        <f>ОКРУГЛВСЕ(SUMIF('Форма по МДС 81-35.2004'!M431:M448,"Ж",'Форма по МДС 81-35.2004'!F431:F448),2)</f>
        <v>0</v>
      </c>
      <c r="L24" s="48">
        <f>ROUND('Форма по МДС 81-35.2004'!F431*'Текущие цены за единицу'!L24,0)</f>
        <v>0</v>
      </c>
      <c r="M24" s="48">
        <f>ROUND('Форма по МДС 81-35.2004'!F431*'Текущие цены за единицу'!M24,0)</f>
        <v>0</v>
      </c>
      <c r="N24" s="48">
        <f>ROUND((C24+E24)*'Форма по МДС 81-35.2004'!I443/100,0)</f>
        <v>0</v>
      </c>
      <c r="O24" s="48">
        <f>ROUND((C24+E24)*'Форма по МДС 81-35.2004'!I446/100,0)</f>
        <v>0</v>
      </c>
      <c r="P24" s="48">
        <f>ROUND('Форма по МДС 81-35.2004'!F431*'Текущие цены за единицу'!P24,0)</f>
        <v>0</v>
      </c>
      <c r="Q24" s="48">
        <f>ROUND('Форма по МДС 81-35.2004'!F431*'Текущие цены за единицу'!Q24,0)</f>
        <v>0</v>
      </c>
      <c r="R24" s="48">
        <f>ROUND('Форма по МДС 81-35.2004'!F431*'Текущие цены за единицу'!R24,0)</f>
        <v>0</v>
      </c>
      <c r="S24" s="48">
        <f>ROUND('Форма по МДС 81-35.2004'!F431*'Текущие цены за единицу'!S24,0)</f>
        <v>0</v>
      </c>
      <c r="T24" s="48">
        <f>ROUND('Форма по МДС 81-35.2004'!F431*'Текущие цены за единицу'!T24,0)</f>
        <v>0</v>
      </c>
      <c r="U24" s="48">
        <f>ROUND('Форма по МДС 81-35.2004'!F431*'Текущие цены за единицу'!U24,0)</f>
        <v>0</v>
      </c>
      <c r="V24" s="48">
        <f>ROUND('Форма по МДС 81-35.2004'!F431*'Текущие цены за единицу'!V24,0)</f>
        <v>0</v>
      </c>
      <c r="X24" s="44">
        <f>ROUND('Форма по МДС 81-35.2004'!F431*'Текущие цены за единицу'!X24,0)</f>
        <v>0</v>
      </c>
      <c r="Y24" s="44">
        <f>IF(Определители!I24="9",ROUND((C24+E24)*(Начисления!M24/100)*('Форма по МДС 81-35.2004'!I443/100),0),0)</f>
        <v>0</v>
      </c>
      <c r="Z24" s="44">
        <f>IF(Определители!I24="9",ROUND((C24+E24)*(100-Начисления!M24/100)*('Форма по МДС 81-35.2004'!I443/100),0),0)</f>
        <v>0</v>
      </c>
      <c r="AA24" s="44">
        <f>IF(Определители!I24="9",ROUND((C24+E24)*(Начисления!M24/100)*('Форма по МДС 81-35.2004'!I446/100),0),0)</f>
        <v>0</v>
      </c>
      <c r="AB24" s="44">
        <f>IF(Определители!I24="9",ROUND((C24+E24)*(100-Начисления!M24/100)*('Форма по МДС 81-35.2004'!I446/100),0),0)</f>
        <v>0</v>
      </c>
      <c r="AC24" s="44">
        <f>IF(Определители!I24="9",ROUND(B24*Начисления!M24/100,0),0)</f>
        <v>0</v>
      </c>
      <c r="AD24" s="44">
        <f>IF(Определители!I24="9",ROUND(B24*(100-Начисления!M24)/100,0),0)</f>
        <v>0</v>
      </c>
      <c r="AE24" s="44">
        <f>ROUND('Форма по МДС 81-35.2004'!F431*'Текущие цены за единицу'!AE24,0)</f>
        <v>0</v>
      </c>
    </row>
    <row r="25" spans="1:31" x14ac:dyDescent="0.15">
      <c r="A25" s="48" t="str">
        <f>'Форма по МДС 81-35.2004'!A449</f>
        <v>20.</v>
      </c>
      <c r="B25" s="48">
        <f>'Форма по МДС 81-35.2004'!J449</f>
        <v>0</v>
      </c>
      <c r="C25" s="48">
        <f>ROUND(SUMIF('Форма по МДС 81-35.2004'!M449:M472,"Г",'Форма по МДС 81-35.2004'!J449:J472),0)</f>
        <v>0</v>
      </c>
      <c r="D25" s="48">
        <f>ROUND(SUMIF('Форма по МДС 81-35.2004'!M449:M472,"IsMash",'Форма по МДС 81-35.2004'!J449:J472),0)</f>
        <v>0</v>
      </c>
      <c r="E25" s="48">
        <f>'Форма по МДС 81-35.2004'!J451</f>
        <v>0</v>
      </c>
      <c r="F25" s="48">
        <f>ROUND(SUMIF('Форма по МДС 81-35.2004'!M449:M472,"IsMater",'Форма по МДС 81-35.2004'!J449:J472),0)</f>
        <v>0</v>
      </c>
      <c r="G25" s="48">
        <f>ROUND('Форма по МДС 81-35.2004'!F449*'Текущие цены за единицу'!G25,0)</f>
        <v>0</v>
      </c>
      <c r="H25" s="48">
        <f>ROUND('Форма по МДС 81-35.2004'!F449*'Текущие цены за единицу'!H25,0)</f>
        <v>0</v>
      </c>
      <c r="I25" s="40">
        <f>ОКРУГЛВСЕ(SUMIF('Форма по МДС 81-35.2004'!M449:M472,"Г",'Форма по МДС 81-35.2004'!F449:F472),2)</f>
        <v>0</v>
      </c>
      <c r="J25" s="40">
        <f>ОКРУГЛВСЕ('Форма по МДС 81-35.2004'!F449*'Текущие цены за единицу'!J25,2)</f>
        <v>0</v>
      </c>
      <c r="K25" s="40">
        <f>ОКРУГЛВСЕ(SUMIF('Форма по МДС 81-35.2004'!M449:M472,"Ж",'Форма по МДС 81-35.2004'!F449:F472),2)</f>
        <v>0</v>
      </c>
      <c r="L25" s="48">
        <f>ROUND('Форма по МДС 81-35.2004'!F449*'Текущие цены за единицу'!L25,0)</f>
        <v>0</v>
      </c>
      <c r="M25" s="48">
        <f>ROUND('Форма по МДС 81-35.2004'!F449*'Текущие цены за единицу'!M25,0)</f>
        <v>0</v>
      </c>
      <c r="N25" s="48">
        <f>ROUND((C25+E25)*'Форма по МДС 81-35.2004'!I466/100,0)</f>
        <v>0</v>
      </c>
      <c r="O25" s="48">
        <f>ROUND((C25+E25)*'Форма по МДС 81-35.2004'!I469/100,0)</f>
        <v>0</v>
      </c>
      <c r="P25" s="48">
        <f>ROUND('Форма по МДС 81-35.2004'!F449*'Текущие цены за единицу'!P25,0)</f>
        <v>0</v>
      </c>
      <c r="Q25" s="48">
        <f>ROUND('Форма по МДС 81-35.2004'!F449*'Текущие цены за единицу'!Q25,0)</f>
        <v>0</v>
      </c>
      <c r="R25" s="48">
        <f>ROUND('Форма по МДС 81-35.2004'!F449*'Текущие цены за единицу'!R25,0)</f>
        <v>0</v>
      </c>
      <c r="S25" s="48">
        <f>ROUND('Форма по МДС 81-35.2004'!F449*'Текущие цены за единицу'!S25,0)</f>
        <v>0</v>
      </c>
      <c r="T25" s="48">
        <f>ROUND('Форма по МДС 81-35.2004'!F449*'Текущие цены за единицу'!T25,0)</f>
        <v>0</v>
      </c>
      <c r="U25" s="48">
        <f>ROUND('Форма по МДС 81-35.2004'!F449*'Текущие цены за единицу'!U25,0)</f>
        <v>0</v>
      </c>
      <c r="V25" s="48">
        <f>ROUND('Форма по МДС 81-35.2004'!F449*'Текущие цены за единицу'!V25,0)</f>
        <v>0</v>
      </c>
      <c r="X25" s="44">
        <f>ROUND('Форма по МДС 81-35.2004'!F449*'Текущие цены за единицу'!X25,0)</f>
        <v>0</v>
      </c>
      <c r="Y25" s="44">
        <f>IF(Определители!I25="9",ROUND((C25+E25)*(Начисления!M25/100)*('Форма по МДС 81-35.2004'!I466/100),0),0)</f>
        <v>0</v>
      </c>
      <c r="Z25" s="44">
        <f>IF(Определители!I25="9",ROUND((C25+E25)*(100-Начисления!M25/100)*('Форма по МДС 81-35.2004'!I466/100),0),0)</f>
        <v>0</v>
      </c>
      <c r="AA25" s="44">
        <f>IF(Определители!I25="9",ROUND((C25+E25)*(Начисления!M25/100)*('Форма по МДС 81-35.2004'!I469/100),0),0)</f>
        <v>0</v>
      </c>
      <c r="AB25" s="44">
        <f>IF(Определители!I25="9",ROUND((C25+E25)*(100-Начисления!M25/100)*('Форма по МДС 81-35.2004'!I469/100),0),0)</f>
        <v>0</v>
      </c>
      <c r="AC25" s="44">
        <f>IF(Определители!I25="9",ROUND(B25*Начисления!M25/100,0),0)</f>
        <v>0</v>
      </c>
      <c r="AD25" s="44">
        <f>IF(Определители!I25="9",ROUND(B25*(100-Начисления!M25)/100,0),0)</f>
        <v>0</v>
      </c>
      <c r="AE25" s="44">
        <f>ROUND('Форма по МДС 81-35.2004'!F449*'Текущие цены за единицу'!AE25,0)</f>
        <v>0</v>
      </c>
    </row>
    <row r="26" spans="1:31" x14ac:dyDescent="0.15">
      <c r="A26" s="48" t="str">
        <f>'Форма по МДС 81-35.2004'!A473</f>
        <v>21.</v>
      </c>
      <c r="B26" s="48">
        <f>'Форма по МДС 81-35.2004'!J473</f>
        <v>0</v>
      </c>
      <c r="C26" s="48">
        <f>ROUND(SUMIF('Форма по МДС 81-35.2004'!M473:M490,"Г",'Форма по МДС 81-35.2004'!J473:J490),0)</f>
        <v>0</v>
      </c>
      <c r="D26" s="48">
        <f>ROUND(SUMIF('Форма по МДС 81-35.2004'!M473:M490,"IsMash",'Форма по МДС 81-35.2004'!J473:J490),0)</f>
        <v>0</v>
      </c>
      <c r="E26" s="48">
        <f>'Форма по МДС 81-35.2004'!J474</f>
        <v>0</v>
      </c>
      <c r="F26" s="48">
        <f>ROUND(SUMIF('Форма по МДС 81-35.2004'!M473:M490,"IsMater",'Форма по МДС 81-35.2004'!J473:J490),0)</f>
        <v>0</v>
      </c>
      <c r="G26" s="48">
        <f>ROUND('Форма по МДС 81-35.2004'!F473*'Текущие цены за единицу'!G26,0)</f>
        <v>0</v>
      </c>
      <c r="H26" s="48">
        <f>ROUND('Форма по МДС 81-35.2004'!F473*'Текущие цены за единицу'!H26,0)</f>
        <v>0</v>
      </c>
      <c r="I26" s="40">
        <f>ОКРУГЛВСЕ(SUMIF('Форма по МДС 81-35.2004'!M473:M490,"Г",'Форма по МДС 81-35.2004'!F473:F490),2)</f>
        <v>0</v>
      </c>
      <c r="J26" s="40">
        <f>ОКРУГЛВСЕ('Форма по МДС 81-35.2004'!F473*'Текущие цены за единицу'!J26,2)</f>
        <v>0</v>
      </c>
      <c r="K26" s="40">
        <f>ОКРУГЛВСЕ(SUMIF('Форма по МДС 81-35.2004'!M473:M490,"Ж",'Форма по МДС 81-35.2004'!F473:F490),2)</f>
        <v>0</v>
      </c>
      <c r="L26" s="48">
        <f>ROUND('Форма по МДС 81-35.2004'!F473*'Текущие цены за единицу'!L26,0)</f>
        <v>0</v>
      </c>
      <c r="M26" s="48">
        <f>ROUND('Форма по МДС 81-35.2004'!F473*'Текущие цены за единицу'!M26,0)</f>
        <v>0</v>
      </c>
      <c r="N26" s="48">
        <f>ROUND((C26+E26)*'Форма по МДС 81-35.2004'!I485/100,0)</f>
        <v>0</v>
      </c>
      <c r="O26" s="48">
        <f>ROUND((C26+E26)*'Форма по МДС 81-35.2004'!I488/100,0)</f>
        <v>0</v>
      </c>
      <c r="P26" s="48">
        <f>ROUND('Форма по МДС 81-35.2004'!F473*'Текущие цены за единицу'!P26,0)</f>
        <v>0</v>
      </c>
      <c r="Q26" s="48">
        <f>ROUND('Форма по МДС 81-35.2004'!F473*'Текущие цены за единицу'!Q26,0)</f>
        <v>0</v>
      </c>
      <c r="R26" s="48">
        <f>ROUND('Форма по МДС 81-35.2004'!F473*'Текущие цены за единицу'!R26,0)</f>
        <v>0</v>
      </c>
      <c r="S26" s="48">
        <f>ROUND('Форма по МДС 81-35.2004'!F473*'Текущие цены за единицу'!S26,0)</f>
        <v>0</v>
      </c>
      <c r="T26" s="48">
        <f>ROUND('Форма по МДС 81-35.2004'!F473*'Текущие цены за единицу'!T26,0)</f>
        <v>0</v>
      </c>
      <c r="U26" s="48">
        <f>ROUND('Форма по МДС 81-35.2004'!F473*'Текущие цены за единицу'!U26,0)</f>
        <v>0</v>
      </c>
      <c r="V26" s="48">
        <f>ROUND('Форма по МДС 81-35.2004'!F473*'Текущие цены за единицу'!V26,0)</f>
        <v>0</v>
      </c>
      <c r="X26" s="44">
        <f>ROUND('Форма по МДС 81-35.2004'!F473*'Текущие цены за единицу'!X26,0)</f>
        <v>0</v>
      </c>
      <c r="Y26" s="44">
        <f>IF(Определители!I26="9",ROUND((C26+E26)*(Начисления!M26/100)*('Форма по МДС 81-35.2004'!I485/100),0),0)</f>
        <v>0</v>
      </c>
      <c r="Z26" s="44">
        <f>IF(Определители!I26="9",ROUND((C26+E26)*(100-Начисления!M26/100)*('Форма по МДС 81-35.2004'!I485/100),0),0)</f>
        <v>0</v>
      </c>
      <c r="AA26" s="44">
        <f>IF(Определители!I26="9",ROUND((C26+E26)*(Начисления!M26/100)*('Форма по МДС 81-35.2004'!I488/100),0),0)</f>
        <v>0</v>
      </c>
      <c r="AB26" s="44">
        <f>IF(Определители!I26="9",ROUND((C26+E26)*(100-Начисления!M26/100)*('Форма по МДС 81-35.2004'!I488/100),0),0)</f>
        <v>0</v>
      </c>
      <c r="AC26" s="44">
        <f>IF(Определители!I26="9",ROUND(B26*Начисления!M26/100,0),0)</f>
        <v>0</v>
      </c>
      <c r="AD26" s="44">
        <f>IF(Определители!I26="9",ROUND(B26*(100-Начисления!M26)/100,0),0)</f>
        <v>0</v>
      </c>
      <c r="AE26" s="44">
        <f>ROUND('Форма по МДС 81-35.2004'!F473*'Текущие цены за единицу'!AE26,0)</f>
        <v>0</v>
      </c>
    </row>
    <row r="27" spans="1:31" x14ac:dyDescent="0.15">
      <c r="A27" s="48" t="str">
        <f>'Форма по МДС 81-35.2004'!A491</f>
        <v>22.</v>
      </c>
      <c r="B27" s="48">
        <f>'Форма по МДС 81-35.2004'!J491</f>
        <v>0</v>
      </c>
      <c r="C27" s="48">
        <f>ROUND(SUMIF('Форма по МДС 81-35.2004'!M491:M509,"Г",'Форма по МДС 81-35.2004'!J491:J509),0)</f>
        <v>0</v>
      </c>
      <c r="D27" s="48">
        <f>ROUND(SUMIF('Форма по МДС 81-35.2004'!M491:M509,"IsMash",'Форма по МДС 81-35.2004'!J491:J509),0)</f>
        <v>0</v>
      </c>
      <c r="E27" s="48">
        <f>'Форма по МДС 81-35.2004'!J493</f>
        <v>0</v>
      </c>
      <c r="F27" s="48">
        <f>ROUND(SUMIF('Форма по МДС 81-35.2004'!M491:M509,"IsMater",'Форма по МДС 81-35.2004'!J491:J509),0)</f>
        <v>0</v>
      </c>
      <c r="G27" s="48">
        <f>ROUND('Форма по МДС 81-35.2004'!F491*'Текущие цены за единицу'!G27,0)</f>
        <v>0</v>
      </c>
      <c r="H27" s="48">
        <f>ROUND('Форма по МДС 81-35.2004'!F491*'Текущие цены за единицу'!H27,0)</f>
        <v>0</v>
      </c>
      <c r="I27" s="40">
        <f>ОКРУГЛВСЕ(SUMIF('Форма по МДС 81-35.2004'!M491:M509,"Г",'Форма по МДС 81-35.2004'!F491:F509),2)</f>
        <v>0</v>
      </c>
      <c r="J27" s="40">
        <f>ОКРУГЛВСЕ('Форма по МДС 81-35.2004'!F491*'Текущие цены за единицу'!J27,2)</f>
        <v>0</v>
      </c>
      <c r="K27" s="40">
        <f>ОКРУГЛВСЕ(SUMIF('Форма по МДС 81-35.2004'!M491:M509,"Ж",'Форма по МДС 81-35.2004'!F491:F509),2)</f>
        <v>0</v>
      </c>
      <c r="L27" s="48">
        <f>ROUND('Форма по МДС 81-35.2004'!F491*'Текущие цены за единицу'!L27,0)</f>
        <v>0</v>
      </c>
      <c r="M27" s="48">
        <f>ROUND('Форма по МДС 81-35.2004'!F491*'Текущие цены за единицу'!M27,0)</f>
        <v>0</v>
      </c>
      <c r="N27" s="48">
        <f>ROUND((C27+E27)*'Форма по МДС 81-35.2004'!I504/100,0)</f>
        <v>0</v>
      </c>
      <c r="O27" s="48">
        <f>ROUND((C27+E27)*'Форма по МДС 81-35.2004'!I507/100,0)</f>
        <v>0</v>
      </c>
      <c r="P27" s="48">
        <f>ROUND('Форма по МДС 81-35.2004'!F491*'Текущие цены за единицу'!P27,0)</f>
        <v>0</v>
      </c>
      <c r="Q27" s="48">
        <f>ROUND('Форма по МДС 81-35.2004'!F491*'Текущие цены за единицу'!Q27,0)</f>
        <v>0</v>
      </c>
      <c r="R27" s="48">
        <f>ROUND('Форма по МДС 81-35.2004'!F491*'Текущие цены за единицу'!R27,0)</f>
        <v>0</v>
      </c>
      <c r="S27" s="48">
        <f>ROUND('Форма по МДС 81-35.2004'!F491*'Текущие цены за единицу'!S27,0)</f>
        <v>0</v>
      </c>
      <c r="T27" s="48">
        <f>ROUND('Форма по МДС 81-35.2004'!F491*'Текущие цены за единицу'!T27,0)</f>
        <v>0</v>
      </c>
      <c r="U27" s="48">
        <f>ROUND('Форма по МДС 81-35.2004'!F491*'Текущие цены за единицу'!U27,0)</f>
        <v>0</v>
      </c>
      <c r="V27" s="48">
        <f>ROUND('Форма по МДС 81-35.2004'!F491*'Текущие цены за единицу'!V27,0)</f>
        <v>0</v>
      </c>
      <c r="X27" s="44">
        <f>ROUND('Форма по МДС 81-35.2004'!F491*'Текущие цены за единицу'!X27,0)</f>
        <v>0</v>
      </c>
      <c r="Y27" s="44">
        <f>IF(Определители!I27="9",ROUND((C27+E27)*(Начисления!M27/100)*('Форма по МДС 81-35.2004'!I504/100),0),0)</f>
        <v>0</v>
      </c>
      <c r="Z27" s="44">
        <f>IF(Определители!I27="9",ROUND((C27+E27)*(100-Начисления!M27/100)*('Форма по МДС 81-35.2004'!I504/100),0),0)</f>
        <v>0</v>
      </c>
      <c r="AA27" s="44">
        <f>IF(Определители!I27="9",ROUND((C27+E27)*(Начисления!M27/100)*('Форма по МДС 81-35.2004'!I507/100),0),0)</f>
        <v>0</v>
      </c>
      <c r="AB27" s="44">
        <f>IF(Определители!I27="9",ROUND((C27+E27)*(100-Начисления!M27/100)*('Форма по МДС 81-35.2004'!I507/100),0),0)</f>
        <v>0</v>
      </c>
      <c r="AC27" s="44">
        <f>IF(Определители!I27="9",ROUND(B27*Начисления!M27/100,0),0)</f>
        <v>0</v>
      </c>
      <c r="AD27" s="44">
        <f>IF(Определители!I27="9",ROUND(B27*(100-Начисления!M27)/100,0),0)</f>
        <v>0</v>
      </c>
      <c r="AE27" s="44">
        <f>ROUND('Форма по МДС 81-35.2004'!F491*'Текущие цены за единицу'!AE27,0)</f>
        <v>0</v>
      </c>
    </row>
  </sheetData>
  <mergeCells count="4">
    <mergeCell ref="A2:K2"/>
    <mergeCell ref="B3:K3"/>
    <mergeCell ref="B4:K4"/>
    <mergeCell ref="A5:K5"/>
  </mergeCell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X27"/>
  <sheetViews>
    <sheetView workbookViewId="0"/>
  </sheetViews>
  <sheetFormatPr defaultRowHeight="10.5" x14ac:dyDescent="0.15"/>
  <cols>
    <col min="1" max="1" width="4.7109375" style="40" customWidth="1"/>
    <col min="2" max="16384" width="9.140625" style="44"/>
  </cols>
  <sheetData>
    <row r="1" spans="1:50" s="45" customFormat="1" x14ac:dyDescent="0.15">
      <c r="A1" s="46"/>
      <c r="B1" s="45" t="s">
        <v>409</v>
      </c>
      <c r="C1" s="45" t="s">
        <v>410</v>
      </c>
      <c r="D1" s="45" t="s">
        <v>411</v>
      </c>
      <c r="E1" s="45" t="s">
        <v>412</v>
      </c>
      <c r="F1" s="45" t="s">
        <v>413</v>
      </c>
      <c r="G1" s="45" t="s">
        <v>414</v>
      </c>
      <c r="H1" s="45" t="s">
        <v>415</v>
      </c>
      <c r="I1" s="45" t="s">
        <v>416</v>
      </c>
      <c r="J1" s="45" t="s">
        <v>417</v>
      </c>
      <c r="K1" s="45" t="s">
        <v>418</v>
      </c>
      <c r="L1" s="45" t="s">
        <v>419</v>
      </c>
      <c r="M1" s="45" t="s">
        <v>420</v>
      </c>
      <c r="N1" s="45" t="s">
        <v>421</v>
      </c>
      <c r="O1" s="45" t="s">
        <v>422</v>
      </c>
      <c r="P1" s="45" t="s">
        <v>423</v>
      </c>
      <c r="Q1" s="45" t="s">
        <v>424</v>
      </c>
      <c r="R1" s="45" t="s">
        <v>425</v>
      </c>
      <c r="S1" s="45" t="s">
        <v>426</v>
      </c>
      <c r="T1" s="45" t="s">
        <v>427</v>
      </c>
      <c r="U1" s="45" t="s">
        <v>428</v>
      </c>
      <c r="V1" s="45" t="s">
        <v>429</v>
      </c>
      <c r="W1" s="45" t="s">
        <v>430</v>
      </c>
      <c r="X1" s="45" t="s">
        <v>431</v>
      </c>
      <c r="Y1" s="45" t="s">
        <v>432</v>
      </c>
      <c r="Z1" s="45" t="s">
        <v>433</v>
      </c>
      <c r="AA1" s="45" t="s">
        <v>434</v>
      </c>
      <c r="AB1" s="45" t="s">
        <v>435</v>
      </c>
      <c r="AC1" s="45" t="s">
        <v>436</v>
      </c>
      <c r="AD1" s="45" t="s">
        <v>437</v>
      </c>
      <c r="AE1" s="45" t="s">
        <v>438</v>
      </c>
      <c r="AF1" s="45" t="s">
        <v>439</v>
      </c>
      <c r="AG1" s="45" t="s">
        <v>440</v>
      </c>
      <c r="AH1" s="45" t="s">
        <v>441</v>
      </c>
      <c r="AI1" s="45" t="s">
        <v>442</v>
      </c>
      <c r="AJ1" s="45" t="s">
        <v>443</v>
      </c>
      <c r="AK1" s="45" t="s">
        <v>444</v>
      </c>
      <c r="AL1" s="45" t="s">
        <v>445</v>
      </c>
      <c r="AM1" s="45" t="s">
        <v>446</v>
      </c>
      <c r="AN1" s="45" t="s">
        <v>447</v>
      </c>
      <c r="AO1" s="45" t="s">
        <v>448</v>
      </c>
      <c r="AP1" s="45" t="s">
        <v>449</v>
      </c>
      <c r="AQ1" s="45" t="s">
        <v>450</v>
      </c>
      <c r="AR1" s="45" t="s">
        <v>451</v>
      </c>
      <c r="AS1" s="45" t="s">
        <v>452</v>
      </c>
      <c r="AT1" s="45" t="s">
        <v>453</v>
      </c>
      <c r="AU1" s="45" t="s">
        <v>454</v>
      </c>
      <c r="AV1" s="45" t="s">
        <v>455</v>
      </c>
      <c r="AW1" s="45" t="s">
        <v>456</v>
      </c>
      <c r="AX1" s="45" t="s">
        <v>457</v>
      </c>
    </row>
    <row r="2" spans="1:50" x14ac:dyDescent="0.1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50" x14ac:dyDescent="0.15">
      <c r="A3" s="47"/>
      <c r="B3" s="80" t="s">
        <v>407</v>
      </c>
      <c r="C3" s="80"/>
      <c r="D3" s="80"/>
      <c r="E3" s="80"/>
      <c r="F3" s="80"/>
      <c r="G3" s="80"/>
      <c r="H3" s="80"/>
      <c r="I3" s="80"/>
      <c r="J3" s="80"/>
      <c r="K3" s="80"/>
    </row>
    <row r="4" spans="1:50" x14ac:dyDescent="0.15">
      <c r="A4" s="47"/>
      <c r="B4" s="80" t="s">
        <v>408</v>
      </c>
      <c r="C4" s="80"/>
      <c r="D4" s="80"/>
      <c r="E4" s="80"/>
      <c r="F4" s="80"/>
      <c r="G4" s="80"/>
      <c r="H4" s="80"/>
      <c r="I4" s="80"/>
      <c r="J4" s="80"/>
      <c r="K4" s="80"/>
    </row>
    <row r="5" spans="1:50" x14ac:dyDescent="0.15">
      <c r="A5" s="78"/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50" x14ac:dyDescent="0.15">
      <c r="A6" s="40" t="str">
        <f>'Форма по МДС 81-35.2004'!A19</f>
        <v>1.</v>
      </c>
      <c r="B6" s="40">
        <v>1</v>
      </c>
      <c r="C6" s="40">
        <v>1</v>
      </c>
      <c r="D6" s="40">
        <v>1</v>
      </c>
      <c r="E6" s="40">
        <v>1</v>
      </c>
      <c r="F6" s="40">
        <v>1</v>
      </c>
      <c r="G6" s="40">
        <v>1</v>
      </c>
      <c r="H6" s="40">
        <v>1</v>
      </c>
      <c r="I6" s="40">
        <v>1</v>
      </c>
      <c r="J6" s="40">
        <v>1</v>
      </c>
      <c r="K6" s="40">
        <v>0</v>
      </c>
      <c r="L6" s="40">
        <v>0</v>
      </c>
      <c r="M6" s="40">
        <v>100</v>
      </c>
      <c r="N6" s="40">
        <v>0</v>
      </c>
      <c r="O6" s="40">
        <v>0</v>
      </c>
      <c r="P6" s="40">
        <v>1</v>
      </c>
      <c r="Q6" s="40">
        <v>1</v>
      </c>
      <c r="R6" s="40">
        <v>0</v>
      </c>
      <c r="S6" s="40">
        <v>0</v>
      </c>
      <c r="T6" s="40">
        <v>1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1.7</v>
      </c>
      <c r="AH6" s="40">
        <v>1.6</v>
      </c>
      <c r="AI6" s="40">
        <v>1.29</v>
      </c>
      <c r="AJ6" s="40">
        <v>9.1999999999999998E-2</v>
      </c>
      <c r="AK6" s="40">
        <v>0.18</v>
      </c>
      <c r="AL6" s="40">
        <v>1</v>
      </c>
      <c r="AM6" s="40">
        <v>1</v>
      </c>
      <c r="AN6" s="40">
        <v>0.2</v>
      </c>
      <c r="AO6" s="40">
        <v>1.5</v>
      </c>
      <c r="AP6" s="40">
        <v>1</v>
      </c>
      <c r="AQ6" s="40">
        <v>1</v>
      </c>
      <c r="AR6" s="40">
        <v>1</v>
      </c>
      <c r="AS6" s="40">
        <v>1</v>
      </c>
      <c r="AT6" s="40">
        <v>1</v>
      </c>
      <c r="AU6" s="40">
        <v>100</v>
      </c>
      <c r="AV6" s="40">
        <v>1</v>
      </c>
      <c r="AW6" s="40">
        <v>1</v>
      </c>
      <c r="AX6" s="40">
        <v>1</v>
      </c>
    </row>
    <row r="7" spans="1:50" x14ac:dyDescent="0.15">
      <c r="A7" s="40" t="str">
        <f>'Форма по МДС 81-35.2004'!A40</f>
        <v>2.</v>
      </c>
      <c r="B7" s="40">
        <v>1</v>
      </c>
      <c r="C7" s="40">
        <v>1</v>
      </c>
      <c r="D7" s="40">
        <v>1</v>
      </c>
      <c r="E7" s="40">
        <v>1</v>
      </c>
      <c r="F7" s="40">
        <v>1</v>
      </c>
      <c r="G7" s="40">
        <v>1</v>
      </c>
      <c r="H7" s="40">
        <v>1</v>
      </c>
      <c r="I7" s="40">
        <v>1</v>
      </c>
      <c r="J7" s="40">
        <v>1</v>
      </c>
      <c r="K7" s="40">
        <v>0</v>
      </c>
      <c r="L7" s="40">
        <v>0</v>
      </c>
      <c r="M7" s="40">
        <v>100</v>
      </c>
      <c r="N7" s="40">
        <v>0</v>
      </c>
      <c r="O7" s="40">
        <v>0</v>
      </c>
      <c r="P7" s="40">
        <v>1</v>
      </c>
      <c r="Q7" s="40">
        <v>1</v>
      </c>
      <c r="R7" s="40">
        <v>0</v>
      </c>
      <c r="S7" s="40">
        <v>0</v>
      </c>
      <c r="T7" s="40">
        <v>1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  <c r="AA7" s="40">
        <v>0</v>
      </c>
      <c r="AB7" s="40">
        <v>0</v>
      </c>
      <c r="AC7" s="40">
        <v>0</v>
      </c>
      <c r="AD7" s="40">
        <v>0</v>
      </c>
      <c r="AE7" s="40">
        <v>0</v>
      </c>
      <c r="AF7" s="40">
        <v>0</v>
      </c>
      <c r="AG7" s="40">
        <v>1.7</v>
      </c>
      <c r="AH7" s="40">
        <v>1.6</v>
      </c>
      <c r="AI7" s="40">
        <v>1.29</v>
      </c>
      <c r="AJ7" s="40">
        <v>9.1999999999999998E-2</v>
      </c>
      <c r="AK7" s="40">
        <v>0.18</v>
      </c>
      <c r="AL7" s="40">
        <v>1</v>
      </c>
      <c r="AM7" s="40">
        <v>1</v>
      </c>
      <c r="AN7" s="40">
        <v>0.2</v>
      </c>
      <c r="AO7" s="40">
        <v>1.5</v>
      </c>
      <c r="AP7" s="40">
        <v>1</v>
      </c>
      <c r="AQ7" s="40">
        <v>1</v>
      </c>
      <c r="AR7" s="40">
        <v>1</v>
      </c>
      <c r="AS7" s="40">
        <v>1</v>
      </c>
      <c r="AT7" s="40">
        <v>1</v>
      </c>
      <c r="AU7" s="40">
        <v>100</v>
      </c>
      <c r="AV7" s="40">
        <v>1</v>
      </c>
      <c r="AW7" s="40">
        <v>1</v>
      </c>
      <c r="AX7" s="40">
        <v>1</v>
      </c>
    </row>
    <row r="8" spans="1:50" x14ac:dyDescent="0.15">
      <c r="A8" s="40" t="str">
        <f>'Форма по МДС 81-35.2004'!A61</f>
        <v>3.</v>
      </c>
      <c r="B8" s="40">
        <v>1</v>
      </c>
      <c r="C8" s="40">
        <v>1</v>
      </c>
      <c r="D8" s="40">
        <v>1</v>
      </c>
      <c r="E8" s="40">
        <v>1</v>
      </c>
      <c r="F8" s="40">
        <v>1</v>
      </c>
      <c r="G8" s="40">
        <v>1</v>
      </c>
      <c r="H8" s="40">
        <v>1</v>
      </c>
      <c r="I8" s="40">
        <v>1</v>
      </c>
      <c r="J8" s="40">
        <v>1</v>
      </c>
      <c r="K8" s="40">
        <v>0</v>
      </c>
      <c r="L8" s="40">
        <v>0</v>
      </c>
      <c r="M8" s="40">
        <v>100</v>
      </c>
      <c r="N8" s="40">
        <v>0</v>
      </c>
      <c r="O8" s="40">
        <v>0</v>
      </c>
      <c r="P8" s="40">
        <v>1</v>
      </c>
      <c r="Q8" s="40">
        <v>1</v>
      </c>
      <c r="R8" s="40">
        <v>0</v>
      </c>
      <c r="S8" s="40">
        <v>0</v>
      </c>
      <c r="T8" s="40">
        <v>1</v>
      </c>
      <c r="U8" s="40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  <c r="AC8" s="40">
        <v>0</v>
      </c>
      <c r="AD8" s="40">
        <v>0</v>
      </c>
      <c r="AE8" s="40">
        <v>0</v>
      </c>
      <c r="AF8" s="40">
        <v>0</v>
      </c>
      <c r="AG8" s="40">
        <v>1.7</v>
      </c>
      <c r="AH8" s="40">
        <v>1.6</v>
      </c>
      <c r="AI8" s="40">
        <v>1.29</v>
      </c>
      <c r="AJ8" s="40">
        <v>9.1999999999999998E-2</v>
      </c>
      <c r="AK8" s="40">
        <v>0.18</v>
      </c>
      <c r="AL8" s="40">
        <v>1</v>
      </c>
      <c r="AM8" s="40">
        <v>1</v>
      </c>
      <c r="AN8" s="40">
        <v>0.2</v>
      </c>
      <c r="AO8" s="40">
        <v>1.5</v>
      </c>
      <c r="AP8" s="40">
        <v>1</v>
      </c>
      <c r="AQ8" s="40">
        <v>1</v>
      </c>
      <c r="AR8" s="40">
        <v>1</v>
      </c>
      <c r="AS8" s="40">
        <v>1</v>
      </c>
      <c r="AT8" s="40">
        <v>1</v>
      </c>
      <c r="AU8" s="40">
        <v>100</v>
      </c>
      <c r="AV8" s="40">
        <v>1</v>
      </c>
      <c r="AW8" s="40">
        <v>1</v>
      </c>
      <c r="AX8" s="40">
        <v>1</v>
      </c>
    </row>
    <row r="9" spans="1:50" x14ac:dyDescent="0.15">
      <c r="A9" s="40" t="str">
        <f>'Форма по МДС 81-35.2004'!A82</f>
        <v>4.</v>
      </c>
      <c r="B9" s="40">
        <v>1</v>
      </c>
      <c r="C9" s="40">
        <v>1</v>
      </c>
      <c r="D9" s="40">
        <v>1</v>
      </c>
      <c r="E9" s="40">
        <v>1</v>
      </c>
      <c r="F9" s="40">
        <v>1</v>
      </c>
      <c r="G9" s="40">
        <v>1</v>
      </c>
      <c r="H9" s="40">
        <v>1</v>
      </c>
      <c r="I9" s="40">
        <v>1</v>
      </c>
      <c r="J9" s="40">
        <v>1</v>
      </c>
      <c r="K9" s="40">
        <v>0</v>
      </c>
      <c r="L9" s="40">
        <v>0</v>
      </c>
      <c r="M9" s="40">
        <v>100</v>
      </c>
      <c r="N9" s="40">
        <v>0</v>
      </c>
      <c r="O9" s="40">
        <v>0</v>
      </c>
      <c r="P9" s="40">
        <v>1</v>
      </c>
      <c r="Q9" s="40">
        <v>1</v>
      </c>
      <c r="R9" s="40">
        <v>0</v>
      </c>
      <c r="S9" s="40">
        <v>0</v>
      </c>
      <c r="T9" s="40">
        <v>1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>
        <v>0</v>
      </c>
      <c r="AD9" s="40">
        <v>0</v>
      </c>
      <c r="AE9" s="40">
        <v>0</v>
      </c>
      <c r="AF9" s="40">
        <v>0</v>
      </c>
      <c r="AG9" s="40">
        <v>1.7</v>
      </c>
      <c r="AH9" s="40">
        <v>1.6</v>
      </c>
      <c r="AI9" s="40">
        <v>1.29</v>
      </c>
      <c r="AJ9" s="40">
        <v>9.1999999999999998E-2</v>
      </c>
      <c r="AK9" s="40">
        <v>0.18</v>
      </c>
      <c r="AL9" s="40">
        <v>1</v>
      </c>
      <c r="AM9" s="40">
        <v>1</v>
      </c>
      <c r="AN9" s="40">
        <v>0.2</v>
      </c>
      <c r="AO9" s="40">
        <v>1.5</v>
      </c>
      <c r="AP9" s="40">
        <v>1</v>
      </c>
      <c r="AQ9" s="40">
        <v>1</v>
      </c>
      <c r="AR9" s="40">
        <v>1</v>
      </c>
      <c r="AS9" s="40">
        <v>1</v>
      </c>
      <c r="AT9" s="40">
        <v>1</v>
      </c>
      <c r="AU9" s="40">
        <v>100</v>
      </c>
      <c r="AV9" s="40">
        <v>1</v>
      </c>
      <c r="AW9" s="40">
        <v>1</v>
      </c>
      <c r="AX9" s="40">
        <v>1</v>
      </c>
    </row>
    <row r="10" spans="1:50" x14ac:dyDescent="0.15">
      <c r="A10" s="40" t="str">
        <f>'Форма по МДС 81-35.2004'!A103</f>
        <v>5.</v>
      </c>
      <c r="B10" s="40">
        <v>1</v>
      </c>
      <c r="C10" s="40">
        <v>1</v>
      </c>
      <c r="D10" s="40">
        <v>1</v>
      </c>
      <c r="E10" s="40">
        <v>1</v>
      </c>
      <c r="F10" s="40">
        <v>1</v>
      </c>
      <c r="G10" s="40">
        <v>1</v>
      </c>
      <c r="H10" s="40">
        <v>1</v>
      </c>
      <c r="I10" s="40">
        <v>1</v>
      </c>
      <c r="J10" s="40">
        <v>1</v>
      </c>
      <c r="K10" s="40">
        <v>0</v>
      </c>
      <c r="L10" s="40">
        <v>0</v>
      </c>
      <c r="M10" s="40">
        <v>100</v>
      </c>
      <c r="N10" s="40">
        <v>0</v>
      </c>
      <c r="O10" s="40">
        <v>0</v>
      </c>
      <c r="P10" s="40">
        <v>1</v>
      </c>
      <c r="Q10" s="40">
        <v>1</v>
      </c>
      <c r="R10" s="40">
        <v>0</v>
      </c>
      <c r="S10" s="40">
        <v>0</v>
      </c>
      <c r="T10" s="40">
        <v>1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1.7</v>
      </c>
      <c r="AH10" s="40">
        <v>1.6</v>
      </c>
      <c r="AI10" s="40">
        <v>1.29</v>
      </c>
      <c r="AJ10" s="40">
        <v>9.1999999999999998E-2</v>
      </c>
      <c r="AK10" s="40">
        <v>0.18</v>
      </c>
      <c r="AL10" s="40">
        <v>1</v>
      </c>
      <c r="AM10" s="40">
        <v>1</v>
      </c>
      <c r="AN10" s="40">
        <v>0.2</v>
      </c>
      <c r="AO10" s="40">
        <v>1.5</v>
      </c>
      <c r="AP10" s="40">
        <v>1</v>
      </c>
      <c r="AQ10" s="40">
        <v>1</v>
      </c>
      <c r="AR10" s="40">
        <v>1</v>
      </c>
      <c r="AS10" s="40">
        <v>1</v>
      </c>
      <c r="AT10" s="40">
        <v>1</v>
      </c>
      <c r="AU10" s="40">
        <v>100</v>
      </c>
      <c r="AV10" s="40">
        <v>1</v>
      </c>
      <c r="AW10" s="40">
        <v>1</v>
      </c>
      <c r="AX10" s="40">
        <v>1</v>
      </c>
    </row>
    <row r="11" spans="1:50" x14ac:dyDescent="0.15">
      <c r="A11" s="40" t="str">
        <f>'Форма по МДС 81-35.2004'!A124</f>
        <v>6.</v>
      </c>
      <c r="B11" s="40">
        <v>1</v>
      </c>
      <c r="C11" s="40">
        <v>1</v>
      </c>
      <c r="D11" s="40">
        <v>1</v>
      </c>
      <c r="E11" s="40">
        <v>1</v>
      </c>
      <c r="F11" s="40">
        <v>1</v>
      </c>
      <c r="G11" s="40">
        <v>1</v>
      </c>
      <c r="H11" s="40">
        <v>1</v>
      </c>
      <c r="I11" s="40">
        <v>1</v>
      </c>
      <c r="J11" s="40">
        <v>1</v>
      </c>
      <c r="K11" s="40">
        <v>0</v>
      </c>
      <c r="L11" s="40">
        <v>0</v>
      </c>
      <c r="M11" s="40">
        <v>100</v>
      </c>
      <c r="N11" s="40">
        <v>0</v>
      </c>
      <c r="O11" s="40">
        <v>0</v>
      </c>
      <c r="P11" s="40">
        <v>1</v>
      </c>
      <c r="Q11" s="40">
        <v>1</v>
      </c>
      <c r="R11" s="40">
        <v>0</v>
      </c>
      <c r="S11" s="40">
        <v>0</v>
      </c>
      <c r="T11" s="40">
        <v>1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1.7</v>
      </c>
      <c r="AH11" s="40">
        <v>1.6</v>
      </c>
      <c r="AI11" s="40">
        <v>1.29</v>
      </c>
      <c r="AJ11" s="40">
        <v>9.1999999999999998E-2</v>
      </c>
      <c r="AK11" s="40">
        <v>0.18</v>
      </c>
      <c r="AL11" s="40">
        <v>1</v>
      </c>
      <c r="AM11" s="40">
        <v>1</v>
      </c>
      <c r="AN11" s="40">
        <v>0.2</v>
      </c>
      <c r="AO11" s="40">
        <v>1.5</v>
      </c>
      <c r="AP11" s="40">
        <v>1</v>
      </c>
      <c r="AQ11" s="40">
        <v>1</v>
      </c>
      <c r="AR11" s="40">
        <v>1</v>
      </c>
      <c r="AS11" s="40">
        <v>1</v>
      </c>
      <c r="AT11" s="40">
        <v>1</v>
      </c>
      <c r="AU11" s="40">
        <v>100</v>
      </c>
      <c r="AV11" s="40">
        <v>1</v>
      </c>
      <c r="AW11" s="40">
        <v>1</v>
      </c>
      <c r="AX11" s="40">
        <v>1</v>
      </c>
    </row>
    <row r="12" spans="1:50" x14ac:dyDescent="0.15">
      <c r="A12" s="40" t="str">
        <f>'Форма по МДС 81-35.2004'!A145</f>
        <v>7.</v>
      </c>
      <c r="B12" s="40">
        <v>1</v>
      </c>
      <c r="C12" s="40">
        <v>1</v>
      </c>
      <c r="D12" s="40">
        <v>1</v>
      </c>
      <c r="E12" s="40">
        <v>1</v>
      </c>
      <c r="F12" s="40">
        <v>1</v>
      </c>
      <c r="G12" s="40">
        <v>1</v>
      </c>
      <c r="H12" s="40">
        <v>1</v>
      </c>
      <c r="I12" s="40">
        <v>1</v>
      </c>
      <c r="J12" s="40">
        <v>1</v>
      </c>
      <c r="K12" s="40">
        <v>0</v>
      </c>
      <c r="L12" s="40">
        <v>0</v>
      </c>
      <c r="M12" s="40">
        <v>100</v>
      </c>
      <c r="N12" s="40">
        <v>0</v>
      </c>
      <c r="O12" s="40">
        <v>0</v>
      </c>
      <c r="P12" s="40">
        <v>1</v>
      </c>
      <c r="Q12" s="40">
        <v>1</v>
      </c>
      <c r="R12" s="40">
        <v>0</v>
      </c>
      <c r="S12" s="40">
        <v>0</v>
      </c>
      <c r="T12" s="40">
        <v>1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1.7</v>
      </c>
      <c r="AH12" s="40">
        <v>1.6</v>
      </c>
      <c r="AI12" s="40">
        <v>1.29</v>
      </c>
      <c r="AJ12" s="40">
        <v>9.1999999999999998E-2</v>
      </c>
      <c r="AK12" s="40">
        <v>0.18</v>
      </c>
      <c r="AL12" s="40">
        <v>1</v>
      </c>
      <c r="AM12" s="40">
        <v>1</v>
      </c>
      <c r="AN12" s="40">
        <v>0.2</v>
      </c>
      <c r="AO12" s="40">
        <v>1.5</v>
      </c>
      <c r="AP12" s="40">
        <v>1</v>
      </c>
      <c r="AQ12" s="40">
        <v>1</v>
      </c>
      <c r="AR12" s="40">
        <v>1</v>
      </c>
      <c r="AS12" s="40">
        <v>1</v>
      </c>
      <c r="AT12" s="40">
        <v>1</v>
      </c>
      <c r="AU12" s="40">
        <v>100</v>
      </c>
      <c r="AV12" s="40">
        <v>1</v>
      </c>
      <c r="AW12" s="40">
        <v>1</v>
      </c>
      <c r="AX12" s="40">
        <v>1</v>
      </c>
    </row>
    <row r="13" spans="1:50" x14ac:dyDescent="0.15">
      <c r="A13" s="40" t="str">
        <f>'Форма по МДС 81-35.2004'!A160</f>
        <v>8.</v>
      </c>
      <c r="B13" s="40">
        <v>1</v>
      </c>
      <c r="C13" s="40">
        <v>1</v>
      </c>
      <c r="D13" s="40">
        <v>1</v>
      </c>
      <c r="E13" s="40">
        <v>1</v>
      </c>
      <c r="F13" s="40">
        <v>1</v>
      </c>
      <c r="G13" s="40">
        <v>1</v>
      </c>
      <c r="H13" s="40">
        <v>1</v>
      </c>
      <c r="I13" s="40">
        <v>1</v>
      </c>
      <c r="J13" s="40">
        <v>1</v>
      </c>
      <c r="K13" s="40">
        <v>0</v>
      </c>
      <c r="L13" s="40">
        <v>0</v>
      </c>
      <c r="M13" s="40">
        <v>100</v>
      </c>
      <c r="N13" s="40">
        <v>0</v>
      </c>
      <c r="O13" s="40">
        <v>0</v>
      </c>
      <c r="P13" s="40">
        <v>1</v>
      </c>
      <c r="Q13" s="40">
        <v>1</v>
      </c>
      <c r="R13" s="40">
        <v>0</v>
      </c>
      <c r="S13" s="40">
        <v>0</v>
      </c>
      <c r="T13" s="40">
        <v>1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1.7</v>
      </c>
      <c r="AH13" s="40">
        <v>1.6</v>
      </c>
      <c r="AI13" s="40">
        <v>1.29</v>
      </c>
      <c r="AJ13" s="40">
        <v>9.1999999999999998E-2</v>
      </c>
      <c r="AK13" s="40">
        <v>0.18</v>
      </c>
      <c r="AL13" s="40">
        <v>1</v>
      </c>
      <c r="AM13" s="40">
        <v>1</v>
      </c>
      <c r="AN13" s="40">
        <v>0.2</v>
      </c>
      <c r="AO13" s="40">
        <v>1.5</v>
      </c>
      <c r="AP13" s="40">
        <v>1</v>
      </c>
      <c r="AQ13" s="40">
        <v>1</v>
      </c>
      <c r="AR13" s="40">
        <v>1</v>
      </c>
      <c r="AS13" s="40">
        <v>1</v>
      </c>
      <c r="AT13" s="40">
        <v>1</v>
      </c>
      <c r="AU13" s="40">
        <v>100</v>
      </c>
      <c r="AV13" s="40">
        <v>1</v>
      </c>
      <c r="AW13" s="40">
        <v>1</v>
      </c>
      <c r="AX13" s="40">
        <v>1</v>
      </c>
    </row>
    <row r="14" spans="1:50" x14ac:dyDescent="0.15">
      <c r="A14" s="40" t="str">
        <f>'Форма по МДС 81-35.2004'!A176</f>
        <v>9.</v>
      </c>
      <c r="B14" s="40">
        <v>1</v>
      </c>
      <c r="C14" s="40">
        <v>1</v>
      </c>
      <c r="D14" s="40">
        <v>1</v>
      </c>
      <c r="E14" s="40">
        <v>1</v>
      </c>
      <c r="F14" s="40">
        <v>1</v>
      </c>
      <c r="G14" s="40">
        <v>1</v>
      </c>
      <c r="H14" s="40">
        <v>1</v>
      </c>
      <c r="I14" s="40">
        <v>1</v>
      </c>
      <c r="J14" s="40">
        <v>1</v>
      </c>
      <c r="K14" s="40">
        <v>0</v>
      </c>
      <c r="L14" s="40">
        <v>0</v>
      </c>
      <c r="M14" s="40">
        <v>100</v>
      </c>
      <c r="N14" s="40">
        <v>0</v>
      </c>
      <c r="O14" s="40">
        <v>0</v>
      </c>
      <c r="P14" s="40">
        <v>1</v>
      </c>
      <c r="Q14" s="40">
        <v>1</v>
      </c>
      <c r="R14" s="40">
        <v>0</v>
      </c>
      <c r="S14" s="40">
        <v>0</v>
      </c>
      <c r="T14" s="40">
        <v>1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1.7</v>
      </c>
      <c r="AH14" s="40">
        <v>1.6</v>
      </c>
      <c r="AI14" s="40">
        <v>1.29</v>
      </c>
      <c r="AJ14" s="40">
        <v>9.1999999999999998E-2</v>
      </c>
      <c r="AK14" s="40">
        <v>0.18</v>
      </c>
      <c r="AL14" s="40">
        <v>1</v>
      </c>
      <c r="AM14" s="40">
        <v>1</v>
      </c>
      <c r="AN14" s="40">
        <v>0.2</v>
      </c>
      <c r="AO14" s="40">
        <v>1.5</v>
      </c>
      <c r="AP14" s="40">
        <v>1</v>
      </c>
      <c r="AQ14" s="40">
        <v>1</v>
      </c>
      <c r="AR14" s="40">
        <v>1</v>
      </c>
      <c r="AS14" s="40">
        <v>1</v>
      </c>
      <c r="AT14" s="40">
        <v>1</v>
      </c>
      <c r="AU14" s="40">
        <v>100</v>
      </c>
      <c r="AV14" s="40">
        <v>1</v>
      </c>
      <c r="AW14" s="40">
        <v>1</v>
      </c>
      <c r="AX14" s="40">
        <v>1</v>
      </c>
    </row>
    <row r="15" spans="1:50" x14ac:dyDescent="0.15">
      <c r="A15" s="40" t="str">
        <f>'Форма по МДС 81-35.2004'!A197</f>
        <v>10.</v>
      </c>
      <c r="B15" s="40">
        <v>1</v>
      </c>
      <c r="C15" s="40">
        <v>1</v>
      </c>
      <c r="D15" s="40">
        <v>1</v>
      </c>
      <c r="E15" s="40">
        <v>1</v>
      </c>
      <c r="F15" s="40">
        <v>1</v>
      </c>
      <c r="G15" s="40">
        <v>1</v>
      </c>
      <c r="H15" s="40">
        <v>1</v>
      </c>
      <c r="I15" s="40">
        <v>1</v>
      </c>
      <c r="J15" s="40">
        <v>1</v>
      </c>
      <c r="K15" s="40">
        <v>0</v>
      </c>
      <c r="L15" s="40">
        <v>0</v>
      </c>
      <c r="M15" s="40">
        <v>100</v>
      </c>
      <c r="N15" s="40">
        <v>0</v>
      </c>
      <c r="O15" s="40">
        <v>0</v>
      </c>
      <c r="P15" s="40">
        <v>1</v>
      </c>
      <c r="Q15" s="40">
        <v>1</v>
      </c>
      <c r="R15" s="40">
        <v>0</v>
      </c>
      <c r="S15" s="40">
        <v>0</v>
      </c>
      <c r="T15" s="40">
        <v>1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1.7</v>
      </c>
      <c r="AH15" s="40">
        <v>1.6</v>
      </c>
      <c r="AI15" s="40">
        <v>1.29</v>
      </c>
      <c r="AJ15" s="40">
        <v>9.1999999999999998E-2</v>
      </c>
      <c r="AK15" s="40">
        <v>0.18</v>
      </c>
      <c r="AL15" s="40">
        <v>1</v>
      </c>
      <c r="AM15" s="40">
        <v>1</v>
      </c>
      <c r="AN15" s="40">
        <v>0.2</v>
      </c>
      <c r="AO15" s="40">
        <v>1.5</v>
      </c>
      <c r="AP15" s="40">
        <v>1</v>
      </c>
      <c r="AQ15" s="40">
        <v>1</v>
      </c>
      <c r="AR15" s="40">
        <v>1</v>
      </c>
      <c r="AS15" s="40">
        <v>1</v>
      </c>
      <c r="AT15" s="40">
        <v>1</v>
      </c>
      <c r="AU15" s="40">
        <v>100</v>
      </c>
      <c r="AV15" s="40">
        <v>1</v>
      </c>
      <c r="AW15" s="40">
        <v>1</v>
      </c>
      <c r="AX15" s="40">
        <v>1</v>
      </c>
    </row>
    <row r="16" spans="1:50" x14ac:dyDescent="0.15">
      <c r="A16" s="40" t="str">
        <f>'Форма по МДС 81-35.2004'!A218</f>
        <v>11.</v>
      </c>
      <c r="B16" s="40">
        <v>1</v>
      </c>
      <c r="C16" s="40">
        <v>1</v>
      </c>
      <c r="D16" s="40">
        <v>1</v>
      </c>
      <c r="E16" s="40">
        <v>1</v>
      </c>
      <c r="F16" s="40">
        <v>1</v>
      </c>
      <c r="G16" s="40">
        <v>1</v>
      </c>
      <c r="H16" s="40">
        <v>1</v>
      </c>
      <c r="I16" s="40">
        <v>1</v>
      </c>
      <c r="J16" s="40">
        <v>1</v>
      </c>
      <c r="K16" s="40">
        <v>0</v>
      </c>
      <c r="L16" s="40">
        <v>0</v>
      </c>
      <c r="M16" s="40">
        <v>100</v>
      </c>
      <c r="N16" s="40">
        <v>0</v>
      </c>
      <c r="O16" s="40">
        <v>0</v>
      </c>
      <c r="P16" s="40">
        <v>1</v>
      </c>
      <c r="Q16" s="40">
        <v>1</v>
      </c>
      <c r="R16" s="40">
        <v>0</v>
      </c>
      <c r="S16" s="40">
        <v>0</v>
      </c>
      <c r="T16" s="40">
        <v>1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1.7</v>
      </c>
      <c r="AH16" s="40">
        <v>1.6</v>
      </c>
      <c r="AI16" s="40">
        <v>1.29</v>
      </c>
      <c r="AJ16" s="40">
        <v>9.1999999999999998E-2</v>
      </c>
      <c r="AK16" s="40">
        <v>0.18</v>
      </c>
      <c r="AL16" s="40">
        <v>1</v>
      </c>
      <c r="AM16" s="40">
        <v>1</v>
      </c>
      <c r="AN16" s="40">
        <v>0.2</v>
      </c>
      <c r="AO16" s="40">
        <v>1.5</v>
      </c>
      <c r="AP16" s="40">
        <v>1</v>
      </c>
      <c r="AQ16" s="40">
        <v>1</v>
      </c>
      <c r="AR16" s="40">
        <v>1</v>
      </c>
      <c r="AS16" s="40">
        <v>1</v>
      </c>
      <c r="AT16" s="40">
        <v>1</v>
      </c>
      <c r="AU16" s="40">
        <v>100</v>
      </c>
      <c r="AV16" s="40">
        <v>1</v>
      </c>
      <c r="AW16" s="40">
        <v>1</v>
      </c>
      <c r="AX16" s="40">
        <v>1</v>
      </c>
    </row>
    <row r="17" spans="1:50" x14ac:dyDescent="0.15">
      <c r="A17" s="40" t="str">
        <f>'Форма по МДС 81-35.2004'!A239</f>
        <v>12.</v>
      </c>
      <c r="B17" s="40">
        <v>1</v>
      </c>
      <c r="C17" s="40">
        <v>1</v>
      </c>
      <c r="D17" s="40">
        <v>1</v>
      </c>
      <c r="E17" s="40">
        <v>1</v>
      </c>
      <c r="F17" s="40">
        <v>1</v>
      </c>
      <c r="G17" s="40">
        <v>1</v>
      </c>
      <c r="H17" s="40">
        <v>1</v>
      </c>
      <c r="I17" s="40">
        <v>1</v>
      </c>
      <c r="J17" s="40">
        <v>1</v>
      </c>
      <c r="K17" s="40">
        <v>0</v>
      </c>
      <c r="L17" s="40">
        <v>0</v>
      </c>
      <c r="M17" s="40">
        <v>100</v>
      </c>
      <c r="N17" s="40">
        <v>0</v>
      </c>
      <c r="O17" s="40">
        <v>0</v>
      </c>
      <c r="P17" s="40">
        <v>1</v>
      </c>
      <c r="Q17" s="40">
        <v>1</v>
      </c>
      <c r="R17" s="40">
        <v>0</v>
      </c>
      <c r="S17" s="40">
        <v>0</v>
      </c>
      <c r="T17" s="40">
        <v>1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  <c r="AF17" s="40">
        <v>0</v>
      </c>
      <c r="AG17" s="40">
        <v>1.7</v>
      </c>
      <c r="AH17" s="40">
        <v>1.6</v>
      </c>
      <c r="AI17" s="40">
        <v>1.29</v>
      </c>
      <c r="AJ17" s="40">
        <v>9.1999999999999998E-2</v>
      </c>
      <c r="AK17" s="40">
        <v>0.18</v>
      </c>
      <c r="AL17" s="40">
        <v>1</v>
      </c>
      <c r="AM17" s="40">
        <v>1</v>
      </c>
      <c r="AN17" s="40">
        <v>0.2</v>
      </c>
      <c r="AO17" s="40">
        <v>1.5</v>
      </c>
      <c r="AP17" s="40">
        <v>1</v>
      </c>
      <c r="AQ17" s="40">
        <v>1</v>
      </c>
      <c r="AR17" s="40">
        <v>1</v>
      </c>
      <c r="AS17" s="40">
        <v>1</v>
      </c>
      <c r="AT17" s="40">
        <v>1</v>
      </c>
      <c r="AU17" s="40">
        <v>100</v>
      </c>
      <c r="AV17" s="40">
        <v>1</v>
      </c>
      <c r="AW17" s="40">
        <v>1</v>
      </c>
      <c r="AX17" s="40">
        <v>1</v>
      </c>
    </row>
    <row r="18" spans="1:50" x14ac:dyDescent="0.15">
      <c r="A18" s="40" t="str">
        <f>'Форма по МДС 81-35.2004'!A287</f>
        <v>13.</v>
      </c>
      <c r="B18" s="40">
        <v>1</v>
      </c>
      <c r="C18" s="40">
        <v>1</v>
      </c>
      <c r="D18" s="40">
        <v>1</v>
      </c>
      <c r="E18" s="40">
        <v>1</v>
      </c>
      <c r="F18" s="40">
        <v>1</v>
      </c>
      <c r="G18" s="40">
        <v>1</v>
      </c>
      <c r="H18" s="40">
        <v>1</v>
      </c>
      <c r="I18" s="40">
        <v>1</v>
      </c>
      <c r="J18" s="40">
        <v>1</v>
      </c>
      <c r="K18" s="40">
        <v>0</v>
      </c>
      <c r="L18" s="40">
        <v>0</v>
      </c>
      <c r="M18" s="40">
        <v>100</v>
      </c>
      <c r="N18" s="40">
        <v>0</v>
      </c>
      <c r="O18" s="40">
        <v>0</v>
      </c>
      <c r="P18" s="40">
        <v>1</v>
      </c>
      <c r="Q18" s="40">
        <v>1</v>
      </c>
      <c r="R18" s="40">
        <v>0</v>
      </c>
      <c r="S18" s="40">
        <v>0</v>
      </c>
      <c r="T18" s="40">
        <v>1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1.7</v>
      </c>
      <c r="AH18" s="40">
        <v>1.6</v>
      </c>
      <c r="AI18" s="40">
        <v>1.29</v>
      </c>
      <c r="AJ18" s="40">
        <v>9.1999999999999998E-2</v>
      </c>
      <c r="AK18" s="40">
        <v>0.18</v>
      </c>
      <c r="AL18" s="40">
        <v>1</v>
      </c>
      <c r="AM18" s="40">
        <v>1</v>
      </c>
      <c r="AN18" s="40">
        <v>0.2</v>
      </c>
      <c r="AO18" s="40">
        <v>1.5</v>
      </c>
      <c r="AP18" s="40">
        <v>1</v>
      </c>
      <c r="AQ18" s="40">
        <v>1</v>
      </c>
      <c r="AR18" s="40">
        <v>1</v>
      </c>
      <c r="AS18" s="40">
        <v>1</v>
      </c>
      <c r="AT18" s="40">
        <v>1</v>
      </c>
      <c r="AU18" s="40">
        <v>100</v>
      </c>
      <c r="AV18" s="40">
        <v>1</v>
      </c>
      <c r="AW18" s="40">
        <v>1</v>
      </c>
      <c r="AX18" s="40">
        <v>1</v>
      </c>
    </row>
    <row r="19" spans="1:50" x14ac:dyDescent="0.15">
      <c r="A19" s="40" t="str">
        <f>'Форма по МДС 81-35.2004'!A309</f>
        <v>14.</v>
      </c>
      <c r="B19" s="40">
        <v>1</v>
      </c>
      <c r="C19" s="40">
        <v>1</v>
      </c>
      <c r="D19" s="40">
        <v>1</v>
      </c>
      <c r="E19" s="40">
        <v>1</v>
      </c>
      <c r="F19" s="40">
        <v>1</v>
      </c>
      <c r="G19" s="40">
        <v>1</v>
      </c>
      <c r="H19" s="40">
        <v>1</v>
      </c>
      <c r="I19" s="40">
        <v>1</v>
      </c>
      <c r="J19" s="40">
        <v>1</v>
      </c>
      <c r="K19" s="40">
        <v>0</v>
      </c>
      <c r="L19" s="40">
        <v>0</v>
      </c>
      <c r="M19" s="40">
        <v>100</v>
      </c>
      <c r="N19" s="40">
        <v>0</v>
      </c>
      <c r="O19" s="40">
        <v>0</v>
      </c>
      <c r="P19" s="40">
        <v>1</v>
      </c>
      <c r="Q19" s="40">
        <v>1</v>
      </c>
      <c r="R19" s="40">
        <v>0</v>
      </c>
      <c r="S19" s="40">
        <v>0</v>
      </c>
      <c r="T19" s="40">
        <v>1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1.7</v>
      </c>
      <c r="AH19" s="40">
        <v>1.6</v>
      </c>
      <c r="AI19" s="40">
        <v>1.29</v>
      </c>
      <c r="AJ19" s="40">
        <v>9.1999999999999998E-2</v>
      </c>
      <c r="AK19" s="40">
        <v>0.18</v>
      </c>
      <c r="AL19" s="40">
        <v>1</v>
      </c>
      <c r="AM19" s="40">
        <v>1</v>
      </c>
      <c r="AN19" s="40">
        <v>0.2</v>
      </c>
      <c r="AO19" s="40">
        <v>1.5</v>
      </c>
      <c r="AP19" s="40">
        <v>1</v>
      </c>
      <c r="AQ19" s="40">
        <v>1</v>
      </c>
      <c r="AR19" s="40">
        <v>1</v>
      </c>
      <c r="AS19" s="40">
        <v>1</v>
      </c>
      <c r="AT19" s="40">
        <v>1</v>
      </c>
      <c r="AU19" s="40">
        <v>100</v>
      </c>
      <c r="AV19" s="40">
        <v>1</v>
      </c>
      <c r="AW19" s="40">
        <v>1</v>
      </c>
      <c r="AX19" s="40">
        <v>1</v>
      </c>
    </row>
    <row r="20" spans="1:50" x14ac:dyDescent="0.15">
      <c r="A20" s="40" t="str">
        <f>'Форма по МДС 81-35.2004'!A327</f>
        <v>15.</v>
      </c>
      <c r="B20" s="40">
        <v>1</v>
      </c>
      <c r="C20" s="40">
        <v>1</v>
      </c>
      <c r="D20" s="40">
        <v>0.7</v>
      </c>
      <c r="E20" s="40">
        <v>0.7</v>
      </c>
      <c r="F20" s="40">
        <v>0.7</v>
      </c>
      <c r="G20" s="40">
        <v>1</v>
      </c>
      <c r="H20" s="40">
        <v>1</v>
      </c>
      <c r="I20" s="40">
        <v>1</v>
      </c>
      <c r="J20" s="40">
        <v>1</v>
      </c>
      <c r="K20" s="40">
        <v>0</v>
      </c>
      <c r="L20" s="40">
        <v>0</v>
      </c>
      <c r="M20" s="40">
        <v>100</v>
      </c>
      <c r="N20" s="40">
        <v>0</v>
      </c>
      <c r="O20" s="40">
        <v>0</v>
      </c>
      <c r="P20" s="40">
        <v>1</v>
      </c>
      <c r="Q20" s="40">
        <v>1</v>
      </c>
      <c r="R20" s="40">
        <v>0</v>
      </c>
      <c r="S20" s="40">
        <v>0</v>
      </c>
      <c r="T20" s="40">
        <v>1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1.7</v>
      </c>
      <c r="AH20" s="40">
        <v>1.6</v>
      </c>
      <c r="AI20" s="40">
        <v>1.29</v>
      </c>
      <c r="AJ20" s="40">
        <v>9.1999999999999998E-2</v>
      </c>
      <c r="AK20" s="40">
        <v>0.18</v>
      </c>
      <c r="AL20" s="40">
        <v>1</v>
      </c>
      <c r="AM20" s="40">
        <v>1</v>
      </c>
      <c r="AN20" s="40">
        <v>0.2</v>
      </c>
      <c r="AO20" s="40">
        <v>1.5</v>
      </c>
      <c r="AP20" s="40">
        <v>1</v>
      </c>
      <c r="AQ20" s="40">
        <v>1</v>
      </c>
      <c r="AR20" s="40">
        <v>1</v>
      </c>
      <c r="AS20" s="40">
        <v>1</v>
      </c>
      <c r="AT20" s="40">
        <v>1</v>
      </c>
      <c r="AU20" s="40">
        <v>100</v>
      </c>
      <c r="AV20" s="40">
        <v>1</v>
      </c>
      <c r="AW20" s="40">
        <v>1</v>
      </c>
      <c r="AX20" s="40">
        <v>1</v>
      </c>
    </row>
    <row r="21" spans="1:50" x14ac:dyDescent="0.15">
      <c r="A21" s="40" t="str">
        <f>'Форма по МДС 81-35.2004'!A348</f>
        <v>16.</v>
      </c>
      <c r="B21" s="40">
        <v>1</v>
      </c>
      <c r="C21" s="40">
        <v>1</v>
      </c>
      <c r="D21" s="40">
        <v>1</v>
      </c>
      <c r="E21" s="40">
        <v>1</v>
      </c>
      <c r="F21" s="40">
        <v>1</v>
      </c>
      <c r="G21" s="40">
        <v>1</v>
      </c>
      <c r="H21" s="40">
        <v>1</v>
      </c>
      <c r="I21" s="40">
        <v>1</v>
      </c>
      <c r="J21" s="40">
        <v>1</v>
      </c>
      <c r="K21" s="40">
        <v>0</v>
      </c>
      <c r="L21" s="40">
        <v>0</v>
      </c>
      <c r="M21" s="40">
        <v>100</v>
      </c>
      <c r="N21" s="40">
        <v>0</v>
      </c>
      <c r="O21" s="40">
        <v>0</v>
      </c>
      <c r="P21" s="40">
        <v>1</v>
      </c>
      <c r="Q21" s="40">
        <v>1</v>
      </c>
      <c r="R21" s="40">
        <v>0</v>
      </c>
      <c r="S21" s="40">
        <v>0</v>
      </c>
      <c r="T21" s="40">
        <v>1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1.7</v>
      </c>
      <c r="AH21" s="40">
        <v>1.6</v>
      </c>
      <c r="AI21" s="40">
        <v>1.29</v>
      </c>
      <c r="AJ21" s="40">
        <v>9.1999999999999998E-2</v>
      </c>
      <c r="AK21" s="40">
        <v>0.18</v>
      </c>
      <c r="AL21" s="40">
        <v>1</v>
      </c>
      <c r="AM21" s="40">
        <v>1</v>
      </c>
      <c r="AN21" s="40">
        <v>0.2</v>
      </c>
      <c r="AO21" s="40">
        <v>1.5</v>
      </c>
      <c r="AP21" s="40">
        <v>1</v>
      </c>
      <c r="AQ21" s="40">
        <v>1</v>
      </c>
      <c r="AR21" s="40">
        <v>1</v>
      </c>
      <c r="AS21" s="40">
        <v>1</v>
      </c>
      <c r="AT21" s="40">
        <v>1</v>
      </c>
      <c r="AU21" s="40">
        <v>100</v>
      </c>
      <c r="AV21" s="40">
        <v>1</v>
      </c>
      <c r="AW21" s="40">
        <v>1</v>
      </c>
      <c r="AX21" s="40">
        <v>1</v>
      </c>
    </row>
    <row r="22" spans="1:50" x14ac:dyDescent="0.15">
      <c r="A22" s="40" t="str">
        <f>'Форма по МДС 81-35.2004'!A370</f>
        <v>17.</v>
      </c>
      <c r="B22" s="40">
        <v>1</v>
      </c>
      <c r="C22" s="40">
        <v>1</v>
      </c>
      <c r="D22" s="40">
        <v>1</v>
      </c>
      <c r="E22" s="40">
        <v>1</v>
      </c>
      <c r="F22" s="40">
        <v>1</v>
      </c>
      <c r="G22" s="40">
        <v>1</v>
      </c>
      <c r="H22" s="40">
        <v>1</v>
      </c>
      <c r="I22" s="40">
        <v>1</v>
      </c>
      <c r="J22" s="40">
        <v>1</v>
      </c>
      <c r="K22" s="40">
        <v>0</v>
      </c>
      <c r="L22" s="40">
        <v>0</v>
      </c>
      <c r="M22" s="40">
        <v>100</v>
      </c>
      <c r="N22" s="40">
        <v>0</v>
      </c>
      <c r="O22" s="40">
        <v>0</v>
      </c>
      <c r="P22" s="40">
        <v>1</v>
      </c>
      <c r="Q22" s="40">
        <v>1</v>
      </c>
      <c r="R22" s="40">
        <v>0</v>
      </c>
      <c r="S22" s="40">
        <v>0</v>
      </c>
      <c r="T22" s="40">
        <v>1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40">
        <v>1.7</v>
      </c>
      <c r="AH22" s="40">
        <v>1.6</v>
      </c>
      <c r="AI22" s="40">
        <v>1.29</v>
      </c>
      <c r="AJ22" s="40">
        <v>9.1999999999999998E-2</v>
      </c>
      <c r="AK22" s="40">
        <v>0.18</v>
      </c>
      <c r="AL22" s="40">
        <v>1</v>
      </c>
      <c r="AM22" s="40">
        <v>1</v>
      </c>
      <c r="AN22" s="40">
        <v>0.2</v>
      </c>
      <c r="AO22" s="40">
        <v>1.5</v>
      </c>
      <c r="AP22" s="40">
        <v>1</v>
      </c>
      <c r="AQ22" s="40">
        <v>1</v>
      </c>
      <c r="AR22" s="40">
        <v>1</v>
      </c>
      <c r="AS22" s="40">
        <v>1</v>
      </c>
      <c r="AT22" s="40">
        <v>1</v>
      </c>
      <c r="AU22" s="40">
        <v>100</v>
      </c>
      <c r="AV22" s="40">
        <v>1</v>
      </c>
      <c r="AW22" s="40">
        <v>1</v>
      </c>
      <c r="AX22" s="40">
        <v>1</v>
      </c>
    </row>
    <row r="23" spans="1:50" x14ac:dyDescent="0.15">
      <c r="A23" s="40" t="str">
        <f>'Форма по МДС 81-35.2004'!A403</f>
        <v>18.</v>
      </c>
      <c r="B23" s="40">
        <v>1</v>
      </c>
      <c r="C23" s="40">
        <v>1</v>
      </c>
      <c r="D23" s="40">
        <v>1</v>
      </c>
      <c r="E23" s="40">
        <v>1</v>
      </c>
      <c r="F23" s="40">
        <v>1</v>
      </c>
      <c r="G23" s="40">
        <v>1</v>
      </c>
      <c r="H23" s="40">
        <v>1</v>
      </c>
      <c r="I23" s="40">
        <v>1</v>
      </c>
      <c r="J23" s="40">
        <v>1</v>
      </c>
      <c r="K23" s="40">
        <v>0</v>
      </c>
      <c r="L23" s="40">
        <v>0</v>
      </c>
      <c r="M23" s="40">
        <v>100</v>
      </c>
      <c r="N23" s="40">
        <v>0</v>
      </c>
      <c r="O23" s="40">
        <v>0</v>
      </c>
      <c r="P23" s="40">
        <v>1</v>
      </c>
      <c r="Q23" s="40">
        <v>1</v>
      </c>
      <c r="R23" s="40">
        <v>0</v>
      </c>
      <c r="S23" s="40">
        <v>0</v>
      </c>
      <c r="T23" s="40">
        <v>1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1.7</v>
      </c>
      <c r="AH23" s="40">
        <v>1.6</v>
      </c>
      <c r="AI23" s="40">
        <v>1.29</v>
      </c>
      <c r="AJ23" s="40">
        <v>9.1999999999999998E-2</v>
      </c>
      <c r="AK23" s="40">
        <v>0.18</v>
      </c>
      <c r="AL23" s="40">
        <v>1</v>
      </c>
      <c r="AM23" s="40">
        <v>1</v>
      </c>
      <c r="AN23" s="40">
        <v>0.2</v>
      </c>
      <c r="AO23" s="40">
        <v>1.5</v>
      </c>
      <c r="AP23" s="40">
        <v>1</v>
      </c>
      <c r="AQ23" s="40">
        <v>1</v>
      </c>
      <c r="AR23" s="40">
        <v>1</v>
      </c>
      <c r="AS23" s="40">
        <v>1</v>
      </c>
      <c r="AT23" s="40">
        <v>1</v>
      </c>
      <c r="AU23" s="40">
        <v>100</v>
      </c>
      <c r="AV23" s="40">
        <v>1</v>
      </c>
      <c r="AW23" s="40">
        <v>1</v>
      </c>
      <c r="AX23" s="40">
        <v>1</v>
      </c>
    </row>
    <row r="24" spans="1:50" x14ac:dyDescent="0.15">
      <c r="A24" s="40" t="str">
        <f>'Форма по МДС 81-35.2004'!A431</f>
        <v>19.</v>
      </c>
      <c r="B24" s="40">
        <v>1</v>
      </c>
      <c r="C24" s="40">
        <v>1</v>
      </c>
      <c r="D24" s="40">
        <v>1</v>
      </c>
      <c r="E24" s="40">
        <v>1</v>
      </c>
      <c r="F24" s="40">
        <v>1</v>
      </c>
      <c r="G24" s="40">
        <v>1</v>
      </c>
      <c r="H24" s="40">
        <v>1</v>
      </c>
      <c r="I24" s="40">
        <v>1</v>
      </c>
      <c r="J24" s="40">
        <v>1</v>
      </c>
      <c r="K24" s="40">
        <v>0</v>
      </c>
      <c r="L24" s="40">
        <v>0</v>
      </c>
      <c r="M24" s="40">
        <v>100</v>
      </c>
      <c r="N24" s="40">
        <v>0</v>
      </c>
      <c r="O24" s="40">
        <v>0</v>
      </c>
      <c r="P24" s="40">
        <v>1</v>
      </c>
      <c r="Q24" s="40">
        <v>1</v>
      </c>
      <c r="R24" s="40">
        <v>0</v>
      </c>
      <c r="S24" s="40">
        <v>0</v>
      </c>
      <c r="T24" s="40">
        <v>1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1.7</v>
      </c>
      <c r="AH24" s="40">
        <v>1.6</v>
      </c>
      <c r="AI24" s="40">
        <v>1.29</v>
      </c>
      <c r="AJ24" s="40">
        <v>9.1999999999999998E-2</v>
      </c>
      <c r="AK24" s="40">
        <v>0.18</v>
      </c>
      <c r="AL24" s="40">
        <v>1</v>
      </c>
      <c r="AM24" s="40">
        <v>1</v>
      </c>
      <c r="AN24" s="40">
        <v>0.2</v>
      </c>
      <c r="AO24" s="40">
        <v>1.5</v>
      </c>
      <c r="AP24" s="40">
        <v>1</v>
      </c>
      <c r="AQ24" s="40">
        <v>1</v>
      </c>
      <c r="AR24" s="40">
        <v>1</v>
      </c>
      <c r="AS24" s="40">
        <v>1</v>
      </c>
      <c r="AT24" s="40">
        <v>1</v>
      </c>
      <c r="AU24" s="40">
        <v>100</v>
      </c>
      <c r="AV24" s="40">
        <v>1</v>
      </c>
      <c r="AW24" s="40">
        <v>1</v>
      </c>
      <c r="AX24" s="40">
        <v>1</v>
      </c>
    </row>
    <row r="25" spans="1:50" x14ac:dyDescent="0.15">
      <c r="A25" s="40" t="str">
        <f>'Форма по МДС 81-35.2004'!A449</f>
        <v>20.</v>
      </c>
      <c r="B25" s="40">
        <v>1</v>
      </c>
      <c r="C25" s="40">
        <v>1</v>
      </c>
      <c r="D25" s="40">
        <v>0.7</v>
      </c>
      <c r="E25" s="40">
        <v>0.7</v>
      </c>
      <c r="F25" s="40">
        <v>0.7</v>
      </c>
      <c r="G25" s="40">
        <v>1</v>
      </c>
      <c r="H25" s="40">
        <v>1</v>
      </c>
      <c r="I25" s="40">
        <v>1</v>
      </c>
      <c r="J25" s="40">
        <v>1</v>
      </c>
      <c r="K25" s="40">
        <v>0</v>
      </c>
      <c r="L25" s="40">
        <v>0</v>
      </c>
      <c r="M25" s="40">
        <v>100</v>
      </c>
      <c r="N25" s="40">
        <v>0</v>
      </c>
      <c r="O25" s="40">
        <v>0</v>
      </c>
      <c r="P25" s="40">
        <v>1</v>
      </c>
      <c r="Q25" s="40">
        <v>1</v>
      </c>
      <c r="R25" s="40">
        <v>0</v>
      </c>
      <c r="S25" s="40">
        <v>0</v>
      </c>
      <c r="T25" s="40">
        <v>1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40">
        <v>0</v>
      </c>
      <c r="AG25" s="40">
        <v>1.7</v>
      </c>
      <c r="AH25" s="40">
        <v>1.6</v>
      </c>
      <c r="AI25" s="40">
        <v>1.29</v>
      </c>
      <c r="AJ25" s="40">
        <v>9.1999999999999998E-2</v>
      </c>
      <c r="AK25" s="40">
        <v>0.18</v>
      </c>
      <c r="AL25" s="40">
        <v>1</v>
      </c>
      <c r="AM25" s="40">
        <v>1</v>
      </c>
      <c r="AN25" s="40">
        <v>0.2</v>
      </c>
      <c r="AO25" s="40">
        <v>1.5</v>
      </c>
      <c r="AP25" s="40">
        <v>1</v>
      </c>
      <c r="AQ25" s="40">
        <v>1</v>
      </c>
      <c r="AR25" s="40">
        <v>1</v>
      </c>
      <c r="AS25" s="40">
        <v>1</v>
      </c>
      <c r="AT25" s="40">
        <v>1</v>
      </c>
      <c r="AU25" s="40">
        <v>100</v>
      </c>
      <c r="AV25" s="40">
        <v>1</v>
      </c>
      <c r="AW25" s="40">
        <v>1</v>
      </c>
      <c r="AX25" s="40">
        <v>1</v>
      </c>
    </row>
    <row r="26" spans="1:50" x14ac:dyDescent="0.15">
      <c r="A26" s="40" t="str">
        <f>'Форма по МДС 81-35.2004'!A473</f>
        <v>21.</v>
      </c>
      <c r="B26" s="40">
        <v>1</v>
      </c>
      <c r="C26" s="40">
        <v>1</v>
      </c>
      <c r="D26" s="40">
        <v>1</v>
      </c>
      <c r="E26" s="40">
        <v>1</v>
      </c>
      <c r="F26" s="40">
        <v>1</v>
      </c>
      <c r="G26" s="40">
        <v>1</v>
      </c>
      <c r="H26" s="40">
        <v>1</v>
      </c>
      <c r="I26" s="40">
        <v>1</v>
      </c>
      <c r="J26" s="40">
        <v>1</v>
      </c>
      <c r="K26" s="40">
        <v>0</v>
      </c>
      <c r="L26" s="40">
        <v>0</v>
      </c>
      <c r="M26" s="40">
        <v>100</v>
      </c>
      <c r="N26" s="40">
        <v>0</v>
      </c>
      <c r="O26" s="40">
        <v>0</v>
      </c>
      <c r="P26" s="40">
        <v>1</v>
      </c>
      <c r="Q26" s="40">
        <v>1</v>
      </c>
      <c r="R26" s="40">
        <v>0</v>
      </c>
      <c r="S26" s="40">
        <v>0</v>
      </c>
      <c r="T26" s="40">
        <v>1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0">
        <v>1.7</v>
      </c>
      <c r="AH26" s="40">
        <v>1.6</v>
      </c>
      <c r="AI26" s="40">
        <v>1.29</v>
      </c>
      <c r="AJ26" s="40">
        <v>9.1999999999999998E-2</v>
      </c>
      <c r="AK26" s="40">
        <v>0.18</v>
      </c>
      <c r="AL26" s="40">
        <v>1</v>
      </c>
      <c r="AM26" s="40">
        <v>1</v>
      </c>
      <c r="AN26" s="40">
        <v>0.2</v>
      </c>
      <c r="AO26" s="40">
        <v>1.5</v>
      </c>
      <c r="AP26" s="40">
        <v>1</v>
      </c>
      <c r="AQ26" s="40">
        <v>1</v>
      </c>
      <c r="AR26" s="40">
        <v>1</v>
      </c>
      <c r="AS26" s="40">
        <v>1</v>
      </c>
      <c r="AT26" s="40">
        <v>1</v>
      </c>
      <c r="AU26" s="40">
        <v>100</v>
      </c>
      <c r="AV26" s="40">
        <v>1</v>
      </c>
      <c r="AW26" s="40">
        <v>1</v>
      </c>
      <c r="AX26" s="40">
        <v>1</v>
      </c>
    </row>
    <row r="27" spans="1:50" x14ac:dyDescent="0.15">
      <c r="A27" s="40" t="str">
        <f>'Форма по МДС 81-35.2004'!A491</f>
        <v>22.</v>
      </c>
      <c r="B27" s="40">
        <v>1</v>
      </c>
      <c r="C27" s="40">
        <v>1</v>
      </c>
      <c r="D27" s="40">
        <v>1</v>
      </c>
      <c r="E27" s="40">
        <v>1</v>
      </c>
      <c r="F27" s="40">
        <v>1</v>
      </c>
      <c r="G27" s="40">
        <v>1</v>
      </c>
      <c r="H27" s="40">
        <v>1</v>
      </c>
      <c r="I27" s="40">
        <v>1</v>
      </c>
      <c r="J27" s="40">
        <v>1</v>
      </c>
      <c r="K27" s="40">
        <v>0</v>
      </c>
      <c r="L27" s="40">
        <v>0</v>
      </c>
      <c r="M27" s="40">
        <v>100</v>
      </c>
      <c r="N27" s="40">
        <v>0</v>
      </c>
      <c r="O27" s="40">
        <v>0</v>
      </c>
      <c r="P27" s="40">
        <v>1</v>
      </c>
      <c r="Q27" s="40">
        <v>1</v>
      </c>
      <c r="R27" s="40">
        <v>0</v>
      </c>
      <c r="S27" s="40">
        <v>0</v>
      </c>
      <c r="T27" s="40">
        <v>1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0">
        <v>0</v>
      </c>
      <c r="AG27" s="40">
        <v>1.7</v>
      </c>
      <c r="AH27" s="40">
        <v>1.6</v>
      </c>
      <c r="AI27" s="40">
        <v>1.29</v>
      </c>
      <c r="AJ27" s="40">
        <v>9.1999999999999998E-2</v>
      </c>
      <c r="AK27" s="40">
        <v>0.18</v>
      </c>
      <c r="AL27" s="40">
        <v>1</v>
      </c>
      <c r="AM27" s="40">
        <v>1</v>
      </c>
      <c r="AN27" s="40">
        <v>0.2</v>
      </c>
      <c r="AO27" s="40">
        <v>1.5</v>
      </c>
      <c r="AP27" s="40">
        <v>1</v>
      </c>
      <c r="AQ27" s="40">
        <v>1</v>
      </c>
      <c r="AR27" s="40">
        <v>1</v>
      </c>
      <c r="AS27" s="40">
        <v>1</v>
      </c>
      <c r="AT27" s="40">
        <v>1</v>
      </c>
      <c r="AU27" s="40">
        <v>100</v>
      </c>
      <c r="AV27" s="40">
        <v>1</v>
      </c>
      <c r="AW27" s="40">
        <v>1</v>
      </c>
      <c r="AX27" s="40">
        <v>1</v>
      </c>
    </row>
  </sheetData>
  <mergeCells count="4">
    <mergeCell ref="A2:K2"/>
    <mergeCell ref="B3:K3"/>
    <mergeCell ref="B4:K4"/>
    <mergeCell ref="A5:K5"/>
  </mergeCell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K27"/>
  <sheetViews>
    <sheetView workbookViewId="0"/>
  </sheetViews>
  <sheetFormatPr defaultRowHeight="10.5" x14ac:dyDescent="0.15"/>
  <cols>
    <col min="1" max="1" width="4.7109375" style="50" customWidth="1"/>
    <col min="2" max="16384" width="9.140625" style="49"/>
  </cols>
  <sheetData>
    <row r="1" spans="1:11" s="45" customFormat="1" x14ac:dyDescent="0.15">
      <c r="B1" s="45" t="s">
        <v>458</v>
      </c>
      <c r="C1" s="45" t="s">
        <v>459</v>
      </c>
      <c r="D1" s="45" t="s">
        <v>460</v>
      </c>
      <c r="E1" s="45" t="s">
        <v>461</v>
      </c>
      <c r="F1" s="45" t="s">
        <v>462</v>
      </c>
      <c r="G1" s="45" t="s">
        <v>463</v>
      </c>
      <c r="H1" s="45" t="s">
        <v>464</v>
      </c>
      <c r="I1" s="45" t="s">
        <v>465</v>
      </c>
      <c r="J1" s="45" t="s">
        <v>466</v>
      </c>
    </row>
    <row r="2" spans="1:11" x14ac:dyDescent="0.15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x14ac:dyDescent="0.15">
      <c r="A3" s="51"/>
      <c r="B3" s="83" t="s">
        <v>407</v>
      </c>
      <c r="C3" s="83"/>
      <c r="D3" s="83"/>
      <c r="E3" s="83"/>
      <c r="F3" s="83"/>
      <c r="G3" s="83"/>
      <c r="H3" s="83"/>
      <c r="I3" s="83"/>
      <c r="J3" s="83"/>
      <c r="K3" s="83"/>
    </row>
    <row r="4" spans="1:11" x14ac:dyDescent="0.15">
      <c r="A4" s="51"/>
      <c r="B4" s="83" t="s">
        <v>408</v>
      </c>
      <c r="C4" s="83"/>
      <c r="D4" s="83"/>
      <c r="E4" s="83"/>
      <c r="F4" s="83"/>
      <c r="G4" s="83"/>
      <c r="H4" s="83"/>
      <c r="I4" s="83"/>
      <c r="J4" s="83"/>
      <c r="K4" s="83"/>
    </row>
    <row r="5" spans="1:11" x14ac:dyDescent="0.15">
      <c r="A5" s="81"/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 x14ac:dyDescent="0.15">
      <c r="A6" s="50" t="str">
        <f>'Форма по МДС 81-35.2004'!A19</f>
        <v>1.</v>
      </c>
      <c r="B6" s="49" t="s">
        <v>467</v>
      </c>
      <c r="C6" s="49" t="s">
        <v>467</v>
      </c>
      <c r="D6" s="49" t="s">
        <v>468</v>
      </c>
      <c r="E6" s="49" t="s">
        <v>468</v>
      </c>
      <c r="F6" s="49" t="s">
        <v>467</v>
      </c>
      <c r="G6" s="49" t="s">
        <v>468</v>
      </c>
      <c r="H6" s="49" t="s">
        <v>468</v>
      </c>
      <c r="I6" s="49" t="s">
        <v>469</v>
      </c>
      <c r="J6" s="49" t="s">
        <v>468</v>
      </c>
    </row>
    <row r="7" spans="1:11" x14ac:dyDescent="0.15">
      <c r="A7" s="50" t="str">
        <f>'Форма по МДС 81-35.2004'!A40</f>
        <v>2.</v>
      </c>
      <c r="B7" s="49" t="s">
        <v>467</v>
      </c>
      <c r="C7" s="49" t="s">
        <v>467</v>
      </c>
      <c r="D7" s="49" t="s">
        <v>468</v>
      </c>
      <c r="E7" s="49" t="s">
        <v>468</v>
      </c>
      <c r="F7" s="49" t="s">
        <v>299</v>
      </c>
      <c r="G7" s="49" t="s">
        <v>468</v>
      </c>
      <c r="H7" s="49" t="s">
        <v>468</v>
      </c>
      <c r="I7" s="49" t="s">
        <v>470</v>
      </c>
      <c r="J7" s="49" t="s">
        <v>468</v>
      </c>
    </row>
    <row r="8" spans="1:11" x14ac:dyDescent="0.15">
      <c r="A8" s="50" t="str">
        <f>'Форма по МДС 81-35.2004'!A61</f>
        <v>3.</v>
      </c>
      <c r="B8" s="49" t="s">
        <v>467</v>
      </c>
      <c r="C8" s="49" t="s">
        <v>467</v>
      </c>
      <c r="D8" s="49" t="s">
        <v>468</v>
      </c>
      <c r="E8" s="49" t="s">
        <v>468</v>
      </c>
      <c r="F8" s="49" t="s">
        <v>299</v>
      </c>
      <c r="G8" s="49" t="s">
        <v>468</v>
      </c>
      <c r="H8" s="49" t="s">
        <v>468</v>
      </c>
      <c r="I8" s="49" t="s">
        <v>470</v>
      </c>
      <c r="J8" s="49" t="s">
        <v>468</v>
      </c>
    </row>
    <row r="9" spans="1:11" x14ac:dyDescent="0.15">
      <c r="A9" s="50" t="str">
        <f>'Форма по МДС 81-35.2004'!A82</f>
        <v>4.</v>
      </c>
      <c r="B9" s="49" t="s">
        <v>467</v>
      </c>
      <c r="C9" s="49" t="s">
        <v>467</v>
      </c>
      <c r="D9" s="49" t="s">
        <v>468</v>
      </c>
      <c r="E9" s="49" t="s">
        <v>468</v>
      </c>
      <c r="F9" s="49" t="s">
        <v>299</v>
      </c>
      <c r="G9" s="49" t="s">
        <v>468</v>
      </c>
      <c r="H9" s="49" t="s">
        <v>468</v>
      </c>
      <c r="I9" s="49" t="s">
        <v>470</v>
      </c>
      <c r="J9" s="49" t="s">
        <v>468</v>
      </c>
    </row>
    <row r="10" spans="1:11" x14ac:dyDescent="0.15">
      <c r="A10" s="50" t="str">
        <f>'Форма по МДС 81-35.2004'!A103</f>
        <v>5.</v>
      </c>
      <c r="B10" s="49" t="s">
        <v>467</v>
      </c>
      <c r="C10" s="49" t="s">
        <v>467</v>
      </c>
      <c r="D10" s="49" t="s">
        <v>468</v>
      </c>
      <c r="E10" s="49" t="s">
        <v>468</v>
      </c>
      <c r="F10" s="49" t="s">
        <v>299</v>
      </c>
      <c r="G10" s="49" t="s">
        <v>468</v>
      </c>
      <c r="H10" s="49" t="s">
        <v>468</v>
      </c>
      <c r="I10" s="49" t="s">
        <v>470</v>
      </c>
      <c r="J10" s="49" t="s">
        <v>468</v>
      </c>
    </row>
    <row r="11" spans="1:11" x14ac:dyDescent="0.15">
      <c r="A11" s="50" t="str">
        <f>'Форма по МДС 81-35.2004'!A124</f>
        <v>6.</v>
      </c>
      <c r="B11" s="49" t="s">
        <v>467</v>
      </c>
      <c r="C11" s="49" t="s">
        <v>467</v>
      </c>
      <c r="D11" s="49" t="s">
        <v>468</v>
      </c>
      <c r="E11" s="49" t="s">
        <v>468</v>
      </c>
      <c r="F11" s="49" t="s">
        <v>299</v>
      </c>
      <c r="G11" s="49" t="s">
        <v>468</v>
      </c>
      <c r="H11" s="49" t="s">
        <v>468</v>
      </c>
      <c r="I11" s="49" t="s">
        <v>470</v>
      </c>
      <c r="J11" s="49" t="s">
        <v>468</v>
      </c>
    </row>
    <row r="12" spans="1:11" x14ac:dyDescent="0.15">
      <c r="A12" s="50" t="str">
        <f>'Форма по МДС 81-35.2004'!A145</f>
        <v>7.</v>
      </c>
      <c r="B12" s="49" t="s">
        <v>467</v>
      </c>
      <c r="C12" s="49" t="s">
        <v>467</v>
      </c>
      <c r="D12" s="49" t="s">
        <v>468</v>
      </c>
      <c r="E12" s="49" t="s">
        <v>468</v>
      </c>
      <c r="F12" s="49" t="s">
        <v>299</v>
      </c>
      <c r="G12" s="49" t="s">
        <v>469</v>
      </c>
      <c r="H12" s="49" t="s">
        <v>468</v>
      </c>
      <c r="I12" s="49" t="s">
        <v>470</v>
      </c>
      <c r="J12" s="49" t="s">
        <v>468</v>
      </c>
    </row>
    <row r="13" spans="1:11" x14ac:dyDescent="0.15">
      <c r="A13" s="50" t="str">
        <f>'Форма по МДС 81-35.2004'!A160</f>
        <v>8.</v>
      </c>
      <c r="B13" s="49" t="s">
        <v>467</v>
      </c>
      <c r="C13" s="49" t="s">
        <v>467</v>
      </c>
      <c r="D13" s="49" t="s">
        <v>468</v>
      </c>
      <c r="E13" s="49" t="s">
        <v>468</v>
      </c>
      <c r="F13" s="49" t="s">
        <v>299</v>
      </c>
      <c r="G13" s="49" t="s">
        <v>468</v>
      </c>
      <c r="H13" s="49" t="s">
        <v>468</v>
      </c>
      <c r="I13" s="49" t="s">
        <v>470</v>
      </c>
      <c r="J13" s="49" t="s">
        <v>468</v>
      </c>
    </row>
    <row r="14" spans="1:11" x14ac:dyDescent="0.15">
      <c r="A14" s="50" t="str">
        <f>'Форма по МДС 81-35.2004'!A176</f>
        <v>9.</v>
      </c>
      <c r="B14" s="49" t="s">
        <v>467</v>
      </c>
      <c r="C14" s="49" t="s">
        <v>467</v>
      </c>
      <c r="D14" s="49" t="s">
        <v>468</v>
      </c>
      <c r="E14" s="49" t="s">
        <v>468</v>
      </c>
      <c r="F14" s="49" t="s">
        <v>299</v>
      </c>
      <c r="G14" s="49" t="s">
        <v>469</v>
      </c>
      <c r="H14" s="49" t="s">
        <v>468</v>
      </c>
      <c r="I14" s="49" t="s">
        <v>470</v>
      </c>
      <c r="J14" s="49" t="s">
        <v>468</v>
      </c>
    </row>
    <row r="15" spans="1:11" x14ac:dyDescent="0.15">
      <c r="A15" s="50" t="str">
        <f>'Форма по МДС 81-35.2004'!A197</f>
        <v>10.</v>
      </c>
      <c r="B15" s="49" t="s">
        <v>467</v>
      </c>
      <c r="C15" s="49" t="s">
        <v>467</v>
      </c>
      <c r="D15" s="49" t="s">
        <v>468</v>
      </c>
      <c r="E15" s="49" t="s">
        <v>468</v>
      </c>
      <c r="F15" s="49" t="s">
        <v>299</v>
      </c>
      <c r="G15" s="49" t="s">
        <v>468</v>
      </c>
      <c r="H15" s="49" t="s">
        <v>468</v>
      </c>
      <c r="I15" s="49" t="s">
        <v>470</v>
      </c>
      <c r="J15" s="49" t="s">
        <v>468</v>
      </c>
    </row>
    <row r="16" spans="1:11" x14ac:dyDescent="0.15">
      <c r="A16" s="50" t="str">
        <f>'Форма по МДС 81-35.2004'!A218</f>
        <v>11.</v>
      </c>
      <c r="B16" s="49" t="s">
        <v>467</v>
      </c>
      <c r="C16" s="49" t="s">
        <v>467</v>
      </c>
      <c r="D16" s="49" t="s">
        <v>468</v>
      </c>
      <c r="E16" s="49" t="s">
        <v>468</v>
      </c>
      <c r="F16" s="49" t="s">
        <v>299</v>
      </c>
      <c r="G16" s="49" t="s">
        <v>468</v>
      </c>
      <c r="H16" s="49" t="s">
        <v>468</v>
      </c>
      <c r="I16" s="49" t="s">
        <v>470</v>
      </c>
      <c r="J16" s="49" t="s">
        <v>468</v>
      </c>
    </row>
    <row r="17" spans="1:10" x14ac:dyDescent="0.15">
      <c r="A17" s="50" t="str">
        <f>'Форма по МДС 81-35.2004'!A239</f>
        <v>12.</v>
      </c>
      <c r="B17" s="49" t="s">
        <v>467</v>
      </c>
      <c r="C17" s="49" t="s">
        <v>467</v>
      </c>
      <c r="D17" s="49" t="s">
        <v>468</v>
      </c>
      <c r="E17" s="49" t="s">
        <v>468</v>
      </c>
      <c r="F17" s="49" t="s">
        <v>299</v>
      </c>
      <c r="G17" s="49" t="s">
        <v>468</v>
      </c>
      <c r="H17" s="49" t="s">
        <v>468</v>
      </c>
      <c r="I17" s="49" t="s">
        <v>470</v>
      </c>
      <c r="J17" s="49" t="s">
        <v>468</v>
      </c>
    </row>
    <row r="18" spans="1:10" x14ac:dyDescent="0.15">
      <c r="A18" s="50" t="str">
        <f>'Форма по МДС 81-35.2004'!A287</f>
        <v>13.</v>
      </c>
      <c r="B18" s="49" t="s">
        <v>467</v>
      </c>
      <c r="C18" s="49" t="s">
        <v>467</v>
      </c>
      <c r="D18" s="49" t="s">
        <v>468</v>
      </c>
      <c r="E18" s="49" t="s">
        <v>468</v>
      </c>
      <c r="F18" s="49" t="s">
        <v>299</v>
      </c>
      <c r="G18" s="49" t="s">
        <v>468</v>
      </c>
      <c r="H18" s="49" t="s">
        <v>468</v>
      </c>
      <c r="I18" s="49" t="s">
        <v>470</v>
      </c>
      <c r="J18" s="49" t="s">
        <v>468</v>
      </c>
    </row>
    <row r="19" spans="1:10" x14ac:dyDescent="0.15">
      <c r="A19" s="50" t="str">
        <f>'Форма по МДС 81-35.2004'!A309</f>
        <v>14.</v>
      </c>
      <c r="B19" s="49" t="s">
        <v>467</v>
      </c>
      <c r="C19" s="49" t="s">
        <v>467</v>
      </c>
      <c r="D19" s="49" t="s">
        <v>468</v>
      </c>
      <c r="E19" s="49" t="s">
        <v>468</v>
      </c>
      <c r="F19" s="49" t="s">
        <v>467</v>
      </c>
      <c r="G19" s="49" t="s">
        <v>467</v>
      </c>
      <c r="H19" s="49" t="s">
        <v>468</v>
      </c>
      <c r="I19" s="49" t="s">
        <v>469</v>
      </c>
      <c r="J19" s="49" t="s">
        <v>468</v>
      </c>
    </row>
    <row r="20" spans="1:10" x14ac:dyDescent="0.15">
      <c r="A20" s="50" t="str">
        <f>'Форма по МДС 81-35.2004'!A327</f>
        <v>15.</v>
      </c>
      <c r="B20" s="49" t="s">
        <v>467</v>
      </c>
      <c r="C20" s="49" t="s">
        <v>467</v>
      </c>
      <c r="D20" s="49" t="s">
        <v>468</v>
      </c>
      <c r="E20" s="49" t="s">
        <v>468</v>
      </c>
      <c r="F20" s="49" t="s">
        <v>299</v>
      </c>
      <c r="G20" s="49" t="s">
        <v>468</v>
      </c>
      <c r="H20" s="49" t="s">
        <v>468</v>
      </c>
      <c r="I20" s="49" t="s">
        <v>470</v>
      </c>
      <c r="J20" s="49" t="s">
        <v>468</v>
      </c>
    </row>
    <row r="21" spans="1:10" x14ac:dyDescent="0.15">
      <c r="A21" s="50" t="str">
        <f>'Форма по МДС 81-35.2004'!A348</f>
        <v>16.</v>
      </c>
      <c r="B21" s="49" t="s">
        <v>467</v>
      </c>
      <c r="C21" s="49" t="s">
        <v>467</v>
      </c>
      <c r="D21" s="49" t="s">
        <v>468</v>
      </c>
      <c r="E21" s="49" t="s">
        <v>468</v>
      </c>
      <c r="F21" s="49" t="s">
        <v>299</v>
      </c>
      <c r="G21" s="49" t="s">
        <v>468</v>
      </c>
      <c r="H21" s="49" t="s">
        <v>468</v>
      </c>
      <c r="I21" s="49" t="s">
        <v>470</v>
      </c>
      <c r="J21" s="49" t="s">
        <v>468</v>
      </c>
    </row>
    <row r="22" spans="1:10" x14ac:dyDescent="0.15">
      <c r="A22" s="50" t="str">
        <f>'Форма по МДС 81-35.2004'!A370</f>
        <v>17.</v>
      </c>
      <c r="B22" s="49" t="s">
        <v>467</v>
      </c>
      <c r="C22" s="49" t="s">
        <v>467</v>
      </c>
      <c r="D22" s="49" t="s">
        <v>468</v>
      </c>
      <c r="E22" s="49" t="s">
        <v>468</v>
      </c>
      <c r="F22" s="49" t="s">
        <v>299</v>
      </c>
      <c r="G22" s="49" t="s">
        <v>468</v>
      </c>
      <c r="H22" s="49" t="s">
        <v>468</v>
      </c>
      <c r="I22" s="49" t="s">
        <v>470</v>
      </c>
      <c r="J22" s="49" t="s">
        <v>468</v>
      </c>
    </row>
    <row r="23" spans="1:10" x14ac:dyDescent="0.15">
      <c r="A23" s="50" t="str">
        <f>'Форма по МДС 81-35.2004'!A403</f>
        <v>18.</v>
      </c>
      <c r="B23" s="49" t="s">
        <v>467</v>
      </c>
      <c r="C23" s="49" t="s">
        <v>467</v>
      </c>
      <c r="D23" s="49" t="s">
        <v>468</v>
      </c>
      <c r="E23" s="49" t="s">
        <v>468</v>
      </c>
      <c r="F23" s="49" t="s">
        <v>299</v>
      </c>
      <c r="G23" s="49" t="s">
        <v>468</v>
      </c>
      <c r="H23" s="49" t="s">
        <v>468</v>
      </c>
      <c r="I23" s="49" t="s">
        <v>470</v>
      </c>
      <c r="J23" s="49" t="s">
        <v>468</v>
      </c>
    </row>
    <row r="24" spans="1:10" x14ac:dyDescent="0.15">
      <c r="A24" s="50" t="str">
        <f>'Форма по МДС 81-35.2004'!A431</f>
        <v>19.</v>
      </c>
      <c r="B24" s="49" t="s">
        <v>467</v>
      </c>
      <c r="C24" s="49" t="s">
        <v>467</v>
      </c>
      <c r="D24" s="49" t="s">
        <v>468</v>
      </c>
      <c r="E24" s="49" t="s">
        <v>468</v>
      </c>
      <c r="F24" s="49" t="s">
        <v>467</v>
      </c>
      <c r="G24" s="49" t="s">
        <v>467</v>
      </c>
      <c r="H24" s="49" t="s">
        <v>468</v>
      </c>
      <c r="I24" s="49" t="s">
        <v>469</v>
      </c>
      <c r="J24" s="49" t="s">
        <v>468</v>
      </c>
    </row>
    <row r="25" spans="1:10" x14ac:dyDescent="0.15">
      <c r="A25" s="50" t="str">
        <f>'Форма по МДС 81-35.2004'!A449</f>
        <v>20.</v>
      </c>
      <c r="B25" s="49" t="s">
        <v>467</v>
      </c>
      <c r="C25" s="49" t="s">
        <v>467</v>
      </c>
      <c r="D25" s="49" t="s">
        <v>468</v>
      </c>
      <c r="E25" s="49" t="s">
        <v>468</v>
      </c>
      <c r="F25" s="49" t="s">
        <v>299</v>
      </c>
      <c r="G25" s="49" t="s">
        <v>468</v>
      </c>
      <c r="H25" s="49" t="s">
        <v>468</v>
      </c>
      <c r="I25" s="49" t="s">
        <v>470</v>
      </c>
      <c r="J25" s="49" t="s">
        <v>468</v>
      </c>
    </row>
    <row r="26" spans="1:10" x14ac:dyDescent="0.15">
      <c r="A26" s="50" t="str">
        <f>'Форма по МДС 81-35.2004'!A473</f>
        <v>21.</v>
      </c>
      <c r="B26" s="49" t="s">
        <v>467</v>
      </c>
      <c r="C26" s="49" t="s">
        <v>467</v>
      </c>
      <c r="D26" s="49" t="s">
        <v>468</v>
      </c>
      <c r="E26" s="49" t="s">
        <v>468</v>
      </c>
      <c r="F26" s="49" t="s">
        <v>299</v>
      </c>
      <c r="G26" s="49" t="s">
        <v>469</v>
      </c>
      <c r="H26" s="49" t="s">
        <v>468</v>
      </c>
      <c r="I26" s="49" t="s">
        <v>470</v>
      </c>
      <c r="J26" s="49" t="s">
        <v>468</v>
      </c>
    </row>
    <row r="27" spans="1:10" x14ac:dyDescent="0.15">
      <c r="A27" s="50" t="str">
        <f>'Форма по МДС 81-35.2004'!A491</f>
        <v>22.</v>
      </c>
      <c r="B27" s="49" t="s">
        <v>467</v>
      </c>
      <c r="C27" s="49" t="s">
        <v>467</v>
      </c>
      <c r="D27" s="49" t="s">
        <v>468</v>
      </c>
      <c r="E27" s="49" t="s">
        <v>468</v>
      </c>
      <c r="F27" s="49" t="s">
        <v>299</v>
      </c>
      <c r="G27" s="49" t="s">
        <v>469</v>
      </c>
      <c r="H27" s="49" t="s">
        <v>468</v>
      </c>
      <c r="I27" s="49" t="s">
        <v>470</v>
      </c>
      <c r="J27" s="49" t="s">
        <v>468</v>
      </c>
    </row>
  </sheetData>
  <mergeCells count="4">
    <mergeCell ref="A2:K2"/>
    <mergeCell ref="B3:K3"/>
    <mergeCell ref="B4:K4"/>
    <mergeCell ref="A5:K5"/>
  </mergeCells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2:N95"/>
  <sheetViews>
    <sheetView workbookViewId="0"/>
  </sheetViews>
  <sheetFormatPr defaultRowHeight="10.5" x14ac:dyDescent="0.15"/>
  <cols>
    <col min="1" max="1" width="4.7109375" style="40" customWidth="1"/>
    <col min="2" max="2" width="44.42578125" style="5" customWidth="1"/>
    <col min="3" max="3" width="3.42578125" style="49" customWidth="1"/>
    <col min="4" max="4" width="6" style="52" customWidth="1"/>
    <col min="5" max="5" width="6" style="5" customWidth="1"/>
    <col min="6" max="9" width="10.7109375" style="52" customWidth="1"/>
    <col min="10" max="11" width="12.7109375" style="52" customWidth="1"/>
    <col min="12" max="12" width="10.7109375" style="52" customWidth="1"/>
    <col min="13" max="13" width="9.140625" style="52"/>
    <col min="14" max="14" width="3.42578125" style="49" hidden="1" customWidth="1"/>
    <col min="15" max="16384" width="9.140625" style="52"/>
  </cols>
  <sheetData>
    <row r="2" spans="1:14" x14ac:dyDescent="0.15">
      <c r="A2" s="78"/>
      <c r="B2" s="84"/>
      <c r="C2" s="84"/>
      <c r="D2" s="85"/>
      <c r="E2" s="84"/>
      <c r="F2" s="85"/>
      <c r="G2" s="85"/>
      <c r="H2" s="85"/>
      <c r="I2" s="85"/>
      <c r="J2" s="85"/>
      <c r="K2" s="85"/>
      <c r="N2" s="52"/>
    </row>
    <row r="3" spans="1:14" x14ac:dyDescent="0.15">
      <c r="A3" s="47"/>
      <c r="B3" s="80" t="s">
        <v>407</v>
      </c>
      <c r="C3" s="80"/>
      <c r="D3" s="80"/>
      <c r="E3" s="80"/>
      <c r="F3" s="80"/>
      <c r="G3" s="80"/>
      <c r="H3" s="80"/>
      <c r="I3" s="80"/>
      <c r="J3" s="80"/>
      <c r="K3" s="80"/>
      <c r="N3" s="52"/>
    </row>
    <row r="4" spans="1:14" x14ac:dyDescent="0.15">
      <c r="A4" s="47"/>
      <c r="B4" s="80" t="s">
        <v>408</v>
      </c>
      <c r="C4" s="80"/>
      <c r="D4" s="80"/>
      <c r="E4" s="80"/>
      <c r="F4" s="80"/>
      <c r="G4" s="80"/>
      <c r="H4" s="80"/>
      <c r="I4" s="80"/>
      <c r="J4" s="80"/>
      <c r="K4" s="80"/>
      <c r="N4" s="52"/>
    </row>
    <row r="5" spans="1:14" x14ac:dyDescent="0.15">
      <c r="A5" s="78"/>
      <c r="B5" s="84"/>
      <c r="C5" s="84"/>
      <c r="D5" s="85"/>
      <c r="E5" s="84"/>
      <c r="F5" s="85"/>
      <c r="G5" s="85"/>
      <c r="H5" s="85"/>
      <c r="I5" s="85"/>
      <c r="J5" s="85"/>
      <c r="K5" s="85"/>
      <c r="N5" s="52"/>
    </row>
    <row r="6" spans="1:14" s="45" customFormat="1" x14ac:dyDescent="0.15">
      <c r="A6" s="46"/>
      <c r="B6" s="45" t="s">
        <v>290</v>
      </c>
      <c r="C6" s="45" t="s">
        <v>471</v>
      </c>
      <c r="D6" s="41" t="s">
        <v>472</v>
      </c>
      <c r="E6" s="45" t="s">
        <v>473</v>
      </c>
      <c r="F6" s="45" t="s">
        <v>474</v>
      </c>
      <c r="G6" s="45" t="s">
        <v>475</v>
      </c>
      <c r="H6" s="45" t="s">
        <v>476</v>
      </c>
      <c r="I6" s="45" t="s">
        <v>477</v>
      </c>
      <c r="J6" s="45" t="s">
        <v>478</v>
      </c>
      <c r="K6" s="45" t="s">
        <v>479</v>
      </c>
      <c r="L6" s="45" t="s">
        <v>480</v>
      </c>
      <c r="M6" s="45" t="s">
        <v>481</v>
      </c>
    </row>
    <row r="7" spans="1:14" x14ac:dyDescent="0.15">
      <c r="A7" s="40">
        <v>1</v>
      </c>
      <c r="B7" s="5" t="s">
        <v>227</v>
      </c>
      <c r="C7" s="49" t="s">
        <v>482</v>
      </c>
      <c r="D7" s="52">
        <v>0</v>
      </c>
      <c r="E7" s="52"/>
      <c r="F7" s="48">
        <f>ROUND(SUM('Базовые цены с учетом расхода'!B6:B27),0)</f>
        <v>0</v>
      </c>
      <c r="G7" s="48">
        <f>ROUND(SUM('Базовые цены с учетом расхода'!C6:C27),0)</f>
        <v>0</v>
      </c>
      <c r="H7" s="48">
        <f>ROUND(SUM('Базовые цены с учетом расхода'!D6:D27),0)</f>
        <v>0</v>
      </c>
      <c r="I7" s="48">
        <f>ROUND(SUM('Базовые цены с учетом расхода'!E6:E27),0)</f>
        <v>0</v>
      </c>
      <c r="J7" s="44">
        <f>ROUND(SUM('Базовые цены с учетом расхода'!I6:I27),2)</f>
        <v>0</v>
      </c>
      <c r="K7" s="44">
        <f>ROUND(SUM('Базовые цены с учетом расхода'!K6:K27),2)</f>
        <v>0</v>
      </c>
      <c r="L7" s="48">
        <f>ROUND(SUM('Базовые цены с учетом расхода'!F6:F27),0)</f>
        <v>0</v>
      </c>
      <c r="N7" s="49" t="s">
        <v>467</v>
      </c>
    </row>
    <row r="8" spans="1:14" x14ac:dyDescent="0.15">
      <c r="A8" s="40">
        <v>2</v>
      </c>
      <c r="B8" s="5" t="s">
        <v>228</v>
      </c>
      <c r="C8" s="49" t="s">
        <v>483</v>
      </c>
      <c r="D8" s="52">
        <v>0</v>
      </c>
      <c r="F8" s="48">
        <f>ROUND(SUMIF(Определители!I6:I27,"= ",'Базовые цены с учетом расхода'!B6:B27),0)</f>
        <v>0</v>
      </c>
      <c r="G8" s="48">
        <f>ROUND(SUMIF(Определители!I6:I27,"= ",'Базовые цены с учетом расхода'!C6:C27),0)</f>
        <v>0</v>
      </c>
      <c r="H8" s="48">
        <f>ROUND(SUMIF(Определители!I6:I27,"= ",'Базовые цены с учетом расхода'!D6:D27),0)</f>
        <v>0</v>
      </c>
      <c r="I8" s="48">
        <f>ROUND(SUMIF(Определители!I6:I27,"= ",'Базовые цены с учетом расхода'!E6:E27),0)</f>
        <v>0</v>
      </c>
      <c r="J8" s="44">
        <f>ROUND(SUMIF(Определители!I6:I27,"= ",'Базовые цены с учетом расхода'!I6:I27),2)</f>
        <v>0</v>
      </c>
      <c r="K8" s="44">
        <f>ROUND(SUMIF(Определители!I6:I27,"= ",'Базовые цены с учетом расхода'!K6:K27),2)</f>
        <v>0</v>
      </c>
      <c r="L8" s="48">
        <f>ROUND(SUMIF(Определители!I6:I27,"= ",'Базовые цены с учетом расхода'!F6:F27),0)</f>
        <v>0</v>
      </c>
      <c r="N8" s="49" t="s">
        <v>470</v>
      </c>
    </row>
    <row r="9" spans="1:14" x14ac:dyDescent="0.15">
      <c r="A9" s="40">
        <v>3</v>
      </c>
      <c r="B9" s="5" t="s">
        <v>229</v>
      </c>
      <c r="C9" s="49" t="s">
        <v>483</v>
      </c>
      <c r="D9" s="52">
        <v>0</v>
      </c>
      <c r="F9" s="48">
        <f ca="1">ROUND(СУММПРОИЗВЕСЛИ(0.01,Определители!I6:I27," ",'Базовые цены с учетом расхода'!B6:B27,Начисления!X6:X27,0),0)</f>
        <v>0</v>
      </c>
      <c r="G9" s="48"/>
      <c r="H9" s="48"/>
      <c r="I9" s="48"/>
      <c r="J9" s="44"/>
      <c r="K9" s="44"/>
      <c r="L9" s="48"/>
      <c r="N9" s="49" t="s">
        <v>469</v>
      </c>
    </row>
    <row r="10" spans="1:14" x14ac:dyDescent="0.15">
      <c r="A10" s="40">
        <v>4</v>
      </c>
      <c r="B10" s="5" t="s">
        <v>230</v>
      </c>
      <c r="C10" s="49" t="s">
        <v>483</v>
      </c>
      <c r="D10" s="52">
        <v>0</v>
      </c>
      <c r="F10" s="48">
        <f ca="1">ROUND(СУММПРОИЗВЕСЛИ(0.01,Определители!I6:I27," ",'Базовые цены с учетом расхода'!B6:B27,Начисления!Y6:Y27,0),0)</f>
        <v>0</v>
      </c>
      <c r="G10" s="48"/>
      <c r="H10" s="48"/>
      <c r="I10" s="48"/>
      <c r="J10" s="44"/>
      <c r="K10" s="44"/>
      <c r="L10" s="48"/>
      <c r="N10" s="49" t="s">
        <v>484</v>
      </c>
    </row>
    <row r="11" spans="1:14" x14ac:dyDescent="0.15">
      <c r="A11" s="40">
        <v>5</v>
      </c>
      <c r="B11" s="5" t="s">
        <v>231</v>
      </c>
      <c r="C11" s="49" t="s">
        <v>483</v>
      </c>
      <c r="D11" s="52">
        <v>0</v>
      </c>
      <c r="F11" s="48">
        <f ca="1">ROUND(ТРАНСПРАСХОД(Определители!B6:B27,Определители!H6:H27,Определители!I6:I27,'Базовые цены с учетом расхода'!B6:B27,Начисления!Z6:Z27,Начисления!AA6:AA27),0)</f>
        <v>0</v>
      </c>
      <c r="G11" s="48"/>
      <c r="H11" s="48"/>
      <c r="I11" s="48"/>
      <c r="J11" s="44"/>
      <c r="K11" s="44"/>
      <c r="L11" s="48"/>
      <c r="N11" s="49" t="s">
        <v>485</v>
      </c>
    </row>
    <row r="12" spans="1:14" x14ac:dyDescent="0.15">
      <c r="A12" s="40">
        <v>6</v>
      </c>
      <c r="B12" s="5" t="s">
        <v>232</v>
      </c>
      <c r="C12" s="49" t="s">
        <v>483</v>
      </c>
      <c r="D12" s="52">
        <v>0</v>
      </c>
      <c r="F12" s="48">
        <f ca="1">ROUND(СУММПРОИЗВЕСЛИ(0.01,Определители!I6:I27," ",'Базовые цены с учетом расхода'!B6:B27,Начисления!AC6:AC27,0),0)</f>
        <v>0</v>
      </c>
      <c r="G12" s="48"/>
      <c r="H12" s="48"/>
      <c r="I12" s="48"/>
      <c r="J12" s="44"/>
      <c r="K12" s="44"/>
      <c r="L12" s="48"/>
      <c r="N12" s="49" t="s">
        <v>486</v>
      </c>
    </row>
    <row r="13" spans="1:14" x14ac:dyDescent="0.15">
      <c r="A13" s="40">
        <v>7</v>
      </c>
      <c r="B13" s="5" t="s">
        <v>233</v>
      </c>
      <c r="C13" s="49" t="s">
        <v>483</v>
      </c>
      <c r="D13" s="52">
        <v>0</v>
      </c>
      <c r="F13" s="48">
        <f ca="1">ROUND(СУММПРОИЗВЕСЛИ(0.01,Определители!I6:I27," ",'Базовые цены с учетом расхода'!B6:B27,Начисления!AF6:AF27,0),0)</f>
        <v>0</v>
      </c>
      <c r="G13" s="48"/>
      <c r="H13" s="48"/>
      <c r="I13" s="48"/>
      <c r="J13" s="44"/>
      <c r="K13" s="44"/>
      <c r="L13" s="48"/>
      <c r="N13" s="49" t="s">
        <v>487</v>
      </c>
    </row>
    <row r="14" spans="1:14" x14ac:dyDescent="0.15">
      <c r="A14" s="40">
        <v>8</v>
      </c>
      <c r="B14" s="5" t="s">
        <v>234</v>
      </c>
      <c r="C14" s="49" t="s">
        <v>483</v>
      </c>
      <c r="D14" s="52">
        <v>0</v>
      </c>
      <c r="F14" s="48">
        <f ca="1">ROUND(ЗАГОТСКЛАДРАСХОД(Определители!B6:B27,Определители!H6:H27,Определители!I6:I27,'Базовые цены с учетом расхода'!B6:B27,Начисления!X6:X27,Начисления!Y6:Y27,Начисления!Z6:Z27,Начисления!AA6:AA27,Начисления!AB6:AB27,Начисления!AC6:AC27,Начисления!AF6:AF27),0)</f>
        <v>0</v>
      </c>
      <c r="G14" s="48"/>
      <c r="H14" s="48"/>
      <c r="I14" s="48"/>
      <c r="J14" s="44"/>
      <c r="K14" s="44"/>
      <c r="L14" s="48"/>
      <c r="N14" s="49" t="s">
        <v>488</v>
      </c>
    </row>
    <row r="15" spans="1:14" x14ac:dyDescent="0.15">
      <c r="A15" s="40">
        <v>9</v>
      </c>
      <c r="B15" s="5" t="s">
        <v>235</v>
      </c>
      <c r="C15" s="49" t="s">
        <v>483</v>
      </c>
      <c r="D15" s="52">
        <v>0</v>
      </c>
      <c r="F15" s="48">
        <f ca="1">ROUND(СУММПРОИЗВЕСЛИ(1,Определители!I6:I27," ",'Базовые цены с учетом расхода'!M6:M27,Начисления!I6:I27,0),0)</f>
        <v>0</v>
      </c>
      <c r="G15" s="48"/>
      <c r="H15" s="48"/>
      <c r="I15" s="48"/>
      <c r="J15" s="44"/>
      <c r="K15" s="44"/>
      <c r="L15" s="48"/>
      <c r="N15" s="49" t="s">
        <v>489</v>
      </c>
    </row>
    <row r="16" spans="1:14" x14ac:dyDescent="0.15">
      <c r="A16" s="40">
        <v>10</v>
      </c>
      <c r="B16" s="5" t="s">
        <v>236</v>
      </c>
      <c r="C16" s="49" t="s">
        <v>490</v>
      </c>
      <c r="D16" s="52">
        <v>0</v>
      </c>
      <c r="F16" s="48">
        <f ca="1">ROUND((F15+F26+F46),0)</f>
        <v>0</v>
      </c>
      <c r="G16" s="48"/>
      <c r="H16" s="48"/>
      <c r="I16" s="48"/>
      <c r="J16" s="44"/>
      <c r="K16" s="44"/>
      <c r="L16" s="48"/>
      <c r="N16" s="49" t="s">
        <v>491</v>
      </c>
    </row>
    <row r="17" spans="1:14" x14ac:dyDescent="0.15">
      <c r="A17" s="40">
        <v>11</v>
      </c>
      <c r="B17" s="5" t="s">
        <v>237</v>
      </c>
      <c r="C17" s="49" t="s">
        <v>490</v>
      </c>
      <c r="D17" s="52">
        <v>0</v>
      </c>
      <c r="F17" s="48">
        <f ca="1">ROUND((F8+F9+F10+F11+F12+F13+F14+F16),0)</f>
        <v>0</v>
      </c>
      <c r="G17" s="48"/>
      <c r="H17" s="48"/>
      <c r="I17" s="48"/>
      <c r="J17" s="44"/>
      <c r="K17" s="44"/>
      <c r="L17" s="48"/>
      <c r="N17" s="49" t="s">
        <v>492</v>
      </c>
    </row>
    <row r="18" spans="1:14" x14ac:dyDescent="0.15">
      <c r="A18" s="40">
        <v>12</v>
      </c>
      <c r="B18" s="5" t="s">
        <v>238</v>
      </c>
      <c r="C18" s="49" t="s">
        <v>483</v>
      </c>
      <c r="D18" s="52">
        <v>0</v>
      </c>
      <c r="F18" s="48">
        <f>ROUND(SUMIF(Определители!I6:I27,"=1",'Базовые цены с учетом расхода'!B6:B27),0)</f>
        <v>0</v>
      </c>
      <c r="G18" s="48">
        <f>ROUND(SUMIF(Определители!I6:I27,"=1",'Базовые цены с учетом расхода'!C6:C27),0)</f>
        <v>0</v>
      </c>
      <c r="H18" s="48">
        <f>ROUND(SUMIF(Определители!I6:I27,"=1",'Базовые цены с учетом расхода'!D6:D27),0)</f>
        <v>0</v>
      </c>
      <c r="I18" s="48">
        <f>ROUND(SUMIF(Определители!I6:I27,"=1",'Базовые цены с учетом расхода'!E6:E27),0)</f>
        <v>0</v>
      </c>
      <c r="J18" s="44">
        <f>ROUND(SUMIF(Определители!I6:I27,"=1",'Базовые цены с учетом расхода'!I6:I27),2)</f>
        <v>0</v>
      </c>
      <c r="K18" s="44">
        <f>ROUND(SUMIF(Определители!I6:I27,"=1",'Базовые цены с учетом расхода'!K6:K27),2)</f>
        <v>0</v>
      </c>
      <c r="L18" s="48">
        <f>ROUND(SUMIF(Определители!I6:I27,"=1",'Базовые цены с учетом расхода'!F6:F27),0)</f>
        <v>0</v>
      </c>
      <c r="N18" s="49" t="s">
        <v>493</v>
      </c>
    </row>
    <row r="19" spans="1:14" x14ac:dyDescent="0.15">
      <c r="A19" s="40">
        <v>13</v>
      </c>
      <c r="B19" s="5" t="s">
        <v>239</v>
      </c>
      <c r="C19" s="49" t="s">
        <v>483</v>
      </c>
      <c r="D19" s="52">
        <v>0</v>
      </c>
      <c r="F19" s="48"/>
      <c r="G19" s="48"/>
      <c r="H19" s="48"/>
      <c r="I19" s="48"/>
      <c r="J19" s="44"/>
      <c r="K19" s="44"/>
      <c r="L19" s="48"/>
      <c r="N19" s="49" t="s">
        <v>494</v>
      </c>
    </row>
    <row r="20" spans="1:14" x14ac:dyDescent="0.15">
      <c r="A20" s="40">
        <v>14</v>
      </c>
      <c r="B20" s="5" t="s">
        <v>240</v>
      </c>
      <c r="C20" s="49" t="s">
        <v>483</v>
      </c>
      <c r="D20" s="52">
        <v>0</v>
      </c>
      <c r="F20" s="48"/>
      <c r="G20" s="48">
        <f>ROUND(SUMIF(Определители!I6:I27,"=1",'Базовые цены с учетом расхода'!U6:U27),0)</f>
        <v>0</v>
      </c>
      <c r="H20" s="48"/>
      <c r="I20" s="48"/>
      <c r="J20" s="44"/>
      <c r="K20" s="44"/>
      <c r="L20" s="48"/>
      <c r="N20" s="49" t="s">
        <v>495</v>
      </c>
    </row>
    <row r="21" spans="1:14" x14ac:dyDescent="0.15">
      <c r="A21" s="40">
        <v>15</v>
      </c>
      <c r="B21" s="5" t="s">
        <v>241</v>
      </c>
      <c r="C21" s="49" t="s">
        <v>483</v>
      </c>
      <c r="D21" s="52">
        <v>0</v>
      </c>
      <c r="F21" s="48">
        <f>ROUND(SUMIF(Определители!I6:I27,"=1",'Базовые цены с учетом расхода'!V6:V27),0)</f>
        <v>0</v>
      </c>
      <c r="G21" s="48"/>
      <c r="H21" s="48"/>
      <c r="I21" s="48"/>
      <c r="J21" s="44"/>
      <c r="K21" s="44"/>
      <c r="L21" s="48"/>
      <c r="N21" s="49" t="s">
        <v>496</v>
      </c>
    </row>
    <row r="22" spans="1:14" x14ac:dyDescent="0.15">
      <c r="A22" s="40">
        <v>16</v>
      </c>
      <c r="B22" s="5" t="s">
        <v>242</v>
      </c>
      <c r="C22" s="49" t="s">
        <v>483</v>
      </c>
      <c r="D22" s="52">
        <v>0</v>
      </c>
      <c r="F22" s="48">
        <f ca="1">ROUND(СУММЕСЛИ2(Определители!I6:I27,"1",Определители!G6:G27,"1",'Базовые цены с учетом расхода'!B6:B27),0)</f>
        <v>0</v>
      </c>
      <c r="G22" s="48"/>
      <c r="H22" s="48"/>
      <c r="I22" s="48"/>
      <c r="J22" s="44"/>
      <c r="K22" s="44"/>
      <c r="L22" s="48"/>
      <c r="N22" s="49" t="s">
        <v>497</v>
      </c>
    </row>
    <row r="23" spans="1:14" x14ac:dyDescent="0.15">
      <c r="A23" s="40">
        <v>17</v>
      </c>
      <c r="B23" s="5" t="s">
        <v>243</v>
      </c>
      <c r="C23" s="49" t="s">
        <v>483</v>
      </c>
      <c r="D23" s="52">
        <v>0</v>
      </c>
      <c r="F23" s="48">
        <f>ROUND(SUMIF(Определители!I6:I27,"=1",'Базовые цены с учетом расхода'!H6:H27),0)</f>
        <v>0</v>
      </c>
      <c r="G23" s="48"/>
      <c r="H23" s="48"/>
      <c r="I23" s="48"/>
      <c r="J23" s="44"/>
      <c r="K23" s="44"/>
      <c r="L23" s="48"/>
      <c r="N23" s="49" t="s">
        <v>498</v>
      </c>
    </row>
    <row r="24" spans="1:14" x14ac:dyDescent="0.15">
      <c r="A24" s="40">
        <v>18</v>
      </c>
      <c r="B24" s="5" t="s">
        <v>244</v>
      </c>
      <c r="C24" s="49" t="s">
        <v>483</v>
      </c>
      <c r="D24" s="52">
        <v>0</v>
      </c>
      <c r="F24" s="48">
        <f>ROUND(SUMIF(Определители!I6:I27,"=1",'Базовые цены с учетом расхода'!N6:N27),0)</f>
        <v>0</v>
      </c>
      <c r="G24" s="48"/>
      <c r="H24" s="48"/>
      <c r="I24" s="48"/>
      <c r="J24" s="44"/>
      <c r="K24" s="44"/>
      <c r="L24" s="48"/>
      <c r="N24" s="49" t="s">
        <v>499</v>
      </c>
    </row>
    <row r="25" spans="1:14" x14ac:dyDescent="0.15">
      <c r="A25" s="40">
        <v>19</v>
      </c>
      <c r="B25" s="5" t="s">
        <v>245</v>
      </c>
      <c r="C25" s="49" t="s">
        <v>483</v>
      </c>
      <c r="D25" s="52">
        <v>0</v>
      </c>
      <c r="F25" s="48">
        <f>ROUND(SUMIF(Определители!I6:I27,"=1",'Базовые цены с учетом расхода'!O6:O27),0)</f>
        <v>0</v>
      </c>
      <c r="G25" s="48"/>
      <c r="H25" s="48"/>
      <c r="I25" s="48"/>
      <c r="J25" s="44"/>
      <c r="K25" s="44"/>
      <c r="L25" s="48"/>
      <c r="N25" s="49" t="s">
        <v>500</v>
      </c>
    </row>
    <row r="26" spans="1:14" x14ac:dyDescent="0.15">
      <c r="A26" s="40">
        <v>20</v>
      </c>
      <c r="B26" s="5" t="s">
        <v>236</v>
      </c>
      <c r="C26" s="49" t="s">
        <v>483</v>
      </c>
      <c r="D26" s="52">
        <v>0</v>
      </c>
      <c r="F26" s="48">
        <f ca="1">ROUND(СУММПРОИЗВЕСЛИ(1,Определители!I6:I27," ",'Базовые цены с учетом расхода'!M6:M27,Начисления!I6:I27,0),0)</f>
        <v>0</v>
      </c>
      <c r="G26" s="48"/>
      <c r="H26" s="48"/>
      <c r="I26" s="48"/>
      <c r="J26" s="44"/>
      <c r="K26" s="44"/>
      <c r="L26" s="48"/>
      <c r="N26" s="49" t="s">
        <v>501</v>
      </c>
    </row>
    <row r="27" spans="1:14" x14ac:dyDescent="0.15">
      <c r="A27" s="40">
        <v>21</v>
      </c>
      <c r="B27" s="5" t="s">
        <v>246</v>
      </c>
      <c r="C27" s="49" t="s">
        <v>490</v>
      </c>
      <c r="D27" s="52">
        <v>0</v>
      </c>
      <c r="F27" s="48">
        <f>ROUND((F18+F24+F25),0)</f>
        <v>0</v>
      </c>
      <c r="G27" s="48"/>
      <c r="H27" s="48"/>
      <c r="I27" s="48"/>
      <c r="J27" s="44"/>
      <c r="K27" s="44"/>
      <c r="L27" s="48"/>
      <c r="N27" s="49" t="s">
        <v>502</v>
      </c>
    </row>
    <row r="28" spans="1:14" x14ac:dyDescent="0.15">
      <c r="A28" s="40">
        <v>22</v>
      </c>
      <c r="B28" s="5" t="s">
        <v>247</v>
      </c>
      <c r="C28" s="49" t="s">
        <v>483</v>
      </c>
      <c r="D28" s="52">
        <v>0</v>
      </c>
      <c r="F28" s="48">
        <f>ROUND(SUMIF(Определители!I6:I27,"=2",'Базовые цены с учетом расхода'!B6:B27),0)</f>
        <v>0</v>
      </c>
      <c r="G28" s="48">
        <f>ROUND(SUMIF(Определители!I6:I27,"=2",'Базовые цены с учетом расхода'!C6:C27),0)</f>
        <v>0</v>
      </c>
      <c r="H28" s="48">
        <f>ROUND(SUMIF(Определители!I6:I27,"=2",'Базовые цены с учетом расхода'!D6:D27),0)</f>
        <v>0</v>
      </c>
      <c r="I28" s="48">
        <f>ROUND(SUMIF(Определители!I6:I27,"=2",'Базовые цены с учетом расхода'!E6:E27),0)</f>
        <v>0</v>
      </c>
      <c r="J28" s="44">
        <f>ROUND(SUMIF(Определители!I6:I27,"=2",'Базовые цены с учетом расхода'!I6:I27),2)</f>
        <v>0</v>
      </c>
      <c r="K28" s="44">
        <f>ROUND(SUMIF(Определители!I6:I27,"=2",'Базовые цены с учетом расхода'!K6:K27),2)</f>
        <v>0</v>
      </c>
      <c r="L28" s="48">
        <f>ROUND(SUMIF(Определители!I6:I27,"=2",'Базовые цены с учетом расхода'!F6:F27),0)</f>
        <v>0</v>
      </c>
      <c r="N28" s="49" t="s">
        <v>503</v>
      </c>
    </row>
    <row r="29" spans="1:14" x14ac:dyDescent="0.15">
      <c r="A29" s="40">
        <v>23</v>
      </c>
      <c r="B29" s="5" t="s">
        <v>239</v>
      </c>
      <c r="C29" s="49" t="s">
        <v>483</v>
      </c>
      <c r="D29" s="52">
        <v>0</v>
      </c>
      <c r="F29" s="48"/>
      <c r="G29" s="48"/>
      <c r="H29" s="48"/>
      <c r="I29" s="48"/>
      <c r="J29" s="44"/>
      <c r="K29" s="44"/>
      <c r="L29" s="48"/>
      <c r="N29" s="49" t="s">
        <v>504</v>
      </c>
    </row>
    <row r="30" spans="1:14" x14ac:dyDescent="0.15">
      <c r="A30" s="40">
        <v>24</v>
      </c>
      <c r="B30" s="5" t="s">
        <v>248</v>
      </c>
      <c r="C30" s="49" t="s">
        <v>483</v>
      </c>
      <c r="D30" s="52">
        <v>0</v>
      </c>
      <c r="F30" s="48">
        <f ca="1">ROUND(СУММЕСЛИ2(Определители!I6:I27,"2",Определители!G6:G27,"1",'Базовые цены с учетом расхода'!B6:B27),0)</f>
        <v>0</v>
      </c>
      <c r="G30" s="48"/>
      <c r="H30" s="48"/>
      <c r="I30" s="48"/>
      <c r="J30" s="44"/>
      <c r="K30" s="44"/>
      <c r="L30" s="48"/>
      <c r="N30" s="49" t="s">
        <v>505</v>
      </c>
    </row>
    <row r="31" spans="1:14" x14ac:dyDescent="0.15">
      <c r="A31" s="40">
        <v>25</v>
      </c>
      <c r="B31" s="5" t="s">
        <v>243</v>
      </c>
      <c r="C31" s="49" t="s">
        <v>483</v>
      </c>
      <c r="D31" s="52">
        <v>0</v>
      </c>
      <c r="F31" s="48">
        <f>ROUND(SUMIF(Определители!I6:I27,"=2",'Базовые цены с учетом расхода'!H6:H27),0)</f>
        <v>0</v>
      </c>
      <c r="G31" s="48"/>
      <c r="H31" s="48"/>
      <c r="I31" s="48"/>
      <c r="J31" s="44"/>
      <c r="K31" s="44"/>
      <c r="L31" s="48"/>
      <c r="N31" s="49" t="s">
        <v>506</v>
      </c>
    </row>
    <row r="32" spans="1:14" x14ac:dyDescent="0.15">
      <c r="A32" s="40">
        <v>26</v>
      </c>
      <c r="B32" s="5" t="s">
        <v>244</v>
      </c>
      <c r="C32" s="49" t="s">
        <v>483</v>
      </c>
      <c r="D32" s="52">
        <v>0</v>
      </c>
      <c r="F32" s="48">
        <f>ROUND(SUMIF(Определители!I6:I27,"=2",'Базовые цены с учетом расхода'!N6:N27),0)</f>
        <v>0</v>
      </c>
      <c r="G32" s="48"/>
      <c r="H32" s="48"/>
      <c r="I32" s="48"/>
      <c r="J32" s="44"/>
      <c r="K32" s="44"/>
      <c r="L32" s="48"/>
      <c r="N32" s="49" t="s">
        <v>507</v>
      </c>
    </row>
    <row r="33" spans="1:14" x14ac:dyDescent="0.15">
      <c r="A33" s="40">
        <v>27</v>
      </c>
      <c r="B33" s="5" t="s">
        <v>245</v>
      </c>
      <c r="C33" s="49" t="s">
        <v>483</v>
      </c>
      <c r="D33" s="52">
        <v>0</v>
      </c>
      <c r="F33" s="48">
        <f>ROUND(SUMIF(Определители!I6:I27,"=2",'Базовые цены с учетом расхода'!O6:O27),0)</f>
        <v>0</v>
      </c>
      <c r="G33" s="48"/>
      <c r="H33" s="48"/>
      <c r="I33" s="48"/>
      <c r="J33" s="44"/>
      <c r="K33" s="44"/>
      <c r="L33" s="48"/>
      <c r="N33" s="49" t="s">
        <v>508</v>
      </c>
    </row>
    <row r="34" spans="1:14" x14ac:dyDescent="0.15">
      <c r="A34" s="40">
        <v>28</v>
      </c>
      <c r="B34" s="5" t="s">
        <v>249</v>
      </c>
      <c r="C34" s="49" t="s">
        <v>490</v>
      </c>
      <c r="D34" s="52">
        <v>0</v>
      </c>
      <c r="F34" s="48">
        <f>ROUND((F28+F32+F33),0)</f>
        <v>0</v>
      </c>
      <c r="G34" s="48"/>
      <c r="H34" s="48"/>
      <c r="I34" s="48"/>
      <c r="J34" s="44"/>
      <c r="K34" s="44"/>
      <c r="L34" s="48"/>
      <c r="N34" s="49" t="s">
        <v>509</v>
      </c>
    </row>
    <row r="35" spans="1:14" x14ac:dyDescent="0.15">
      <c r="A35" s="40">
        <v>29</v>
      </c>
      <c r="B35" s="5" t="s">
        <v>250</v>
      </c>
      <c r="C35" s="49" t="s">
        <v>483</v>
      </c>
      <c r="D35" s="52">
        <v>0</v>
      </c>
      <c r="F35" s="48">
        <f>ROUND(SUMIF(Определители!I6:I27,"=3",'Базовые цены с учетом расхода'!B6:B27),0)</f>
        <v>0</v>
      </c>
      <c r="G35" s="48">
        <f>ROUND(SUMIF(Определители!I6:I27,"=3",'Базовые цены с учетом расхода'!C6:C27),0)</f>
        <v>0</v>
      </c>
      <c r="H35" s="48">
        <f>ROUND(SUMIF(Определители!I6:I27,"=3",'Базовые цены с учетом расхода'!D6:D27),0)</f>
        <v>0</v>
      </c>
      <c r="I35" s="48">
        <f>ROUND(SUMIF(Определители!I6:I27,"=3",'Базовые цены с учетом расхода'!E6:E27),0)</f>
        <v>0</v>
      </c>
      <c r="J35" s="44">
        <f>ROUND(SUMIF(Определители!I6:I27,"=3",'Базовые цены с учетом расхода'!I6:I27),2)</f>
        <v>0</v>
      </c>
      <c r="K35" s="44">
        <f>ROUND(SUMIF(Определители!I6:I27,"=3",'Базовые цены с учетом расхода'!K6:K27),2)</f>
        <v>0</v>
      </c>
      <c r="L35" s="48">
        <f>ROUND(SUMIF(Определители!I6:I27,"=3",'Базовые цены с учетом расхода'!F6:F27),0)</f>
        <v>0</v>
      </c>
      <c r="N35" s="49" t="s">
        <v>510</v>
      </c>
    </row>
    <row r="36" spans="1:14" x14ac:dyDescent="0.15">
      <c r="A36" s="40">
        <v>30</v>
      </c>
      <c r="B36" s="5" t="s">
        <v>243</v>
      </c>
      <c r="C36" s="49" t="s">
        <v>483</v>
      </c>
      <c r="D36" s="52">
        <v>0</v>
      </c>
      <c r="F36" s="48">
        <f>ROUND(SUMIF(Определители!I6:I27,"=3",'Базовые цены с учетом расхода'!H6:H27),0)</f>
        <v>0</v>
      </c>
      <c r="G36" s="48"/>
      <c r="H36" s="48"/>
      <c r="I36" s="48"/>
      <c r="J36" s="44"/>
      <c r="K36" s="44"/>
      <c r="L36" s="48"/>
      <c r="N36" s="49" t="s">
        <v>511</v>
      </c>
    </row>
    <row r="37" spans="1:14" x14ac:dyDescent="0.15">
      <c r="A37" s="40">
        <v>31</v>
      </c>
      <c r="B37" s="5" t="s">
        <v>244</v>
      </c>
      <c r="C37" s="49" t="s">
        <v>483</v>
      </c>
      <c r="D37" s="52">
        <v>0</v>
      </c>
      <c r="F37" s="48">
        <f>ROUND(SUMIF(Определители!I6:I27,"=3",'Базовые цены с учетом расхода'!N6:N27),0)</f>
        <v>0</v>
      </c>
      <c r="G37" s="48"/>
      <c r="H37" s="48"/>
      <c r="I37" s="48"/>
      <c r="J37" s="44"/>
      <c r="K37" s="44"/>
      <c r="L37" s="48"/>
      <c r="N37" s="49" t="s">
        <v>512</v>
      </c>
    </row>
    <row r="38" spans="1:14" x14ac:dyDescent="0.15">
      <c r="A38" s="40">
        <v>32</v>
      </c>
      <c r="B38" s="5" t="s">
        <v>245</v>
      </c>
      <c r="C38" s="49" t="s">
        <v>483</v>
      </c>
      <c r="D38" s="52">
        <v>0</v>
      </c>
      <c r="F38" s="48">
        <f>ROUND(SUMIF(Определители!I6:I27,"=3",'Базовые цены с учетом расхода'!O6:O27),0)</f>
        <v>0</v>
      </c>
      <c r="G38" s="48"/>
      <c r="H38" s="48"/>
      <c r="I38" s="48"/>
      <c r="J38" s="44"/>
      <c r="K38" s="44"/>
      <c r="L38" s="48"/>
      <c r="N38" s="49" t="s">
        <v>513</v>
      </c>
    </row>
    <row r="39" spans="1:14" x14ac:dyDescent="0.15">
      <c r="A39" s="40">
        <v>33</v>
      </c>
      <c r="B39" s="5" t="s">
        <v>251</v>
      </c>
      <c r="C39" s="49" t="s">
        <v>490</v>
      </c>
      <c r="D39" s="52">
        <v>0</v>
      </c>
      <c r="F39" s="48">
        <f>ROUND((F35+F37+F38),0)</f>
        <v>0</v>
      </c>
      <c r="G39" s="48"/>
      <c r="H39" s="48"/>
      <c r="I39" s="48"/>
      <c r="J39" s="44"/>
      <c r="K39" s="44"/>
      <c r="L39" s="48"/>
      <c r="N39" s="49" t="s">
        <v>514</v>
      </c>
    </row>
    <row r="40" spans="1:14" x14ac:dyDescent="0.15">
      <c r="A40" s="40">
        <v>34</v>
      </c>
      <c r="B40" s="5" t="s">
        <v>252</v>
      </c>
      <c r="C40" s="49" t="s">
        <v>483</v>
      </c>
      <c r="D40" s="52">
        <v>0</v>
      </c>
      <c r="F40" s="48">
        <f>ROUND(SUMIF(Определители!I6:I27,"=4",'Базовые цены с учетом расхода'!B6:B27),0)</f>
        <v>0</v>
      </c>
      <c r="G40" s="48">
        <f>ROUND(SUMIF(Определители!I6:I27,"=4",'Базовые цены с учетом расхода'!C6:C27),0)</f>
        <v>0</v>
      </c>
      <c r="H40" s="48">
        <f>ROUND(SUMIF(Определители!I6:I27,"=4",'Базовые цены с учетом расхода'!D6:D27),0)</f>
        <v>0</v>
      </c>
      <c r="I40" s="48">
        <f>ROUND(SUMIF(Определители!I6:I27,"=4",'Базовые цены с учетом расхода'!E6:E27),0)</f>
        <v>0</v>
      </c>
      <c r="J40" s="44">
        <f>ROUND(SUMIF(Определители!I6:I27,"=4",'Базовые цены с учетом расхода'!I6:I27),2)</f>
        <v>0</v>
      </c>
      <c r="K40" s="44">
        <f>ROUND(SUMIF(Определители!I6:I27,"=4",'Базовые цены с учетом расхода'!K6:K27),2)</f>
        <v>0</v>
      </c>
      <c r="L40" s="48">
        <f>ROUND(SUMIF(Определители!I6:I27,"=4",'Базовые цены с учетом расхода'!F6:F27),0)</f>
        <v>0</v>
      </c>
      <c r="N40" s="49" t="s">
        <v>515</v>
      </c>
    </row>
    <row r="41" spans="1:14" x14ac:dyDescent="0.15">
      <c r="A41" s="40">
        <v>35</v>
      </c>
      <c r="B41" s="5" t="s">
        <v>239</v>
      </c>
      <c r="C41" s="49" t="s">
        <v>483</v>
      </c>
      <c r="D41" s="52">
        <v>0</v>
      </c>
      <c r="F41" s="48"/>
      <c r="G41" s="48"/>
      <c r="H41" s="48"/>
      <c r="I41" s="48"/>
      <c r="J41" s="44"/>
      <c r="K41" s="44"/>
      <c r="L41" s="48"/>
      <c r="N41" s="49" t="s">
        <v>516</v>
      </c>
    </row>
    <row r="42" spans="1:14" x14ac:dyDescent="0.15">
      <c r="A42" s="40">
        <v>36</v>
      </c>
      <c r="B42" s="5" t="s">
        <v>253</v>
      </c>
      <c r="C42" s="49" t="s">
        <v>483</v>
      </c>
      <c r="D42" s="52">
        <v>0</v>
      </c>
      <c r="F42" s="48"/>
      <c r="G42" s="48"/>
      <c r="H42" s="48"/>
      <c r="I42" s="48"/>
      <c r="J42" s="44"/>
      <c r="K42" s="44"/>
      <c r="L42" s="48"/>
      <c r="N42" s="49" t="s">
        <v>517</v>
      </c>
    </row>
    <row r="43" spans="1:14" x14ac:dyDescent="0.15">
      <c r="A43" s="40">
        <v>37</v>
      </c>
      <c r="B43" s="5" t="s">
        <v>243</v>
      </c>
      <c r="C43" s="49" t="s">
        <v>483</v>
      </c>
      <c r="D43" s="52">
        <v>0</v>
      </c>
      <c r="F43" s="48">
        <f>ROUND(SUMIF(Определители!I6:I27,"=4",'Базовые цены с учетом расхода'!H6:H27),0)</f>
        <v>0</v>
      </c>
      <c r="G43" s="48"/>
      <c r="H43" s="48"/>
      <c r="I43" s="48"/>
      <c r="J43" s="44"/>
      <c r="K43" s="44"/>
      <c r="L43" s="48"/>
      <c r="N43" s="49" t="s">
        <v>518</v>
      </c>
    </row>
    <row r="44" spans="1:14" x14ac:dyDescent="0.15">
      <c r="A44" s="40">
        <v>38</v>
      </c>
      <c r="B44" s="5" t="s">
        <v>244</v>
      </c>
      <c r="C44" s="49" t="s">
        <v>483</v>
      </c>
      <c r="D44" s="52">
        <v>0</v>
      </c>
      <c r="F44" s="48">
        <f>ROUND(SUMIF(Определители!I6:I27,"=4",'Базовые цены с учетом расхода'!N6:N27),0)</f>
        <v>0</v>
      </c>
      <c r="G44" s="48"/>
      <c r="H44" s="48"/>
      <c r="I44" s="48"/>
      <c r="J44" s="44"/>
      <c r="K44" s="44"/>
      <c r="L44" s="48"/>
      <c r="N44" s="49" t="s">
        <v>519</v>
      </c>
    </row>
    <row r="45" spans="1:14" x14ac:dyDescent="0.15">
      <c r="A45" s="40">
        <v>39</v>
      </c>
      <c r="B45" s="5" t="s">
        <v>245</v>
      </c>
      <c r="C45" s="49" t="s">
        <v>483</v>
      </c>
      <c r="D45" s="52">
        <v>0</v>
      </c>
      <c r="F45" s="48">
        <f>ROUND(SUMIF(Определители!I6:I27,"=4",'Базовые цены с учетом расхода'!O6:O27),0)</f>
        <v>0</v>
      </c>
      <c r="G45" s="48"/>
      <c r="H45" s="48"/>
      <c r="I45" s="48"/>
      <c r="J45" s="44"/>
      <c r="K45" s="44"/>
      <c r="L45" s="48"/>
      <c r="N45" s="49" t="s">
        <v>520</v>
      </c>
    </row>
    <row r="46" spans="1:14" x14ac:dyDescent="0.15">
      <c r="A46" s="40">
        <v>40</v>
      </c>
      <c r="B46" s="5" t="s">
        <v>236</v>
      </c>
      <c r="C46" s="49" t="s">
        <v>483</v>
      </c>
      <c r="D46" s="52">
        <v>0</v>
      </c>
      <c r="F46" s="48">
        <f ca="1">ROUND(СУММПРОИЗВЕСЛИ(1,Определители!I6:I27," ",'Базовые цены с учетом расхода'!M6:M27,Начисления!I6:I27,0),0)</f>
        <v>0</v>
      </c>
      <c r="G46" s="48"/>
      <c r="H46" s="48"/>
      <c r="I46" s="48"/>
      <c r="J46" s="44"/>
      <c r="K46" s="44"/>
      <c r="L46" s="48"/>
      <c r="N46" s="49" t="s">
        <v>521</v>
      </c>
    </row>
    <row r="47" spans="1:14" x14ac:dyDescent="0.15">
      <c r="A47" s="40">
        <v>41</v>
      </c>
      <c r="B47" s="5" t="s">
        <v>254</v>
      </c>
      <c r="C47" s="49" t="s">
        <v>490</v>
      </c>
      <c r="D47" s="52">
        <v>0</v>
      </c>
      <c r="F47" s="48">
        <f>ROUND((F40+F44+F45),0)</f>
        <v>0</v>
      </c>
      <c r="G47" s="48"/>
      <c r="H47" s="48"/>
      <c r="I47" s="48"/>
      <c r="J47" s="44"/>
      <c r="K47" s="44"/>
      <c r="L47" s="48"/>
      <c r="N47" s="49" t="s">
        <v>522</v>
      </c>
    </row>
    <row r="48" spans="1:14" x14ac:dyDescent="0.15">
      <c r="A48" s="40">
        <v>42</v>
      </c>
      <c r="B48" s="5" t="s">
        <v>255</v>
      </c>
      <c r="C48" s="49" t="s">
        <v>483</v>
      </c>
      <c r="D48" s="52">
        <v>0</v>
      </c>
      <c r="F48" s="48">
        <f>ROUND(SUMIF(Определители!I6:I27,"=5",'Базовые цены с учетом расхода'!B6:B27),0)</f>
        <v>0</v>
      </c>
      <c r="G48" s="48">
        <f>ROUND(SUMIF(Определители!I6:I27,"=5",'Базовые цены с учетом расхода'!C6:C27),0)</f>
        <v>0</v>
      </c>
      <c r="H48" s="48">
        <f>ROUND(SUMIF(Определители!I6:I27,"=5",'Базовые цены с учетом расхода'!D6:D27),0)</f>
        <v>0</v>
      </c>
      <c r="I48" s="48">
        <f>ROUND(SUMIF(Определители!I6:I27,"=5",'Базовые цены с учетом расхода'!E6:E27),0)</f>
        <v>0</v>
      </c>
      <c r="J48" s="44">
        <f>ROUND(SUMIF(Определители!I6:I27,"=5",'Базовые цены с учетом расхода'!I6:I27),2)</f>
        <v>0</v>
      </c>
      <c r="K48" s="44">
        <f>ROUND(SUMIF(Определители!I6:I27,"=5",'Базовые цены с учетом расхода'!K6:K27),2)</f>
        <v>0</v>
      </c>
      <c r="L48" s="48">
        <f>ROUND(SUMIF(Определители!I6:I27,"=5",'Базовые цены с учетом расхода'!F6:F27),0)</f>
        <v>0</v>
      </c>
      <c r="N48" s="49" t="s">
        <v>523</v>
      </c>
    </row>
    <row r="49" spans="1:14" x14ac:dyDescent="0.15">
      <c r="A49" s="40">
        <v>43</v>
      </c>
      <c r="B49" s="5" t="s">
        <v>243</v>
      </c>
      <c r="C49" s="49" t="s">
        <v>483</v>
      </c>
      <c r="D49" s="52">
        <v>0</v>
      </c>
      <c r="F49" s="48">
        <f>ROUND(SUMIF(Определители!I6:I27,"=5",'Базовые цены с учетом расхода'!H6:H27),0)</f>
        <v>0</v>
      </c>
      <c r="G49" s="48"/>
      <c r="H49" s="48"/>
      <c r="I49" s="48"/>
      <c r="J49" s="44"/>
      <c r="K49" s="44"/>
      <c r="L49" s="48"/>
      <c r="N49" s="49" t="s">
        <v>524</v>
      </c>
    </row>
    <row r="50" spans="1:14" x14ac:dyDescent="0.15">
      <c r="A50" s="40">
        <v>44</v>
      </c>
      <c r="B50" s="5" t="s">
        <v>244</v>
      </c>
      <c r="C50" s="49" t="s">
        <v>483</v>
      </c>
      <c r="D50" s="52">
        <v>0</v>
      </c>
      <c r="F50" s="48">
        <f>ROUND(SUMIF(Определители!I6:I27,"=5",'Базовые цены с учетом расхода'!N6:N27),0)</f>
        <v>0</v>
      </c>
      <c r="G50" s="48"/>
      <c r="H50" s="48"/>
      <c r="I50" s="48"/>
      <c r="J50" s="44"/>
      <c r="K50" s="44"/>
      <c r="L50" s="48"/>
      <c r="N50" s="49" t="s">
        <v>525</v>
      </c>
    </row>
    <row r="51" spans="1:14" x14ac:dyDescent="0.15">
      <c r="A51" s="40">
        <v>45</v>
      </c>
      <c r="B51" s="5" t="s">
        <v>245</v>
      </c>
      <c r="C51" s="49" t="s">
        <v>483</v>
      </c>
      <c r="D51" s="52">
        <v>0</v>
      </c>
      <c r="F51" s="48">
        <f>ROUND(SUMIF(Определители!I6:I27,"=5",'Базовые цены с учетом расхода'!O6:O27),0)</f>
        <v>0</v>
      </c>
      <c r="G51" s="48"/>
      <c r="H51" s="48"/>
      <c r="I51" s="48"/>
      <c r="J51" s="44"/>
      <c r="K51" s="44"/>
      <c r="L51" s="48"/>
      <c r="N51" s="49" t="s">
        <v>526</v>
      </c>
    </row>
    <row r="52" spans="1:14" x14ac:dyDescent="0.15">
      <c r="A52" s="40">
        <v>46</v>
      </c>
      <c r="B52" s="5" t="s">
        <v>256</v>
      </c>
      <c r="C52" s="49" t="s">
        <v>490</v>
      </c>
      <c r="D52" s="52">
        <v>0</v>
      </c>
      <c r="F52" s="48">
        <f>ROUND((F48+F50+F51),0)</f>
        <v>0</v>
      </c>
      <c r="G52" s="48"/>
      <c r="H52" s="48"/>
      <c r="I52" s="48"/>
      <c r="J52" s="44"/>
      <c r="K52" s="44"/>
      <c r="L52" s="48"/>
      <c r="N52" s="49" t="s">
        <v>527</v>
      </c>
    </row>
    <row r="53" spans="1:14" x14ac:dyDescent="0.15">
      <c r="A53" s="40">
        <v>47</v>
      </c>
      <c r="B53" s="5" t="s">
        <v>257</v>
      </c>
      <c r="C53" s="49" t="s">
        <v>483</v>
      </c>
      <c r="D53" s="52">
        <v>0</v>
      </c>
      <c r="F53" s="48">
        <f>ROUND(SUMIF(Определители!I6:I27,"=6",'Базовые цены с учетом расхода'!B6:B27),0)</f>
        <v>0</v>
      </c>
      <c r="G53" s="48">
        <f>ROUND(SUMIF(Определители!I6:I27,"=6",'Базовые цены с учетом расхода'!C6:C27),0)</f>
        <v>0</v>
      </c>
      <c r="H53" s="48">
        <f>ROUND(SUMIF(Определители!I6:I27,"=6",'Базовые цены с учетом расхода'!D6:D27),0)</f>
        <v>0</v>
      </c>
      <c r="I53" s="48">
        <f>ROUND(SUMIF(Определители!I6:I27,"=6",'Базовые цены с учетом расхода'!E6:E27),0)</f>
        <v>0</v>
      </c>
      <c r="J53" s="44">
        <f>ROUND(SUMIF(Определители!I6:I27,"=6",'Базовые цены с учетом расхода'!I6:I27),2)</f>
        <v>0</v>
      </c>
      <c r="K53" s="44">
        <f>ROUND(SUMIF(Определители!I6:I27,"=6",'Базовые цены с учетом расхода'!K6:K27),2)</f>
        <v>0</v>
      </c>
      <c r="L53" s="48">
        <f>ROUND(SUMIF(Определители!I6:I27,"=6",'Базовые цены с учетом расхода'!F6:F27),0)</f>
        <v>0</v>
      </c>
      <c r="N53" s="49" t="s">
        <v>528</v>
      </c>
    </row>
    <row r="54" spans="1:14" x14ac:dyDescent="0.15">
      <c r="A54" s="40">
        <v>48</v>
      </c>
      <c r="B54" s="5" t="s">
        <v>243</v>
      </c>
      <c r="C54" s="49" t="s">
        <v>483</v>
      </c>
      <c r="D54" s="52">
        <v>0</v>
      </c>
      <c r="F54" s="48">
        <f>ROUND(SUMIF(Определители!I6:I27,"=6",'Базовые цены с учетом расхода'!H6:H27),0)</f>
        <v>0</v>
      </c>
      <c r="G54" s="48"/>
      <c r="H54" s="48"/>
      <c r="I54" s="48"/>
      <c r="J54" s="44"/>
      <c r="K54" s="44"/>
      <c r="L54" s="48"/>
      <c r="N54" s="49" t="s">
        <v>529</v>
      </c>
    </row>
    <row r="55" spans="1:14" x14ac:dyDescent="0.15">
      <c r="A55" s="40">
        <v>49</v>
      </c>
      <c r="B55" s="5" t="s">
        <v>244</v>
      </c>
      <c r="C55" s="49" t="s">
        <v>483</v>
      </c>
      <c r="D55" s="52">
        <v>0</v>
      </c>
      <c r="F55" s="48">
        <f>ROUND(SUMIF(Определители!I6:I27,"=6",'Базовые цены с учетом расхода'!N6:N27),0)</f>
        <v>0</v>
      </c>
      <c r="G55" s="48"/>
      <c r="H55" s="48"/>
      <c r="I55" s="48"/>
      <c r="J55" s="44"/>
      <c r="K55" s="44"/>
      <c r="L55" s="48"/>
      <c r="N55" s="49" t="s">
        <v>530</v>
      </c>
    </row>
    <row r="56" spans="1:14" x14ac:dyDescent="0.15">
      <c r="A56" s="40">
        <v>50</v>
      </c>
      <c r="B56" s="5" t="s">
        <v>245</v>
      </c>
      <c r="C56" s="49" t="s">
        <v>483</v>
      </c>
      <c r="D56" s="52">
        <v>0</v>
      </c>
      <c r="F56" s="48">
        <f>ROUND(SUMIF(Определители!I6:I27,"=6",'Базовые цены с учетом расхода'!O6:O27),0)</f>
        <v>0</v>
      </c>
      <c r="G56" s="48"/>
      <c r="H56" s="48"/>
      <c r="I56" s="48"/>
      <c r="J56" s="44"/>
      <c r="K56" s="44"/>
      <c r="L56" s="48"/>
      <c r="N56" s="49" t="s">
        <v>531</v>
      </c>
    </row>
    <row r="57" spans="1:14" x14ac:dyDescent="0.15">
      <c r="A57" s="40">
        <v>51</v>
      </c>
      <c r="B57" s="5" t="s">
        <v>258</v>
      </c>
      <c r="C57" s="49" t="s">
        <v>490</v>
      </c>
      <c r="D57" s="52">
        <v>0</v>
      </c>
      <c r="F57" s="48">
        <f>ROUND((F53+F55+F56),0)</f>
        <v>0</v>
      </c>
      <c r="G57" s="48"/>
      <c r="H57" s="48"/>
      <c r="I57" s="48"/>
      <c r="J57" s="44"/>
      <c r="K57" s="44"/>
      <c r="L57" s="48"/>
      <c r="N57" s="49" t="s">
        <v>532</v>
      </c>
    </row>
    <row r="58" spans="1:14" x14ac:dyDescent="0.15">
      <c r="A58" s="40">
        <v>52</v>
      </c>
      <c r="B58" s="5" t="s">
        <v>259</v>
      </c>
      <c r="C58" s="49" t="s">
        <v>483</v>
      </c>
      <c r="D58" s="52">
        <v>0</v>
      </c>
      <c r="F58" s="48">
        <f>ROUND(SUMIF(Определители!I6:I27,"=7",'Базовые цены с учетом расхода'!B6:B27),0)</f>
        <v>0</v>
      </c>
      <c r="G58" s="48">
        <f>ROUND(SUMIF(Определители!I6:I27,"=7",'Базовые цены с учетом расхода'!C6:C27),0)</f>
        <v>0</v>
      </c>
      <c r="H58" s="48">
        <f>ROUND(SUMIF(Определители!I6:I27,"=7",'Базовые цены с учетом расхода'!D6:D27),0)</f>
        <v>0</v>
      </c>
      <c r="I58" s="48">
        <f>ROUND(SUMIF(Определители!I6:I27,"=7",'Базовые цены с учетом расхода'!E6:E27),0)</f>
        <v>0</v>
      </c>
      <c r="J58" s="44">
        <f>ROUND(SUMIF(Определители!I6:I27,"=7",'Базовые цены с учетом расхода'!I6:I27),2)</f>
        <v>0</v>
      </c>
      <c r="K58" s="44">
        <f>ROUND(SUMIF(Определители!I6:I27,"=7",'Базовые цены с учетом расхода'!K6:K27),2)</f>
        <v>0</v>
      </c>
      <c r="L58" s="48">
        <f>ROUND(SUMIF(Определители!I6:I27,"=7",'Базовые цены с учетом расхода'!F6:F27),0)</f>
        <v>0</v>
      </c>
      <c r="N58" s="49" t="s">
        <v>533</v>
      </c>
    </row>
    <row r="59" spans="1:14" x14ac:dyDescent="0.15">
      <c r="A59" s="40">
        <v>53</v>
      </c>
      <c r="B59" s="5" t="s">
        <v>239</v>
      </c>
      <c r="C59" s="49" t="s">
        <v>483</v>
      </c>
      <c r="D59" s="52">
        <v>0</v>
      </c>
      <c r="F59" s="48"/>
      <c r="G59" s="48"/>
      <c r="H59" s="48"/>
      <c r="I59" s="48"/>
      <c r="J59" s="44"/>
      <c r="K59" s="44"/>
      <c r="L59" s="48"/>
      <c r="N59" s="49" t="s">
        <v>534</v>
      </c>
    </row>
    <row r="60" spans="1:14" x14ac:dyDescent="0.15">
      <c r="A60" s="40">
        <v>54</v>
      </c>
      <c r="B60" s="5" t="s">
        <v>260</v>
      </c>
      <c r="C60" s="49" t="s">
        <v>483</v>
      </c>
      <c r="D60" s="52">
        <v>0</v>
      </c>
      <c r="F60" s="48">
        <f ca="1">ROUND(СУММЕСЛИ2(Определители!I6:I27,"2",Определители!G6:G27,"1",'Базовые цены с учетом расхода'!B6:B27),0)</f>
        <v>0</v>
      </c>
      <c r="G60" s="48"/>
      <c r="H60" s="48"/>
      <c r="I60" s="48"/>
      <c r="J60" s="44"/>
      <c r="K60" s="44"/>
      <c r="L60" s="48"/>
      <c r="N60" s="49" t="s">
        <v>535</v>
      </c>
    </row>
    <row r="61" spans="1:14" x14ac:dyDescent="0.15">
      <c r="A61" s="40">
        <v>55</v>
      </c>
      <c r="B61" s="5" t="s">
        <v>243</v>
      </c>
      <c r="C61" s="49" t="s">
        <v>483</v>
      </c>
      <c r="D61" s="52">
        <v>0</v>
      </c>
      <c r="F61" s="48">
        <f>ROUND(SUMIF(Определители!I6:I27,"=7",'Базовые цены с учетом расхода'!H6:H27),0)</f>
        <v>0</v>
      </c>
      <c r="G61" s="48"/>
      <c r="H61" s="48"/>
      <c r="I61" s="48"/>
      <c r="J61" s="44"/>
      <c r="K61" s="44"/>
      <c r="L61" s="48"/>
      <c r="N61" s="49" t="s">
        <v>536</v>
      </c>
    </row>
    <row r="62" spans="1:14" x14ac:dyDescent="0.15">
      <c r="A62" s="40">
        <v>56</v>
      </c>
      <c r="B62" s="5" t="s">
        <v>261</v>
      </c>
      <c r="C62" s="49" t="s">
        <v>483</v>
      </c>
      <c r="D62" s="52">
        <v>0</v>
      </c>
      <c r="F62" s="48">
        <f>ROUND(SUMIF(Определители!I6:I27,"=7",'Базовые цены с учетом расхода'!N6:N27),0)</f>
        <v>0</v>
      </c>
      <c r="G62" s="48"/>
      <c r="H62" s="48"/>
      <c r="I62" s="48"/>
      <c r="J62" s="44"/>
      <c r="K62" s="44"/>
      <c r="L62" s="48"/>
      <c r="N62" s="49" t="s">
        <v>537</v>
      </c>
    </row>
    <row r="63" spans="1:14" x14ac:dyDescent="0.15">
      <c r="A63" s="40">
        <v>57</v>
      </c>
      <c r="B63" s="5" t="s">
        <v>245</v>
      </c>
      <c r="C63" s="49" t="s">
        <v>483</v>
      </c>
      <c r="D63" s="52">
        <v>0</v>
      </c>
      <c r="F63" s="48">
        <f>ROUND(SUMIF(Определители!I6:I27,"=7",'Базовые цены с учетом расхода'!O6:O27),0)</f>
        <v>0</v>
      </c>
      <c r="G63" s="48"/>
      <c r="H63" s="48"/>
      <c r="I63" s="48"/>
      <c r="J63" s="44"/>
      <c r="K63" s="44"/>
      <c r="L63" s="48"/>
      <c r="N63" s="49" t="s">
        <v>538</v>
      </c>
    </row>
    <row r="64" spans="1:14" x14ac:dyDescent="0.15">
      <c r="A64" s="40">
        <v>58</v>
      </c>
      <c r="B64" s="5" t="s">
        <v>262</v>
      </c>
      <c r="C64" s="49" t="s">
        <v>490</v>
      </c>
      <c r="D64" s="52">
        <v>0</v>
      </c>
      <c r="F64" s="48">
        <f>ROUND((F58+F62+F63),0)</f>
        <v>0</v>
      </c>
      <c r="G64" s="48"/>
      <c r="H64" s="48"/>
      <c r="I64" s="48"/>
      <c r="J64" s="44"/>
      <c r="K64" s="44"/>
      <c r="L64" s="48"/>
      <c r="N64" s="49" t="s">
        <v>539</v>
      </c>
    </row>
    <row r="65" spans="1:14" x14ac:dyDescent="0.15">
      <c r="A65" s="40">
        <v>59</v>
      </c>
      <c r="B65" s="5" t="s">
        <v>263</v>
      </c>
      <c r="C65" s="49" t="s">
        <v>483</v>
      </c>
      <c r="D65" s="52">
        <v>0</v>
      </c>
      <c r="F65" s="48">
        <f>ROUND(SUMIF(Определители!I6:I27,"=9",'Базовые цены с учетом расхода'!B6:B27),0)</f>
        <v>0</v>
      </c>
      <c r="G65" s="48">
        <f>ROUND(SUMIF(Определители!I6:I27,"=9",'Базовые цены с учетом расхода'!C6:C27),0)</f>
        <v>0</v>
      </c>
      <c r="H65" s="48">
        <f>ROUND(SUMIF(Определители!I6:I27,"=9",'Базовые цены с учетом расхода'!D6:D27),0)</f>
        <v>0</v>
      </c>
      <c r="I65" s="48">
        <f>ROUND(SUMIF(Определители!I6:I27,"=9",'Базовые цены с учетом расхода'!E6:E27),0)</f>
        <v>0</v>
      </c>
      <c r="J65" s="44">
        <f>ROUND(SUMIF(Определители!I6:I27,"=9",'Базовые цены с учетом расхода'!I6:I27),2)</f>
        <v>0</v>
      </c>
      <c r="K65" s="44">
        <f>ROUND(SUMIF(Определители!I6:I27,"=9",'Базовые цены с учетом расхода'!K6:K27),2)</f>
        <v>0</v>
      </c>
      <c r="L65" s="48">
        <f>ROUND(SUMIF(Определители!I6:I27,"=9",'Базовые цены с учетом расхода'!F6:F27),0)</f>
        <v>0</v>
      </c>
      <c r="N65" s="49" t="s">
        <v>540</v>
      </c>
    </row>
    <row r="66" spans="1:14" x14ac:dyDescent="0.15">
      <c r="A66" s="40">
        <v>60</v>
      </c>
      <c r="B66" s="5" t="s">
        <v>261</v>
      </c>
      <c r="C66" s="49" t="s">
        <v>483</v>
      </c>
      <c r="D66" s="52">
        <v>0</v>
      </c>
      <c r="F66" s="48">
        <f>ROUND(SUMIF(Определители!I6:I27,"=9",'Базовые цены с учетом расхода'!N6:N27),0)</f>
        <v>0</v>
      </c>
      <c r="G66" s="48"/>
      <c r="H66" s="48"/>
      <c r="I66" s="48"/>
      <c r="J66" s="44"/>
      <c r="K66" s="44"/>
      <c r="L66" s="48"/>
      <c r="N66" s="49" t="s">
        <v>541</v>
      </c>
    </row>
    <row r="67" spans="1:14" x14ac:dyDescent="0.15">
      <c r="A67" s="40">
        <v>61</v>
      </c>
      <c r="B67" s="5" t="s">
        <v>245</v>
      </c>
      <c r="C67" s="49" t="s">
        <v>483</v>
      </c>
      <c r="D67" s="52">
        <v>0</v>
      </c>
      <c r="F67" s="48">
        <f>ROUND(SUMIF(Определители!I6:I27,"=9",'Базовые цены с учетом расхода'!O6:O27),0)</f>
        <v>0</v>
      </c>
      <c r="G67" s="48"/>
      <c r="H67" s="48"/>
      <c r="I67" s="48"/>
      <c r="J67" s="44"/>
      <c r="K67" s="44"/>
      <c r="L67" s="48"/>
      <c r="N67" s="49" t="s">
        <v>542</v>
      </c>
    </row>
    <row r="68" spans="1:14" x14ac:dyDescent="0.15">
      <c r="A68" s="40">
        <v>62</v>
      </c>
      <c r="B68" s="5" t="s">
        <v>264</v>
      </c>
      <c r="C68" s="49" t="s">
        <v>490</v>
      </c>
      <c r="D68" s="52">
        <v>0</v>
      </c>
      <c r="F68" s="48">
        <f>ROUND((F65+F66+F67),0)</f>
        <v>0</v>
      </c>
      <c r="G68" s="48"/>
      <c r="H68" s="48"/>
      <c r="I68" s="48"/>
      <c r="J68" s="44"/>
      <c r="K68" s="44"/>
      <c r="L68" s="48"/>
      <c r="N68" s="49" t="s">
        <v>543</v>
      </c>
    </row>
    <row r="69" spans="1:14" x14ac:dyDescent="0.15">
      <c r="A69" s="40">
        <v>63</v>
      </c>
      <c r="B69" s="5" t="s">
        <v>265</v>
      </c>
      <c r="C69" s="49" t="s">
        <v>483</v>
      </c>
      <c r="D69" s="52">
        <v>0</v>
      </c>
      <c r="F69" s="48">
        <f>ROUND(SUMIF(Определители!I6:I27,"=:",'Базовые цены с учетом расхода'!B6:B27),0)</f>
        <v>0</v>
      </c>
      <c r="G69" s="48">
        <f>ROUND(SUMIF(Определители!I6:I27,"=:",'Базовые цены с учетом расхода'!C6:C27),0)</f>
        <v>0</v>
      </c>
      <c r="H69" s="48">
        <f>ROUND(SUMIF(Определители!I6:I27,"=:",'Базовые цены с учетом расхода'!D6:D27),0)</f>
        <v>0</v>
      </c>
      <c r="I69" s="48">
        <f>ROUND(SUMIF(Определители!I6:I27,"=:",'Базовые цены с учетом расхода'!E6:E27),0)</f>
        <v>0</v>
      </c>
      <c r="J69" s="44">
        <f>ROUND(SUMIF(Определители!I6:I27,"=:",'Базовые цены с учетом расхода'!I6:I27),2)</f>
        <v>0</v>
      </c>
      <c r="K69" s="44">
        <f>ROUND(SUMIF(Определители!I6:I27,"=:",'Базовые цены с учетом расхода'!K6:K27),2)</f>
        <v>0</v>
      </c>
      <c r="L69" s="48">
        <f>ROUND(SUMIF(Определители!I6:I27,"=:",'Базовые цены с учетом расхода'!F6:F27),0)</f>
        <v>0</v>
      </c>
      <c r="N69" s="49" t="s">
        <v>544</v>
      </c>
    </row>
    <row r="70" spans="1:14" x14ac:dyDescent="0.15">
      <c r="A70" s="40">
        <v>64</v>
      </c>
      <c r="B70" s="5" t="s">
        <v>243</v>
      </c>
      <c r="C70" s="49" t="s">
        <v>483</v>
      </c>
      <c r="D70" s="52">
        <v>0</v>
      </c>
      <c r="F70" s="48">
        <f>ROUND(SUMIF(Определители!I6:I27,"=:",'Базовые цены с учетом расхода'!H6:H27),0)</f>
        <v>0</v>
      </c>
      <c r="G70" s="48"/>
      <c r="H70" s="48"/>
      <c r="I70" s="48"/>
      <c r="J70" s="44"/>
      <c r="K70" s="44"/>
      <c r="L70" s="48"/>
      <c r="N70" s="49" t="s">
        <v>545</v>
      </c>
    </row>
    <row r="71" spans="1:14" x14ac:dyDescent="0.15">
      <c r="A71" s="40">
        <v>65</v>
      </c>
      <c r="B71" s="5" t="s">
        <v>261</v>
      </c>
      <c r="C71" s="49" t="s">
        <v>483</v>
      </c>
      <c r="D71" s="52">
        <v>0</v>
      </c>
      <c r="F71" s="48">
        <f>ROUND(SUMIF(Определители!I6:I27,"=:",'Базовые цены с учетом расхода'!N6:N27),0)</f>
        <v>0</v>
      </c>
      <c r="G71" s="48"/>
      <c r="H71" s="48"/>
      <c r="I71" s="48"/>
      <c r="J71" s="44"/>
      <c r="K71" s="44"/>
      <c r="L71" s="48"/>
      <c r="N71" s="49" t="s">
        <v>546</v>
      </c>
    </row>
    <row r="72" spans="1:14" x14ac:dyDescent="0.15">
      <c r="A72" s="40">
        <v>66</v>
      </c>
      <c r="B72" s="5" t="s">
        <v>245</v>
      </c>
      <c r="C72" s="49" t="s">
        <v>483</v>
      </c>
      <c r="D72" s="52">
        <v>0</v>
      </c>
      <c r="F72" s="48">
        <f>ROUND(SUMIF(Определители!I6:I27,"=:",'Базовые цены с учетом расхода'!O6:O27),0)</f>
        <v>0</v>
      </c>
      <c r="G72" s="48"/>
      <c r="H72" s="48"/>
      <c r="I72" s="48"/>
      <c r="J72" s="44"/>
      <c r="K72" s="44"/>
      <c r="L72" s="48"/>
      <c r="N72" s="49" t="s">
        <v>547</v>
      </c>
    </row>
    <row r="73" spans="1:14" x14ac:dyDescent="0.15">
      <c r="A73" s="40">
        <v>67</v>
      </c>
      <c r="B73" s="5" t="s">
        <v>266</v>
      </c>
      <c r="C73" s="49" t="s">
        <v>490</v>
      </c>
      <c r="D73" s="52">
        <v>0</v>
      </c>
      <c r="F73" s="48">
        <f>ROUND((F69+F71+F72),0)</f>
        <v>0</v>
      </c>
      <c r="G73" s="48"/>
      <c r="H73" s="48"/>
      <c r="I73" s="48"/>
      <c r="J73" s="44"/>
      <c r="K73" s="44"/>
      <c r="L73" s="48"/>
      <c r="N73" s="49" t="s">
        <v>548</v>
      </c>
    </row>
    <row r="74" spans="1:14" x14ac:dyDescent="0.15">
      <c r="A74" s="40">
        <v>68</v>
      </c>
      <c r="B74" s="5" t="s">
        <v>267</v>
      </c>
      <c r="C74" s="49" t="s">
        <v>483</v>
      </c>
      <c r="D74" s="52">
        <v>0</v>
      </c>
      <c r="F74" s="48">
        <f>ROUND(SUMIF(Определители!I6:I27,"=8",'Базовые цены с учетом расхода'!B6:B27),0)</f>
        <v>0</v>
      </c>
      <c r="G74" s="48">
        <f>ROUND(SUMIF(Определители!I6:I27,"=8",'Базовые цены с учетом расхода'!C6:C27),0)</f>
        <v>0</v>
      </c>
      <c r="H74" s="48">
        <f>ROUND(SUMIF(Определители!I6:I27,"=8",'Базовые цены с учетом расхода'!D6:D27),0)</f>
        <v>0</v>
      </c>
      <c r="I74" s="48">
        <f>ROUND(SUMIF(Определители!I6:I27,"=8",'Базовые цены с учетом расхода'!E6:E27),0)</f>
        <v>0</v>
      </c>
      <c r="J74" s="44">
        <f>ROUND(SUMIF(Определители!I6:I27,"=8",'Базовые цены с учетом расхода'!I6:I27),2)</f>
        <v>0</v>
      </c>
      <c r="K74" s="44">
        <f>ROUND(SUMIF(Определители!I6:I27,"=8",'Базовые цены с учетом расхода'!K6:K27),2)</f>
        <v>0</v>
      </c>
      <c r="L74" s="48">
        <f>ROUND(SUMIF(Определители!I6:I27,"=8",'Базовые цены с учетом расхода'!F6:F27),0)</f>
        <v>0</v>
      </c>
      <c r="N74" s="49" t="s">
        <v>549</v>
      </c>
    </row>
    <row r="75" spans="1:14" x14ac:dyDescent="0.15">
      <c r="A75" s="40">
        <v>69</v>
      </c>
      <c r="B75" s="5" t="s">
        <v>243</v>
      </c>
      <c r="C75" s="49" t="s">
        <v>483</v>
      </c>
      <c r="D75" s="52">
        <v>0</v>
      </c>
      <c r="F75" s="48">
        <f>ROUND(SUMIF(Определители!I6:I27,"=8",'Базовые цены с учетом расхода'!H6:H27),0)</f>
        <v>0</v>
      </c>
      <c r="G75" s="48"/>
      <c r="H75" s="48"/>
      <c r="I75" s="48"/>
      <c r="J75" s="44"/>
      <c r="K75" s="44"/>
      <c r="L75" s="48"/>
      <c r="N75" s="49" t="s">
        <v>550</v>
      </c>
    </row>
    <row r="76" spans="1:14" x14ac:dyDescent="0.15">
      <c r="A76" s="40">
        <v>70</v>
      </c>
      <c r="B76" s="5" t="s">
        <v>268</v>
      </c>
      <c r="C76" s="49" t="s">
        <v>490</v>
      </c>
      <c r="D76" s="52">
        <v>0</v>
      </c>
      <c r="F76" s="48">
        <f ca="1">ROUND((F17+F27+F34+F39+F47+F52+F57+F64+F68+F73+F74),0)</f>
        <v>0</v>
      </c>
      <c r="G76" s="48">
        <f>ROUND((G17+G27+G34+G39+G47+G52+G57+G64+G68+G73+G74),0)</f>
        <v>0</v>
      </c>
      <c r="H76" s="48">
        <f>ROUND((H17+H27+H34+H39+H47+H52+H57+H64+H68+H73+H74),0)</f>
        <v>0</v>
      </c>
      <c r="I76" s="48">
        <f>ROUND((I17+I27+I34+I39+I47+I52+I57+I64+I68+I73+I74),0)</f>
        <v>0</v>
      </c>
      <c r="J76" s="44">
        <f>ROUND((J17+J27+J34+J39+J47+J52+J57+J64+J68+J73+J74),2)</f>
        <v>0</v>
      </c>
      <c r="K76" s="44">
        <f>ROUND((K17+K27+K34+K39+K47+K52+K57+K64+K68+K73+K74),2)</f>
        <v>0</v>
      </c>
      <c r="L76" s="48">
        <f>ROUND((L17+L27+L34+L39+L47+L52+L57+L64+L68+L73+L74),0)</f>
        <v>0</v>
      </c>
      <c r="N76" s="49" t="s">
        <v>551</v>
      </c>
    </row>
    <row r="77" spans="1:14" x14ac:dyDescent="0.15">
      <c r="A77" s="40">
        <v>71</v>
      </c>
      <c r="B77" s="5" t="s">
        <v>269</v>
      </c>
      <c r="C77" s="49" t="s">
        <v>490</v>
      </c>
      <c r="D77" s="52">
        <v>0</v>
      </c>
      <c r="F77" s="48">
        <f>ROUND((F23+F31+F36+F43+F49+F54+F61+F70+F75),0)</f>
        <v>0</v>
      </c>
      <c r="G77" s="48"/>
      <c r="H77" s="48"/>
      <c r="I77" s="48"/>
      <c r="J77" s="44"/>
      <c r="K77" s="44"/>
      <c r="L77" s="48"/>
      <c r="N77" s="49" t="s">
        <v>552</v>
      </c>
    </row>
    <row r="78" spans="1:14" x14ac:dyDescent="0.15">
      <c r="A78" s="40">
        <v>72</v>
      </c>
      <c r="B78" s="5" t="s">
        <v>270</v>
      </c>
      <c r="C78" s="49" t="s">
        <v>490</v>
      </c>
      <c r="D78" s="52">
        <v>0</v>
      </c>
      <c r="F78" s="48">
        <f>ROUND((F24+F32+F37+F44+F50+F55+F62+F66+F71),0)</f>
        <v>0</v>
      </c>
      <c r="G78" s="48"/>
      <c r="H78" s="48"/>
      <c r="I78" s="48"/>
      <c r="J78" s="44"/>
      <c r="K78" s="44"/>
      <c r="L78" s="48"/>
      <c r="N78" s="49" t="s">
        <v>553</v>
      </c>
    </row>
    <row r="79" spans="1:14" x14ac:dyDescent="0.15">
      <c r="A79" s="40">
        <v>73</v>
      </c>
      <c r="B79" s="5" t="s">
        <v>271</v>
      </c>
      <c r="C79" s="49" t="s">
        <v>490</v>
      </c>
      <c r="D79" s="52">
        <v>0</v>
      </c>
      <c r="F79" s="48">
        <f>ROUND((F25+F33+F38+F45+F51+F56+F63+F67+F72),0)</f>
        <v>0</v>
      </c>
      <c r="G79" s="48"/>
      <c r="H79" s="48"/>
      <c r="I79" s="48"/>
      <c r="J79" s="44"/>
      <c r="K79" s="44"/>
      <c r="L79" s="48"/>
      <c r="N79" s="49" t="s">
        <v>554</v>
      </c>
    </row>
    <row r="80" spans="1:14" x14ac:dyDescent="0.15">
      <c r="A80" s="40">
        <v>74</v>
      </c>
      <c r="C80" s="49" t="s">
        <v>555</v>
      </c>
      <c r="D80" s="52">
        <v>100</v>
      </c>
      <c r="F80" s="48">
        <f>ROUND((F78)*D80,0)</f>
        <v>0</v>
      </c>
      <c r="G80" s="48"/>
      <c r="H80" s="48"/>
      <c r="I80" s="48"/>
      <c r="J80" s="44"/>
      <c r="K80" s="44"/>
      <c r="L80" s="48"/>
      <c r="N80" s="49" t="s">
        <v>556</v>
      </c>
    </row>
    <row r="81" spans="1:14" x14ac:dyDescent="0.15">
      <c r="A81" s="40">
        <v>75</v>
      </c>
      <c r="B81" s="5" t="s">
        <v>272</v>
      </c>
      <c r="C81" s="49" t="s">
        <v>557</v>
      </c>
      <c r="D81" s="52">
        <v>0</v>
      </c>
      <c r="F81" s="48" t="e">
        <f>ROUND((F80/F87),0)</f>
        <v>#DIV/0!</v>
      </c>
      <c r="G81" s="48"/>
      <c r="H81" s="48"/>
      <c r="I81" s="48"/>
      <c r="J81" s="44"/>
      <c r="K81" s="44"/>
      <c r="L81" s="48"/>
      <c r="N81" s="49" t="s">
        <v>558</v>
      </c>
    </row>
    <row r="82" spans="1:14" x14ac:dyDescent="0.15">
      <c r="A82" s="40">
        <v>76</v>
      </c>
      <c r="C82" s="49" t="s">
        <v>555</v>
      </c>
      <c r="D82" s="52">
        <v>100</v>
      </c>
      <c r="F82" s="48">
        <f>ROUND((F79)*D82,0)</f>
        <v>0</v>
      </c>
      <c r="G82" s="48"/>
      <c r="H82" s="48"/>
      <c r="I82" s="48"/>
      <c r="J82" s="44"/>
      <c r="K82" s="44"/>
      <c r="L82" s="48"/>
      <c r="N82" s="49" t="s">
        <v>559</v>
      </c>
    </row>
    <row r="83" spans="1:14" x14ac:dyDescent="0.15">
      <c r="A83" s="40">
        <v>77</v>
      </c>
      <c r="B83" s="5" t="s">
        <v>273</v>
      </c>
      <c r="C83" s="49" t="s">
        <v>557</v>
      </c>
      <c r="D83" s="52">
        <v>0</v>
      </c>
      <c r="F83" s="48" t="e">
        <f>ROUND((F82/F87),0)</f>
        <v>#DIV/0!</v>
      </c>
      <c r="G83" s="48"/>
      <c r="H83" s="48"/>
      <c r="I83" s="48"/>
      <c r="J83" s="44"/>
      <c r="K83" s="44"/>
      <c r="L83" s="48"/>
      <c r="N83" s="49" t="s">
        <v>560</v>
      </c>
    </row>
    <row r="84" spans="1:14" x14ac:dyDescent="0.15">
      <c r="A84" s="40">
        <v>78</v>
      </c>
      <c r="B84" s="5" t="s">
        <v>274</v>
      </c>
      <c r="C84" s="49" t="s">
        <v>561</v>
      </c>
      <c r="D84" s="52">
        <v>0</v>
      </c>
      <c r="F84" s="48"/>
      <c r="G84" s="48"/>
      <c r="H84" s="48"/>
      <c r="I84" s="48"/>
      <c r="J84" s="44"/>
      <c r="K84" s="44"/>
      <c r="L84" s="48">
        <f>ROUND(SUM('Базовые цены с учетом расхода'!X6:X27),0)</f>
        <v>0</v>
      </c>
      <c r="N84" s="49" t="s">
        <v>562</v>
      </c>
    </row>
    <row r="85" spans="1:14" x14ac:dyDescent="0.15">
      <c r="A85" s="40">
        <v>79</v>
      </c>
      <c r="B85" s="5" t="s">
        <v>275</v>
      </c>
      <c r="C85" s="49" t="s">
        <v>561</v>
      </c>
      <c r="D85" s="52">
        <v>0</v>
      </c>
      <c r="F85" s="48">
        <f>ROUND(SUM('Базовые цены с учетом расхода'!C6:C27),0)</f>
        <v>0</v>
      </c>
      <c r="G85" s="48"/>
      <c r="H85" s="48"/>
      <c r="I85" s="48"/>
      <c r="J85" s="44"/>
      <c r="K85" s="44"/>
      <c r="L85" s="48"/>
      <c r="N85" s="49" t="s">
        <v>563</v>
      </c>
    </row>
    <row r="86" spans="1:14" x14ac:dyDescent="0.15">
      <c r="A86" s="40">
        <v>80</v>
      </c>
      <c r="B86" s="5" t="s">
        <v>276</v>
      </c>
      <c r="C86" s="49" t="s">
        <v>561</v>
      </c>
      <c r="D86" s="52">
        <v>0</v>
      </c>
      <c r="F86" s="48">
        <f>ROUND(SUM('Базовые цены с учетом расхода'!E6:E27),0)</f>
        <v>0</v>
      </c>
      <c r="G86" s="48"/>
      <c r="H86" s="48"/>
      <c r="I86" s="48"/>
      <c r="J86" s="44"/>
      <c r="K86" s="44"/>
      <c r="L86" s="48"/>
      <c r="N86" s="49" t="s">
        <v>564</v>
      </c>
    </row>
    <row r="87" spans="1:14" x14ac:dyDescent="0.15">
      <c r="A87" s="40">
        <v>81</v>
      </c>
      <c r="B87" s="5" t="s">
        <v>277</v>
      </c>
      <c r="C87" s="49" t="s">
        <v>89</v>
      </c>
      <c r="D87" s="52">
        <v>0</v>
      </c>
      <c r="F87" s="48">
        <f>ROUND((F85+F86),0)</f>
        <v>0</v>
      </c>
      <c r="G87" s="48"/>
      <c r="H87" s="48"/>
      <c r="I87" s="48"/>
      <c r="J87" s="44"/>
      <c r="K87" s="44"/>
      <c r="L87" s="48"/>
      <c r="N87" s="49" t="s">
        <v>565</v>
      </c>
    </row>
    <row r="88" spans="1:14" x14ac:dyDescent="0.15">
      <c r="A88" s="40">
        <v>82</v>
      </c>
      <c r="B88" s="5" t="s">
        <v>278</v>
      </c>
      <c r="C88" s="49" t="s">
        <v>561</v>
      </c>
      <c r="D88" s="52">
        <v>0</v>
      </c>
      <c r="F88" s="48">
        <f>ROUND(SUM('Базовые цены с учетом расхода'!I6:I27),0)</f>
        <v>0</v>
      </c>
      <c r="G88" s="48"/>
      <c r="H88" s="48"/>
      <c r="I88" s="48"/>
      <c r="J88" s="44">
        <f>ROUND(SUM('Базовые цены с учетом расхода'!I6:I27),2)</f>
        <v>0</v>
      </c>
      <c r="K88" s="44"/>
      <c r="L88" s="48"/>
      <c r="N88" s="49" t="s">
        <v>566</v>
      </c>
    </row>
    <row r="89" spans="1:14" x14ac:dyDescent="0.15">
      <c r="A89" s="40">
        <v>83</v>
      </c>
      <c r="B89" s="5" t="s">
        <v>279</v>
      </c>
      <c r="C89" s="49" t="s">
        <v>561</v>
      </c>
      <c r="D89" s="52">
        <v>0</v>
      </c>
      <c r="F89" s="48">
        <f>ROUND(SUM('Базовые цены с учетом расхода'!K6:K27),0)</f>
        <v>0</v>
      </c>
      <c r="G89" s="48"/>
      <c r="H89" s="48"/>
      <c r="I89" s="48"/>
      <c r="J89" s="44"/>
      <c r="K89" s="44">
        <f>ROUND(SUM('Базовые цены с учетом расхода'!K6:K27),2)</f>
        <v>0</v>
      </c>
      <c r="L89" s="48"/>
      <c r="N89" s="49" t="s">
        <v>567</v>
      </c>
    </row>
    <row r="90" spans="1:14" x14ac:dyDescent="0.15">
      <c r="A90" s="40">
        <v>84</v>
      </c>
      <c r="B90" s="5" t="s">
        <v>280</v>
      </c>
      <c r="C90" s="49" t="s">
        <v>89</v>
      </c>
      <c r="D90" s="52">
        <v>0</v>
      </c>
      <c r="F90" s="48">
        <f>ROUND(SUM(G90:N90),0)</f>
        <v>0</v>
      </c>
      <c r="G90" s="48"/>
      <c r="H90" s="48"/>
      <c r="I90" s="48"/>
      <c r="J90" s="44">
        <f>ROUND((J88+J89),2)</f>
        <v>0</v>
      </c>
      <c r="K90" s="44">
        <f>ROUND((K88+K89),2)</f>
        <v>0</v>
      </c>
      <c r="L90" s="48"/>
      <c r="N90" s="49" t="s">
        <v>568</v>
      </c>
    </row>
    <row r="91" spans="1:14" x14ac:dyDescent="0.15">
      <c r="A91" s="40">
        <v>85</v>
      </c>
      <c r="B91" s="5" t="s">
        <v>281</v>
      </c>
      <c r="C91" s="49" t="s">
        <v>569</v>
      </c>
      <c r="D91" s="52">
        <v>0</v>
      </c>
      <c r="F91" s="48">
        <f ca="1">ROUND((F76)*D91/100,0)</f>
        <v>0</v>
      </c>
      <c r="G91" s="48"/>
      <c r="H91" s="48"/>
      <c r="I91" s="48"/>
      <c r="J91" s="44"/>
      <c r="K91" s="44"/>
      <c r="L91" s="48"/>
      <c r="N91" s="49" t="s">
        <v>570</v>
      </c>
    </row>
    <row r="92" spans="1:14" x14ac:dyDescent="0.15">
      <c r="A92" s="40">
        <v>86</v>
      </c>
      <c r="B92" s="5" t="s">
        <v>282</v>
      </c>
      <c r="C92" s="49" t="s">
        <v>89</v>
      </c>
      <c r="D92" s="52">
        <v>0</v>
      </c>
      <c r="F92" s="48">
        <f ca="1">ROUND((F91+F76),0)</f>
        <v>0</v>
      </c>
      <c r="G92" s="48"/>
      <c r="H92" s="48"/>
      <c r="I92" s="48"/>
      <c r="J92" s="44"/>
      <c r="K92" s="44"/>
      <c r="L92" s="48"/>
      <c r="N92" s="49" t="s">
        <v>571</v>
      </c>
    </row>
    <row r="93" spans="1:14" x14ac:dyDescent="0.15">
      <c r="A93" s="40">
        <v>87</v>
      </c>
      <c r="B93" s="5" t="s">
        <v>283</v>
      </c>
      <c r="C93" s="49" t="s">
        <v>555</v>
      </c>
      <c r="D93" s="52">
        <v>5.2786429999999998</v>
      </c>
      <c r="F93" s="48">
        <f ca="1">ROUND((F92)*D93,0)</f>
        <v>0</v>
      </c>
      <c r="G93" s="48"/>
      <c r="H93" s="48"/>
      <c r="I93" s="48"/>
      <c r="J93" s="44"/>
      <c r="K93" s="44"/>
      <c r="L93" s="48"/>
      <c r="N93" s="49" t="s">
        <v>572</v>
      </c>
    </row>
    <row r="94" spans="1:14" x14ac:dyDescent="0.15">
      <c r="A94" s="40">
        <v>88</v>
      </c>
      <c r="B94" s="5" t="s">
        <v>284</v>
      </c>
      <c r="C94" s="49" t="s">
        <v>569</v>
      </c>
      <c r="D94" s="52">
        <v>18</v>
      </c>
      <c r="F94" s="48">
        <f ca="1">ROUND((F93)*D94/100,0)</f>
        <v>0</v>
      </c>
      <c r="G94" s="48"/>
      <c r="H94" s="48"/>
      <c r="I94" s="48"/>
      <c r="J94" s="44"/>
      <c r="K94" s="44"/>
      <c r="L94" s="48"/>
      <c r="N94" s="49" t="s">
        <v>573</v>
      </c>
    </row>
    <row r="95" spans="1:14" x14ac:dyDescent="0.15">
      <c r="A95" s="40">
        <v>89</v>
      </c>
      <c r="B95" s="5" t="s">
        <v>285</v>
      </c>
      <c r="C95" s="49" t="s">
        <v>89</v>
      </c>
      <c r="D95" s="52">
        <v>0</v>
      </c>
      <c r="F95" s="48">
        <f ca="1">ROUND((F94+F93),0)</f>
        <v>0</v>
      </c>
      <c r="G95" s="48"/>
      <c r="H95" s="48"/>
      <c r="I95" s="48"/>
      <c r="J95" s="44"/>
      <c r="K95" s="44"/>
      <c r="L95" s="48"/>
      <c r="N95" s="49" t="s">
        <v>574</v>
      </c>
    </row>
  </sheetData>
  <mergeCells count="4">
    <mergeCell ref="A2:K2"/>
    <mergeCell ref="B3:K3"/>
    <mergeCell ref="B4:K4"/>
    <mergeCell ref="A5:K5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Форма по МДС 81-35.2004</vt:lpstr>
      <vt:lpstr>Ресурсы</vt:lpstr>
      <vt:lpstr>Базовые цены за единицу</vt:lpstr>
      <vt:lpstr>Текущие цены за единицу</vt:lpstr>
      <vt:lpstr>Базовые цены с учетом расхода</vt:lpstr>
      <vt:lpstr>Текущие цены с учетом расхода</vt:lpstr>
      <vt:lpstr>Начисления</vt:lpstr>
      <vt:lpstr>Определители</vt:lpstr>
      <vt:lpstr>Базовые концовки</vt:lpstr>
      <vt:lpstr>Текущие концовки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lebedev</dc:creator>
  <cp:lastModifiedBy>lebedev</cp:lastModifiedBy>
  <cp:lastPrinted>2011-04-20T11:08:26Z</cp:lastPrinted>
  <dcterms:created xsi:type="dcterms:W3CDTF">2011-04-20T10:09:45Z</dcterms:created>
  <dcterms:modified xsi:type="dcterms:W3CDTF">2019-05-17T09:48:46Z</dcterms:modified>
</cp:coreProperties>
</file>