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7" i="1" l="1"/>
  <c r="G185" i="1"/>
  <c r="H185" i="1" s="1"/>
  <c r="F176" i="1"/>
  <c r="F177" i="1" s="1"/>
  <c r="E176" i="1"/>
  <c r="E177" i="1" s="1"/>
  <c r="D176" i="1"/>
  <c r="D177" i="1" s="1"/>
  <c r="G174" i="1"/>
  <c r="H174" i="1" s="1"/>
  <c r="G173" i="1"/>
  <c r="H173" i="1" s="1"/>
  <c r="G172" i="1"/>
  <c r="H172" i="1" s="1"/>
  <c r="G170" i="1"/>
  <c r="H170" i="1" s="1"/>
  <c r="H141" i="1"/>
  <c r="G141" i="1"/>
  <c r="H137" i="1"/>
  <c r="G136" i="1"/>
  <c r="H135" i="1"/>
  <c r="H134" i="1"/>
  <c r="G128" i="1"/>
  <c r="H128" i="1" s="1"/>
  <c r="G124" i="1"/>
  <c r="H124" i="1" s="1"/>
  <c r="G123" i="1"/>
  <c r="H123" i="1" s="1"/>
  <c r="G122" i="1"/>
  <c r="H122" i="1" s="1"/>
  <c r="F114" i="1"/>
  <c r="E114" i="1"/>
  <c r="D114" i="1"/>
  <c r="H112" i="1"/>
  <c r="H111" i="1"/>
  <c r="H110" i="1"/>
  <c r="H109" i="1"/>
  <c r="H102" i="1"/>
  <c r="G101" i="1"/>
  <c r="H101" i="1" s="1"/>
  <c r="G100" i="1"/>
  <c r="H100" i="1" s="1"/>
  <c r="G99" i="1"/>
  <c r="H99" i="1" s="1"/>
  <c r="G98" i="1"/>
  <c r="H98" i="1" s="1"/>
  <c r="G97" i="1"/>
  <c r="G96" i="1"/>
  <c r="G90" i="1"/>
  <c r="F90" i="1"/>
  <c r="G89" i="1"/>
  <c r="F89" i="1"/>
  <c r="G88" i="1"/>
  <c r="F88" i="1"/>
  <c r="H78" i="1"/>
  <c r="G77" i="1"/>
  <c r="F77" i="1"/>
  <c r="E77" i="1"/>
  <c r="G76" i="1"/>
  <c r="F75" i="1"/>
  <c r="F76" i="1" s="1"/>
  <c r="E75" i="1"/>
  <c r="E76" i="1" s="1"/>
  <c r="D75" i="1"/>
  <c r="D76" i="1" s="1"/>
  <c r="H74" i="1"/>
  <c r="H73" i="1"/>
  <c r="H72" i="1"/>
  <c r="H71" i="1"/>
  <c r="H70" i="1"/>
  <c r="H69" i="1"/>
  <c r="H67" i="1"/>
  <c r="G66" i="1"/>
  <c r="F66" i="1"/>
  <c r="E66" i="1"/>
  <c r="H66" i="1" s="1"/>
  <c r="G65" i="1"/>
  <c r="F65" i="1"/>
  <c r="E65" i="1"/>
  <c r="H64" i="1"/>
  <c r="H65" i="1" s="1"/>
  <c r="D64" i="1"/>
  <c r="D65" i="1" s="1"/>
  <c r="H63" i="1"/>
  <c r="H62" i="1"/>
  <c r="H60" i="1"/>
  <c r="H59" i="1"/>
  <c r="G59" i="1"/>
  <c r="F59" i="1"/>
  <c r="E59" i="1"/>
  <c r="D59" i="1"/>
  <c r="G58" i="1"/>
  <c r="F58" i="1"/>
  <c r="D58" i="1"/>
  <c r="E57" i="1"/>
  <c r="E58" i="1" s="1"/>
  <c r="D57" i="1"/>
  <c r="H56" i="1"/>
  <c r="H57" i="1" s="1"/>
  <c r="H58" i="1" s="1"/>
  <c r="G50" i="1"/>
  <c r="G54" i="1" s="1"/>
  <c r="G82" i="1" s="1"/>
  <c r="F50" i="1"/>
  <c r="F54" i="1" s="1"/>
  <c r="F82" i="1" s="1"/>
  <c r="F94" i="1" s="1"/>
  <c r="F120" i="1" s="1"/>
  <c r="F149" i="1" s="1"/>
  <c r="E50" i="1"/>
  <c r="E54" i="1" s="1"/>
  <c r="E82" i="1" s="1"/>
  <c r="D50" i="1"/>
  <c r="D54" i="1" s="1"/>
  <c r="D82" i="1" s="1"/>
  <c r="G49" i="1"/>
  <c r="G53" i="1" s="1"/>
  <c r="F49" i="1"/>
  <c r="F53" i="1" s="1"/>
  <c r="E49" i="1"/>
  <c r="E53" i="1" s="1"/>
  <c r="D49" i="1"/>
  <c r="D53" i="1" s="1"/>
  <c r="H48" i="1"/>
  <c r="G48" i="1"/>
  <c r="G51" i="1" s="1"/>
  <c r="F48" i="1"/>
  <c r="F52" i="1" s="1"/>
  <c r="E48" i="1"/>
  <c r="E52" i="1" s="1"/>
  <c r="D48" i="1"/>
  <c r="D52" i="1" s="1"/>
  <c r="F44" i="1"/>
  <c r="E43" i="1"/>
  <c r="H42" i="1"/>
  <c r="H41" i="1"/>
  <c r="H40" i="1"/>
  <c r="G39" i="1"/>
  <c r="H39" i="1" s="1"/>
  <c r="G38" i="1"/>
  <c r="H38" i="1" s="1"/>
  <c r="G37" i="1"/>
  <c r="H37" i="1" s="1"/>
  <c r="H36" i="1"/>
  <c r="H35" i="1"/>
  <c r="D34" i="1"/>
  <c r="D43" i="1" s="1"/>
  <c r="H33" i="1"/>
  <c r="H32" i="1"/>
  <c r="H31" i="1"/>
  <c r="H30" i="1"/>
  <c r="H29" i="1"/>
  <c r="H28" i="1"/>
  <c r="H27" i="1"/>
  <c r="G94" i="1" l="1"/>
  <c r="H75" i="1"/>
  <c r="H76" i="1" s="1"/>
  <c r="G171" i="1"/>
  <c r="H171" i="1" s="1"/>
  <c r="G175" i="1"/>
  <c r="H175" i="1" s="1"/>
  <c r="G52" i="1"/>
  <c r="F155" i="1"/>
  <c r="F159" i="1" s="1"/>
  <c r="F164" i="1" s="1"/>
  <c r="F168" i="1" s="1"/>
  <c r="F183" i="1" s="1"/>
  <c r="G81" i="1"/>
  <c r="G93" i="1" s="1"/>
  <c r="D44" i="1"/>
  <c r="D80" i="1" s="1"/>
  <c r="G105" i="1"/>
  <c r="H82" i="1"/>
  <c r="G108" i="1"/>
  <c r="H108" i="1" s="1"/>
  <c r="D86" i="1"/>
  <c r="D51" i="1"/>
  <c r="D79" i="1" s="1"/>
  <c r="F80" i="1"/>
  <c r="F92" i="1" s="1"/>
  <c r="F118" i="1" s="1"/>
  <c r="F147" i="1" s="1"/>
  <c r="G43" i="1"/>
  <c r="H49" i="1"/>
  <c r="H53" i="1" s="1"/>
  <c r="E51" i="1"/>
  <c r="E79" i="1" s="1"/>
  <c r="H52" i="1"/>
  <c r="E86" i="1"/>
  <c r="E90" i="1" s="1"/>
  <c r="E94" i="1" s="1"/>
  <c r="E120" i="1" s="1"/>
  <c r="E149" i="1" s="1"/>
  <c r="H50" i="1"/>
  <c r="F51" i="1"/>
  <c r="F79" i="1" s="1"/>
  <c r="F91" i="1" s="1"/>
  <c r="F117" i="1" s="1"/>
  <c r="F146" i="1" s="1"/>
  <c r="F151" i="1" s="1"/>
  <c r="F152" i="1" s="1"/>
  <c r="F156" i="1" s="1"/>
  <c r="H97" i="1"/>
  <c r="E44" i="1"/>
  <c r="E80" i="1" s="1"/>
  <c r="F81" i="1"/>
  <c r="F93" i="1" s="1"/>
  <c r="F119" i="1" s="1"/>
  <c r="F148" i="1" s="1"/>
  <c r="H34" i="1"/>
  <c r="H43" i="1" s="1"/>
  <c r="D81" i="1"/>
  <c r="E81" i="1"/>
  <c r="G178" i="1"/>
  <c r="H77" i="1"/>
  <c r="G176" i="1"/>
  <c r="H176" i="1" s="1"/>
  <c r="G177" i="1"/>
  <c r="H177" i="1" s="1"/>
  <c r="H96" i="1"/>
  <c r="H136" i="1"/>
  <c r="G179" i="1" l="1"/>
  <c r="E84" i="1"/>
  <c r="G103" i="1"/>
  <c r="D84" i="1"/>
  <c r="G106" i="1"/>
  <c r="H106" i="1" s="1"/>
  <c r="E155" i="1"/>
  <c r="E159" i="1" s="1"/>
  <c r="E164" i="1" s="1"/>
  <c r="E168" i="1" s="1"/>
  <c r="E183" i="1" s="1"/>
  <c r="H44" i="1"/>
  <c r="H178" i="1"/>
  <c r="F153" i="1"/>
  <c r="F157" i="1" s="1"/>
  <c r="F162" i="1" s="1"/>
  <c r="F166" i="1" s="1"/>
  <c r="F181" i="1" s="1"/>
  <c r="H86" i="1"/>
  <c r="D90" i="1"/>
  <c r="G116" i="1"/>
  <c r="H105" i="1"/>
  <c r="G107" i="1"/>
  <c r="H107" i="1" s="1"/>
  <c r="D85" i="1"/>
  <c r="G104" i="1"/>
  <c r="H81" i="1"/>
  <c r="F161" i="1"/>
  <c r="F186" i="1" s="1"/>
  <c r="H51" i="1"/>
  <c r="H79" i="1" s="1"/>
  <c r="H179" i="1"/>
  <c r="E85" i="1"/>
  <c r="E89" i="1" s="1"/>
  <c r="E93" i="1"/>
  <c r="E119" i="1" s="1"/>
  <c r="E148" i="1" s="1"/>
  <c r="F154" i="1"/>
  <c r="F158" i="1" s="1"/>
  <c r="F163" i="1" s="1"/>
  <c r="F167" i="1" s="1"/>
  <c r="F182" i="1" s="1"/>
  <c r="H54" i="1"/>
  <c r="I50" i="1"/>
  <c r="G79" i="1"/>
  <c r="G91" i="1" s="1"/>
  <c r="G44" i="1"/>
  <c r="G80" i="1" s="1"/>
  <c r="G92" i="1" s="1"/>
  <c r="H80" i="1" l="1"/>
  <c r="H116" i="1"/>
  <c r="G120" i="1"/>
  <c r="E154" i="1"/>
  <c r="E158" i="1" s="1"/>
  <c r="E163" i="1" s="1"/>
  <c r="E167" i="1" s="1"/>
  <c r="E182" i="1" s="1"/>
  <c r="H90" i="1"/>
  <c r="D94" i="1"/>
  <c r="E87" i="1"/>
  <c r="E91" i="1" s="1"/>
  <c r="E117" i="1" s="1"/>
  <c r="E146" i="1" s="1"/>
  <c r="E151" i="1" s="1"/>
  <c r="E152" i="1" s="1"/>
  <c r="E156" i="1" s="1"/>
  <c r="E88" i="1"/>
  <c r="E92" i="1" s="1"/>
  <c r="E118" i="1" s="1"/>
  <c r="E147" i="1" s="1"/>
  <c r="D89" i="1"/>
  <c r="H85" i="1"/>
  <c r="H103" i="1"/>
  <c r="G113" i="1"/>
  <c r="H113" i="1" s="1"/>
  <c r="G114" i="1"/>
  <c r="H114" i="1" s="1"/>
  <c r="D88" i="1"/>
  <c r="H84" i="1"/>
  <c r="D87" i="1"/>
  <c r="G118" i="1"/>
  <c r="F165" i="1"/>
  <c r="F180" i="1" s="1"/>
  <c r="H104" i="1"/>
  <c r="G115" i="1"/>
  <c r="H89" i="1" l="1"/>
  <c r="D93" i="1"/>
  <c r="H115" i="1"/>
  <c r="G119" i="1"/>
  <c r="H87" i="1"/>
  <c r="H91" i="1" s="1"/>
  <c r="H117" i="1" s="1"/>
  <c r="D91" i="1"/>
  <c r="D117" i="1" s="1"/>
  <c r="D146" i="1" s="1"/>
  <c r="D151" i="1" s="1"/>
  <c r="E153" i="1"/>
  <c r="E157" i="1" s="1"/>
  <c r="E162" i="1" s="1"/>
  <c r="E166" i="1" s="1"/>
  <c r="E181" i="1" s="1"/>
  <c r="G117" i="1"/>
  <c r="H88" i="1"/>
  <c r="D92" i="1"/>
  <c r="D120" i="1"/>
  <c r="H94" i="1"/>
  <c r="E161" i="1"/>
  <c r="E186" i="1" s="1"/>
  <c r="D118" i="1" l="1"/>
  <c r="H92" i="1"/>
  <c r="D152" i="1"/>
  <c r="D156" i="1" s="1"/>
  <c r="D119" i="1"/>
  <c r="H93" i="1"/>
  <c r="H120" i="1"/>
  <c r="D149" i="1"/>
  <c r="E165" i="1"/>
  <c r="E180" i="1" s="1"/>
  <c r="G140" i="1" l="1"/>
  <c r="G127" i="1"/>
  <c r="D161" i="1"/>
  <c r="D165" i="1" s="1"/>
  <c r="D180" i="1" s="1"/>
  <c r="D155" i="1"/>
  <c r="D148" i="1"/>
  <c r="H119" i="1"/>
  <c r="H118" i="1"/>
  <c r="D147" i="1"/>
  <c r="D153" i="1" l="1"/>
  <c r="H127" i="1"/>
  <c r="G132" i="1"/>
  <c r="H132" i="1" s="1"/>
  <c r="D154" i="1"/>
  <c r="D186" i="1"/>
  <c r="G138" i="1"/>
  <c r="G125" i="1"/>
  <c r="G139" i="1"/>
  <c r="G126" i="1"/>
  <c r="D159" i="1"/>
  <c r="G145" i="1"/>
  <c r="H140" i="1"/>
  <c r="D164" i="1" l="1"/>
  <c r="H138" i="1"/>
  <c r="G142" i="1"/>
  <c r="G143" i="1"/>
  <c r="H126" i="1"/>
  <c r="G131" i="1"/>
  <c r="H131" i="1" s="1"/>
  <c r="G144" i="1"/>
  <c r="H139" i="1"/>
  <c r="G149" i="1"/>
  <c r="H145" i="1"/>
  <c r="H125" i="1"/>
  <c r="H129" i="1" s="1"/>
  <c r="G129" i="1"/>
  <c r="G130" i="1"/>
  <c r="H130" i="1" s="1"/>
  <c r="D158" i="1"/>
  <c r="D157" i="1"/>
  <c r="G146" i="1" l="1"/>
  <c r="G151" i="1" s="1"/>
  <c r="H142" i="1"/>
  <c r="H146" i="1" s="1"/>
  <c r="G152" i="1"/>
  <c r="G156" i="1" s="1"/>
  <c r="H151" i="1"/>
  <c r="H152" i="1" s="1"/>
  <c r="G148" i="1"/>
  <c r="H144" i="1"/>
  <c r="D162" i="1"/>
  <c r="G155" i="1"/>
  <c r="H155" i="1" s="1"/>
  <c r="H149" i="1"/>
  <c r="D163" i="1"/>
  <c r="G147" i="1"/>
  <c r="H143" i="1"/>
  <c r="D168" i="1"/>
  <c r="H156" i="1" l="1"/>
  <c r="G159" i="1"/>
  <c r="G164" i="1"/>
  <c r="H159" i="1"/>
  <c r="G154" i="1"/>
  <c r="H154" i="1" s="1"/>
  <c r="H148" i="1"/>
  <c r="D183" i="1"/>
  <c r="D167" i="1"/>
  <c r="D166" i="1"/>
  <c r="G153" i="1"/>
  <c r="H153" i="1" s="1"/>
  <c r="H147" i="1"/>
  <c r="G165" i="1"/>
  <c r="G180" i="1" s="1"/>
  <c r="G161" i="1"/>
  <c r="G158" i="1" l="1"/>
  <c r="D181" i="1"/>
  <c r="D182" i="1"/>
  <c r="G186" i="1"/>
  <c r="H161" i="1"/>
  <c r="G157" i="1"/>
  <c r="G168" i="1"/>
  <c r="H164" i="1"/>
  <c r="G183" i="1" l="1"/>
  <c r="H183" i="1" s="1"/>
  <c r="H168" i="1"/>
  <c r="H186" i="1"/>
  <c r="H165" i="1"/>
  <c r="H180" i="1" s="1"/>
  <c r="D7" i="1" s="1"/>
  <c r="G162" i="1"/>
  <c r="H157" i="1"/>
  <c r="G163" i="1"/>
  <c r="H158" i="1"/>
  <c r="G166" i="1" l="1"/>
  <c r="H162" i="1"/>
  <c r="G167" i="1"/>
  <c r="H163" i="1"/>
  <c r="G182" i="1" l="1"/>
  <c r="H182" i="1" s="1"/>
  <c r="H167" i="1"/>
  <c r="G181" i="1"/>
  <c r="H181" i="1" s="1"/>
  <c r="H166" i="1"/>
</calcChain>
</file>

<file path=xl/sharedStrings.xml><?xml version="1.0" encoding="utf-8"?>
<sst xmlns="http://schemas.openxmlformats.org/spreadsheetml/2006/main" count="298" uniqueCount="217">
  <si>
    <t>Форма № 1</t>
  </si>
  <si>
    <t xml:space="preserve">Заказчик </t>
  </si>
  <si>
    <t>(наименование организации)</t>
  </si>
  <si>
    <t>"Утвержден" «    »________________2021 г.</t>
  </si>
  <si>
    <t xml:space="preserve">Сводный сметный расчет в сумме </t>
  </si>
  <si>
    <t>тыс. руб.</t>
  </si>
  <si>
    <t>(ссылка на документ об утверждении)</t>
  </si>
  <si>
    <t>«    »________________2021 г.</t>
  </si>
  <si>
    <t>СВОДНЫЙ СМЕТНЫЙ РАСЧЕТ СТОИМОСТИ СТРОИТЕЛЬСТВА</t>
  </si>
  <si>
    <t>(наименование стройки)</t>
  </si>
  <si>
    <t>Составлена в ценах по состоянию на сентябрь 2020г. и на июль 2021г.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</si>
  <si>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</si>
  <si>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</si>
  <si>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</si>
  <si>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стоимость, тыс. руб.</t>
  </si>
  <si>
    <t>Общая сметная стоимость, тыс. руб.</t>
  </si>
  <si>
    <t>строитель-
ных работ</t>
  </si>
  <si>
    <t>монтажных работ</t>
  </si>
  <si>
    <t>оборудования, мебели, инвентаря</t>
  </si>
  <si>
    <t>прочих</t>
  </si>
  <si>
    <t>4</t>
  </si>
  <si>
    <t>5</t>
  </si>
  <si>
    <t>6</t>
  </si>
  <si>
    <t>7</t>
  </si>
  <si>
    <t>8</t>
  </si>
  <si>
    <t>Глава 1. Подготовка территории строительства</t>
  </si>
  <si>
    <t>01-01-01</t>
  </si>
  <si>
    <t>Вырубка деревьев и кустарников в границах ГПЗУ</t>
  </si>
  <si>
    <t>01-02-01</t>
  </si>
  <si>
    <t>Вырубка деревьев и кустарников за границей ГПЗУ</t>
  </si>
  <si>
    <t>01-03-01</t>
  </si>
  <si>
    <t>Демонтаж тепловых сетей</t>
  </si>
  <si>
    <t>01-04-01</t>
  </si>
  <si>
    <t>Наружные сети электроснабжения - Демонтаж</t>
  </si>
  <si>
    <t>01-05-01</t>
  </si>
  <si>
    <t>Вынос кабелей электроснабжения</t>
  </si>
  <si>
    <t>01-06-01</t>
  </si>
  <si>
    <t>Наружные сети связи - Перекладка кабельной канализации</t>
  </si>
  <si>
    <t>01-07-01</t>
  </si>
  <si>
    <t>Вынос линий ПВ</t>
  </si>
  <si>
    <t>01-08-01</t>
  </si>
  <si>
    <t>Археологическая разведка</t>
  </si>
  <si>
    <t>Смета по археологии</t>
  </si>
  <si>
    <t>Проведение археологической разведки по объекту</t>
  </si>
  <si>
    <t>01-09-01</t>
  </si>
  <si>
    <t>Затраты на погрузку отходов</t>
  </si>
  <si>
    <t>ТСН-2001.12 Пр.6 п.1.1.2.</t>
  </si>
  <si>
    <t>Вынос в натуру осей зданий и сооружений</t>
  </si>
  <si>
    <t>Проверка посадки здания</t>
  </si>
  <si>
    <t>Письмо ДС-11-20070/19 от 21.08.2019 о вкл.в  1гл. Затрат на ТУ по РФ</t>
  </si>
  <si>
    <t>Получение и оплата технических условий</t>
  </si>
  <si>
    <t>Постановление Правительства Москвы_x000D_
№ 616-ПП от 29 июля 2003 года</t>
  </si>
  <si>
    <t>Компенсационное озеленение в границах ГПЗУ</t>
  </si>
  <si>
    <t>Смета 656-СТУ/20 от 07.09.2020г.</t>
  </si>
  <si>
    <t>Разработка специальных технических условий</t>
  </si>
  <si>
    <t>Задание на оценку №62 от 15.07.2020</t>
  </si>
  <si>
    <t>Оказание услуг по выполнению оценки рыночной стоимости ликвидируемых инженерных сетей и других сооружений</t>
  </si>
  <si>
    <t>Итого по Главе 1. "Подготовка территории строительства"</t>
  </si>
  <si>
    <t>в т.ч. Утвержденная документация в ценах сентября 2020 г.</t>
  </si>
  <si>
    <t>в т.ч. Исключаемые работы в ценах сентября 2020 г.</t>
  </si>
  <si>
    <t>в т.ч. Добавляемые работы в ценах июля 2021 г.</t>
  </si>
  <si>
    <t>Глава 2. Основные объекты строительства</t>
  </si>
  <si>
    <t>02-01</t>
  </si>
  <si>
    <t xml:space="preserve">Жилой дом - тек (сентябрь 2020 г.) </t>
  </si>
  <si>
    <t>17.1</t>
  </si>
  <si>
    <t>Жилой дом - тек (сентябрь 2020 г.) ИСКЛ</t>
  </si>
  <si>
    <t>17.2</t>
  </si>
  <si>
    <t>Жилой дом - тек (июль 2021 г.) ДОБАВЛ</t>
  </si>
  <si>
    <t>Итого по Главе 2. "Основные объекты строительства"</t>
  </si>
  <si>
    <t>Глава 5. Объекты транспортного хозяйства и связи</t>
  </si>
  <si>
    <t>05-01-01</t>
  </si>
  <si>
    <t>Наружные сети связи</t>
  </si>
  <si>
    <t>Итого по Главе 5. "Объекты транспортного хозяйства и связи"</t>
  </si>
  <si>
    <t>Глава 6. Наружные сети и сооружения водоснабжения, водоотведения, теплоснабжения и газоснабжения</t>
  </si>
  <si>
    <t>06-01-01</t>
  </si>
  <si>
    <t>Наружная канализация</t>
  </si>
  <si>
    <t>06-02-01</t>
  </si>
  <si>
    <t>Дождевая канализация</t>
  </si>
  <si>
    <t>Итого по Главе 6. "Наружные сети и сооружения водоснабжения, водоотведения, теплоснабжения и газоснабжения"</t>
  </si>
  <si>
    <t>Глава 7. Благоустройство и озеленение территории</t>
  </si>
  <si>
    <t>07-01-01</t>
  </si>
  <si>
    <t>Вертикальная планировка</t>
  </si>
  <si>
    <t>07-02-01</t>
  </si>
  <si>
    <t>Озеленение</t>
  </si>
  <si>
    <t>07-03-01</t>
  </si>
  <si>
    <t>Благоустройство</t>
  </si>
  <si>
    <t>07-04-01</t>
  </si>
  <si>
    <t>Наружное освещение</t>
  </si>
  <si>
    <t>07-05-01</t>
  </si>
  <si>
    <t>Дороги и площадки</t>
  </si>
  <si>
    <t>07-06-01</t>
  </si>
  <si>
    <t>Дооборудование существующего забора шумозащитным экраном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</si>
  <si>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</si>
  <si>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</si>
  <si>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</si>
  <si>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ТСН-2001.10 Таблица 1, п1.5</t>
  </si>
  <si>
    <t xml:space="preserve">Временные здания и сооружения  0,8%  (сентябрь 2020 г.) </t>
  </si>
  <si>
    <t>27.1</t>
  </si>
  <si>
    <t>Временные здания и сооружения  0,8% (сентябрь 2020 г.) ИСКЛ</t>
  </si>
  <si>
    <t>27.2</t>
  </si>
  <si>
    <t>Временные здания и сооружения  0,8% (июль 2021 г.) ДОБАВЛ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</si>
  <si>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</si>
  <si>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</si>
  <si>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</si>
  <si>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ТСН-2001.11 Таблица 1 п.8</t>
  </si>
  <si>
    <t xml:space="preserve">Охрана объекта  (4191,56/1,2/12*365*24,4*2) (сентябрь 2020 г.) </t>
  </si>
  <si>
    <t>28.1</t>
  </si>
  <si>
    <t>Охрана объекта  (4191,56/1,2/12*365*24,4*2) (сентябрь 2020 г.) ИСКЛ</t>
  </si>
  <si>
    <t>28.2</t>
  </si>
  <si>
    <t>Охрана объекта  (4191,56/1,2/12*365*17,6*2)  (июль 2021 г.) ДОБАВЛ</t>
  </si>
  <si>
    <t>ТСН-2001.11 Таблица 1 п.6, Приказ ДЭПиР г. Москвы от 12.12.2018 г. № 273-ТР  (Приложение №245-ТР от 06.12.2019г.)</t>
  </si>
  <si>
    <t>Услуги ГУП "Мосводосток" (14,93руб. без НДС) Поверхностные стоки(342,03м3/Га*0,8234Га*24,4мес*14,93) (сентябрь 2020 г.</t>
  </si>
  <si>
    <t>29.1</t>
  </si>
  <si>
    <t>Услуги ГУП "Мосводосток" (14,93руб. без НДС) Поверхностные стоки(342,03м3/Га*0,8234Га*24,4мес*14,93) (сентябрь 2020 г.) ИСКЛ</t>
  </si>
  <si>
    <t>29.2</t>
  </si>
  <si>
    <t>Услуги ГУП "Мосводосток" (14,93руб. без НДС) Поверхностные стоки(342,03м3/Га*0,8234Га*17,6мес*14,93) (июль 2021 г.) ДОБАВЛ</t>
  </si>
  <si>
    <t>ТСН-2001.11, табл. 1, п. 9
Расчёт №1-ТП</t>
  </si>
  <si>
    <t>Затраты Заказчика по подготовке технических планов зданий, помещений и сооружений при вводе объекта в эксплуатацию</t>
  </si>
  <si>
    <t>Постановление  Правительства Москвы от 02.07.2019г. N 309-РП</t>
  </si>
  <si>
    <t xml:space="preserve">Премия за своевременное завершение строительных работ на объектах регионального значения г. Москвы, в том числе объектам, строительство которых осуществляется в целях реализации Программы реновации жилищного фонда в г. Москве 2% по итогу глав 1-7  (сентябрь 2020 г.) </t>
  </si>
  <si>
    <t>31.1</t>
  </si>
  <si>
    <t>Премия за своевременное завершение строительных работ на объектах регионального значения г. Москвы, в том числе объектам, строительство которых осуществляется в целях реализации Программы реновации жилищного фонда в г. Москве 2% по итогу глав 1-7 (сентябрь 2020 г.) ИСКЛ</t>
  </si>
  <si>
    <t>31.2</t>
  </si>
  <si>
    <t>Премия за своевременное завершение строительных работ на объектах регионального значения г. Москвы, в том числе объектам, строительство которых осуществляется в целях реализации Программы реновации жилищного фонда в г. Москве 2% по итогу глав 1-7 (июль 2021 г.) ДОБАВЛ</t>
  </si>
  <si>
    <t>Постановление  Правительства Москвы от 02.07.2019г. N 310-РП</t>
  </si>
  <si>
    <t xml:space="preserve">Затраты на выполнение работ вахтовым методом и перебазирование строительно-монтажных организаций на территорию города Москвы с объекта строительства, находящегося на территории другого субъекта Российской Федерации, в том числе объектов, строительство которых осуществляется в целях реализации Программы реновации жилищного фонда в городе Москве 2,9%  по итогу глав 1-7  (сентябрь 2020 г.) </t>
  </si>
  <si>
    <t>32.1</t>
  </si>
  <si>
    <t>Затраты на выполнение работ вахтовым методом и перебазирование строительно-монтажных организаций на территорию города Москвы с объекта строительства, находящегося на территории другого субъекта Российской Федерации, в том числе объектов, строительство которых осуществляется в целях реализации Программы реновации жилищного фонда в городе Москве 2,9%  по итогу глав 1-7  (сентябрь 2020 г.) ИСКЛ</t>
  </si>
  <si>
    <t>32.2</t>
  </si>
  <si>
    <t>Затраты на выполнение работ вахтовым методом и перебазирование строительно-монтажных организаций на территорию города Москвы с объекта строительства, находящегося на территории другого субъекта Российской Федерации, в том числе объектов, строительство которых осуществляется в целях реализации Программы реновации жилищного фонда в городе Москве 2,9%  по итогу глав 1-7  (июль 2021 г.) ДОБАВЛ</t>
  </si>
  <si>
    <t>Приказ МКЭ-ОД/19-53 от 13.09.2019 г.</t>
  </si>
  <si>
    <t>Расчет максимальной величины затрат на услуги тех.надзора эксплуатирующих и ресурсоснабжающих организаций</t>
  </si>
  <si>
    <t>09-01-01</t>
  </si>
  <si>
    <t>Затраты на пуско-наладочные работы</t>
  </si>
  <si>
    <t>09-02-01</t>
  </si>
  <si>
    <t>Затраты на перевозку</t>
  </si>
  <si>
    <t>09-03-01</t>
  </si>
  <si>
    <t>Прием отходов отходополучателями</t>
  </si>
  <si>
    <t>Итого по Главе 9. "Прочие работы и затраты"</t>
  </si>
  <si>
    <t>Итого по Главам 1-9</t>
  </si>
  <si>
    <t>Глава 10. Содержание службы заказчика. Строительный контроль</t>
  </si>
  <si>
    <t>Приказ Москомэкспертизы от 29.08.2014 № 80  и №29 от 20.03.2014</t>
  </si>
  <si>
    <t xml:space="preserve">Содержание службы заказчика (53957руб*90,1924*1,1) (сентябрь 2020 г.) </t>
  </si>
  <si>
    <t>37.1</t>
  </si>
  <si>
    <t>Содержание службы заказчика (53957руб*90,1924*1,1) (сентябрь 2020 г.) ИСКЛ</t>
  </si>
  <si>
    <t>37.2</t>
  </si>
  <si>
    <t>Содержание службы заказчика (55973руб*90,1924*1,1) (июль 2021 г.) ДОБАВЛ</t>
  </si>
  <si>
    <t xml:space="preserve">Строительный контроль (1,36% от итога глав 1-9) (сентябрь 2020 г.) </t>
  </si>
  <si>
    <t>38.1</t>
  </si>
  <si>
    <t>Строительный контроль (1,36% от итога глав 1-9)  (сентябрь 2020 г.) ИСКЛ</t>
  </si>
  <si>
    <t>38.2</t>
  </si>
  <si>
    <t>Строительный контроль (1,36% от итога глав 1-9)  (июль 2021 г.) ДОБАВЛ</t>
  </si>
  <si>
    <t>Сводная смета  на проведение геодезического мониторинга</t>
  </si>
  <si>
    <t>Мониторинг инженерных систем и конструкций зданий окружающей застройки</t>
  </si>
  <si>
    <t>Итого по Главе 10. "Содержание службы заказчика. Строительный контроль"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</si>
  <si>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</si>
  <si>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Смета</t>
  </si>
  <si>
    <t xml:space="preserve">Проектные работы (сентябрь 2020 г.) </t>
  </si>
  <si>
    <t xml:space="preserve">Изыскательские работы (сентябрь 2020 г.) </t>
  </si>
  <si>
    <t>Договор №Г/769 от29.07.2020г.</t>
  </si>
  <si>
    <t>Экспертиза проектов</t>
  </si>
  <si>
    <t>42.1</t>
  </si>
  <si>
    <t>Договор №Г/1887 от24.08.2021г.</t>
  </si>
  <si>
    <t>Экспертиза проектов (июль 2021 г.) ДОБАВЛ</t>
  </si>
  <si>
    <t>ТСН-2001.12
прил.5, п.12.5</t>
  </si>
  <si>
    <t xml:space="preserve">Согласование проектной-сметной документации  0,15% (сентябрь 2020 г.) </t>
  </si>
  <si>
    <t>43.1</t>
  </si>
  <si>
    <t>Согласование проектной-сметной документации  0,15% (сентябрь 2020 г.) ИСКЛ</t>
  </si>
  <si>
    <t>43.2</t>
  </si>
  <si>
    <t>Согласование проектной-сметной документации  0,15% (июль 2021 г.) ДОБАВЛ</t>
  </si>
  <si>
    <t>44</t>
  </si>
  <si>
    <t>ТСН-2001.12, прил.6, п.12.3</t>
  </si>
  <si>
    <t>Авторский надзор 2,65%</t>
  </si>
  <si>
    <t>Итого по Главе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</si>
  <si>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>Итого по Главам 1-12</t>
  </si>
  <si>
    <t>Непредвиденные затраты</t>
  </si>
  <si>
    <t>ТСН-2001.12, п.2.4.17</t>
  </si>
  <si>
    <t>Резерв средств на непредвиденные работы и затраты 2%</t>
  </si>
  <si>
    <t>Итого "Непредвиденные затраты"</t>
  </si>
  <si>
    <t>Итого по сводному сметному расчету с непредвиденными затратами</t>
  </si>
  <si>
    <t>Налоги и обязательные платежи</t>
  </si>
  <si>
    <t>ТСН-2001.12, О.У. п.2.4.17</t>
  </si>
  <si>
    <t>Налог на добавленную стоимость   -  20%</t>
  </si>
  <si>
    <t>ВСЕГО затрат  по сводному расчету с учетом НДС 20%</t>
  </si>
  <si>
    <t xml:space="preserve">Дополнительные работы и затраты </t>
  </si>
  <si>
    <t>Приказ ДЭПиР г.Москвы от 12.12.2019г № 248-ТР</t>
  </si>
  <si>
    <t xml:space="preserve">Затраты на технологическое присоединение на период строительства к электрическим сетям без НДС (592,47руб.* 248,63кВт)) (сентябрь 2020 г.) </t>
  </si>
  <si>
    <t xml:space="preserve">НДС 20% (сентябрь 2020 г.) </t>
  </si>
  <si>
    <t>47.1</t>
  </si>
  <si>
    <t>Затраты на технологическое присоединение на период строительства к электрическим сетям без НДС (592,47руб.* 248,63кВт)) (сентябрь 2020 г.) ИСКЛ</t>
  </si>
  <si>
    <t>48.1</t>
  </si>
  <si>
    <t>НДС 20% (сентябрь 2020 г.) ИСКЛ</t>
  </si>
  <si>
    <t>47.2</t>
  </si>
  <si>
    <t>Приказ ДЭПиР г.Москвы от 23.12.2020г № 417-ТР</t>
  </si>
  <si>
    <t>Затраты на технологическое присоединение на период строительства к электрическим сетям без НДС (1583,34руб.* 288,42кВт)) (июль 2021 г.) ДОБАВЛ</t>
  </si>
  <si>
    <t>НДС 20% (июль 2021 г.) ДОБАВЛ</t>
  </si>
  <si>
    <t xml:space="preserve">Итого  Дополнительные работы и затраты </t>
  </si>
  <si>
    <t>Всего по сводному сметному расчету с НДС 20%</t>
  </si>
  <si>
    <t>в том числе:</t>
  </si>
  <si>
    <t>Проектно-изыскательские работы без НДС</t>
  </si>
  <si>
    <t>НДС 20%</t>
  </si>
  <si>
    <t>13-01-01</t>
  </si>
  <si>
    <t>Возвратные суммы (справочно)</t>
  </si>
  <si>
    <t>Технологическое присоединение к инженерным сетям:</t>
  </si>
  <si>
    <t>Договор №ИА-20-302-23(996170) от 20.07.20г. (ПАО МОЭСК)</t>
  </si>
  <si>
    <t>Технологическое присоединение к электрическим сетям с НДС</t>
  </si>
  <si>
    <t>Договор №96354-01-ДО) (АО ОЭК)</t>
  </si>
  <si>
    <t>Технологическое присоединение к  сетям наружного освещения с НДС</t>
  </si>
  <si>
    <t>Договор №10256 ДП-В (АО Мосводоканал)</t>
  </si>
  <si>
    <t>Технологическое присоединение к сетям холодного водоснабжения с НДС</t>
  </si>
  <si>
    <t>Договор 10257 ДП-К  (АО Мосводоканал)</t>
  </si>
  <si>
    <t>Технологическое присоединение к сетям водоотведения с НДС</t>
  </si>
  <si>
    <t>Договор ТП-0548-20 (ГУП Мосводосток)</t>
  </si>
  <si>
    <t>Договор 10-11/20-379 от 17.07.20г. (ПАО МОЭК)</t>
  </si>
  <si>
    <t>Технологическое присоединение к сетям теплоснабжения с НДС</t>
  </si>
  <si>
    <t>Соглашение №148-20/ВР от 14.08.2020г.</t>
  </si>
  <si>
    <t>Затраты на компенсацию потерь АО Мосводоканал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</si>
</sst>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#,##0.00_ ;\-#,##0.00\ "/>
    <numFmt numFmtId="166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i/>
      <sz val="9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9"/>
      <color rgb="FFFF0000"/>
      <name val="Arial Cyr"/>
      <charset val="204"/>
    </font>
    <font>
      <b/>
      <i/>
      <sz val="9"/>
      <color rgb="FFFF0000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10"/>
      <color rgb="FF00B050"/>
      <name val="Arial"/>
      <family val="2"/>
      <charset val="204"/>
    </font>
    <font>
      <b/>
      <i/>
      <sz val="9"/>
      <color rgb="FF00B050"/>
      <name val="Arial Cyr"/>
      <charset val="204"/>
    </font>
    <font>
      <b/>
      <i/>
      <sz val="9"/>
      <color rgb="FF00B05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i/>
      <sz val="9"/>
      <color rgb="FF0070C0"/>
      <name val="Arial Cyr"/>
      <charset val="204"/>
    </font>
    <font>
      <b/>
      <i/>
      <sz val="9"/>
      <color rgb="FF0070C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 applyFill="1" applyAlignment="1">
      <alignment horizontal="center" vertical="top"/>
    </xf>
    <xf numFmtId="49" fontId="3" fillId="0" borderId="0" xfId="0" applyNumberFormat="1" applyFont="1" applyFill="1" applyAlignment="1">
      <alignment horizontal="left" vertical="top"/>
    </xf>
    <xf numFmtId="43" fontId="3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vertical="top"/>
    </xf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top"/>
    </xf>
    <xf numFmtId="43" fontId="5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49" fontId="6" fillId="0" borderId="0" xfId="0" applyNumberFormat="1" applyFont="1" applyFill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top" wrapText="1"/>
    </xf>
    <xf numFmtId="43" fontId="3" fillId="0" borderId="0" xfId="1" applyFont="1" applyFill="1" applyAlignment="1">
      <alignment horizontal="right" vertical="top"/>
    </xf>
    <xf numFmtId="43" fontId="4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horizontal="right" vertical="center"/>
    </xf>
    <xf numFmtId="49" fontId="4" fillId="0" borderId="2" xfId="0" applyNumberFormat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wrapText="1"/>
    </xf>
    <xf numFmtId="43" fontId="10" fillId="0" borderId="0" xfId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165" fontId="3" fillId="0" borderId="3" xfId="1" applyNumberFormat="1" applyFont="1" applyFill="1" applyBorder="1" applyAlignment="1">
      <alignment horizontal="right" vertical="top"/>
    </xf>
    <xf numFmtId="43" fontId="3" fillId="0" borderId="3" xfId="1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right" vertical="top" wrapText="1"/>
    </xf>
    <xf numFmtId="0" fontId="0" fillId="0" borderId="3" xfId="0" applyFont="1" applyFill="1" applyBorder="1" applyAlignment="1">
      <alignment vertical="top" wrapText="1"/>
    </xf>
    <xf numFmtId="43" fontId="4" fillId="0" borderId="3" xfId="1" applyFont="1" applyFill="1" applyBorder="1" applyAlignment="1">
      <alignment horizontal="right" vertical="top" wrapText="1"/>
    </xf>
    <xf numFmtId="165" fontId="4" fillId="0" borderId="3" xfId="1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center" vertical="top"/>
    </xf>
    <xf numFmtId="49" fontId="12" fillId="0" borderId="3" xfId="0" applyNumberFormat="1" applyFont="1" applyFill="1" applyBorder="1" applyAlignment="1">
      <alignment horizontal="right" vertical="top" wrapText="1"/>
    </xf>
    <xf numFmtId="0" fontId="13" fillId="0" borderId="3" xfId="0" applyFont="1" applyFill="1" applyBorder="1" applyAlignment="1">
      <alignment horizontal="left" vertical="top" wrapText="1"/>
    </xf>
    <xf numFmtId="165" fontId="14" fillId="0" borderId="3" xfId="1" applyNumberFormat="1" applyFont="1" applyFill="1" applyBorder="1" applyAlignment="1">
      <alignment horizontal="right" vertical="top" wrapText="1"/>
    </xf>
    <xf numFmtId="0" fontId="15" fillId="0" borderId="3" xfId="0" applyFont="1" applyFill="1" applyBorder="1" applyAlignment="1">
      <alignment horizontal="center" vertical="top"/>
    </xf>
    <xf numFmtId="49" fontId="16" fillId="0" borderId="3" xfId="0" applyNumberFormat="1" applyFont="1" applyFill="1" applyBorder="1" applyAlignment="1">
      <alignment horizontal="right" vertical="top" wrapText="1"/>
    </xf>
    <xf numFmtId="0" fontId="17" fillId="0" borderId="3" xfId="0" applyFont="1" applyFill="1" applyBorder="1" applyAlignment="1">
      <alignment horizontal="left" vertical="top" wrapText="1"/>
    </xf>
    <xf numFmtId="165" fontId="18" fillId="0" borderId="3" xfId="1" applyNumberFormat="1" applyFont="1" applyFill="1" applyBorder="1" applyAlignment="1">
      <alignment horizontal="right" vertical="top" wrapText="1"/>
    </xf>
    <xf numFmtId="0" fontId="19" fillId="0" borderId="3" xfId="0" applyFont="1" applyFill="1" applyBorder="1" applyAlignment="1">
      <alignment horizontal="center" vertical="top"/>
    </xf>
    <xf numFmtId="49" fontId="20" fillId="0" borderId="3" xfId="0" applyNumberFormat="1" applyFont="1" applyFill="1" applyBorder="1" applyAlignment="1">
      <alignment horizontal="right" vertical="top" wrapText="1"/>
    </xf>
    <xf numFmtId="0" fontId="21" fillId="0" borderId="3" xfId="0" applyFont="1" applyFill="1" applyBorder="1" applyAlignment="1">
      <alignment horizontal="left" vertical="top" wrapText="1"/>
    </xf>
    <xf numFmtId="165" fontId="22" fillId="0" borderId="3" xfId="1" applyNumberFormat="1" applyFont="1" applyFill="1" applyBorder="1" applyAlignment="1">
      <alignment horizontal="righ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165" fontId="3" fillId="0" borderId="3" xfId="1" applyNumberFormat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 wrapText="1"/>
    </xf>
    <xf numFmtId="4" fontId="3" fillId="0" borderId="0" xfId="0" applyNumberFormat="1" applyFont="1"/>
    <xf numFmtId="49" fontId="4" fillId="0" borderId="3" xfId="0" applyNumberFormat="1" applyFont="1" applyFill="1" applyBorder="1" applyAlignment="1">
      <alignment horizontal="right" vertical="top" wrapText="1"/>
    </xf>
    <xf numFmtId="166" fontId="3" fillId="0" borderId="0" xfId="0" applyNumberFormat="1" applyFont="1"/>
    <xf numFmtId="165" fontId="3" fillId="0" borderId="0" xfId="0" applyNumberFormat="1" applyFont="1"/>
    <xf numFmtId="49" fontId="3" fillId="0" borderId="3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0" borderId="3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right" vertical="top" wrapText="1"/>
    </xf>
    <xf numFmtId="0" fontId="4" fillId="0" borderId="3" xfId="0" applyNumberFormat="1" applyFont="1" applyFill="1" applyBorder="1" applyAlignment="1">
      <alignment horizontal="right" vertical="top" wrapText="1"/>
    </xf>
    <xf numFmtId="0" fontId="0" fillId="0" borderId="3" xfId="0" applyNumberFormat="1" applyFont="1" applyFill="1" applyBorder="1" applyAlignment="1">
      <alignment vertical="top" wrapText="1"/>
    </xf>
    <xf numFmtId="43" fontId="4" fillId="0" borderId="3" xfId="1" applyFont="1" applyFill="1" applyBorder="1" applyAlignment="1">
      <alignment horizontal="right" vertical="top"/>
    </xf>
    <xf numFmtId="0" fontId="4" fillId="0" borderId="3" xfId="0" applyNumberFormat="1" applyFont="1" applyFill="1" applyBorder="1" applyAlignment="1">
      <alignment horizontal="right"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164" fontId="9" fillId="0" borderId="3" xfId="0" applyNumberFormat="1" applyFont="1" applyFill="1" applyBorder="1" applyAlignment="1">
      <alignment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2" fontId="3" fillId="0" borderId="3" xfId="1" applyNumberFormat="1" applyFont="1" applyFill="1" applyBorder="1" applyAlignment="1">
      <alignment horizontal="right" vertical="top"/>
    </xf>
    <xf numFmtId="2" fontId="3" fillId="0" borderId="3" xfId="1" applyNumberFormat="1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49" fontId="8" fillId="0" borderId="3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vertical="top" wrapText="1"/>
    </xf>
    <xf numFmtId="2" fontId="9" fillId="0" borderId="3" xfId="0" applyNumberFormat="1" applyFont="1" applyFill="1" applyBorder="1" applyAlignment="1">
      <alignment vertical="top" wrapText="1"/>
    </xf>
    <xf numFmtId="2" fontId="4" fillId="0" borderId="3" xfId="1" applyNumberFormat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/>
    </xf>
    <xf numFmtId="49" fontId="4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top"/>
    </xf>
    <xf numFmtId="0" fontId="3" fillId="0" borderId="0" xfId="0" applyFont="1" applyFill="1"/>
    <xf numFmtId="0" fontId="3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top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/>
    <xf numFmtId="43" fontId="3" fillId="0" borderId="0" xfId="1" applyFont="1" applyAlignment="1">
      <alignment horizontal="right" vertical="top"/>
    </xf>
  </cellXfs>
  <cellStyles count="3">
    <cellStyle name="Обычный" xfId="0" builtinId="0"/>
    <cellStyle name="Обычный 2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do\&#1057;&#1044;&#1054;\&#1054;&#1073;&#1098;&#1077;&#1082;&#1090;&#1099;%20&#1089;&#1090;&#1088;&#1086;&#1080;&#1090;&#1077;&#1083;&#1100;&#1089;&#1090;&#1074;&#1072;\&#1043;&#1086;&#1088;&#1086;&#1076;&#1089;&#1082;&#1080;&#1077;%20&#1086;&#1073;&#1098;&#1077;&#1082;&#1090;&#1099;\&#1046;&#1044;%20&#1059;&#1090;&#1088;&#1077;&#1085;&#1085;&#1103;&#1103;,%20&#1074;&#1083;&#1076;.%2020,%20&#1089;&#1090;&#1088;.%202\&#1057;&#1084;&#1077;&#1090;&#1085;&#1072;&#1103;%20&#1076;&#1086;&#1082;&#1091;&#1084;&#1077;&#1085;&#1090;&#1072;&#1094;&#1080;&#1080;\2%20&#1101;&#1082;&#1089;&#1087;&#1077;&#1088;&#1090;&#1080;&#1079;&#1072;%2010.2021\&#1057;&#1084;&#1077;&#1090;&#1085;&#1072;&#1103;%20&#1076;&#1086;&#1082;&#1091;&#1084;&#1077;&#1085;&#1090;&#1072;&#1094;&#1080;&#1103;%20-%20&#1046;&#1044;%20&#1059;&#1090;&#1088;&#1077;&#1085;&#1085;&#1103;&#1103;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СР тек 2021"/>
      <sheetName val="ССР баз 2021"/>
      <sheetName val="ОСР тек"/>
      <sheetName val="ОСР тек искл"/>
      <sheetName val="ОСР тек добавл"/>
      <sheetName val="ОСР баз"/>
      <sheetName val="02-01-02 искл"/>
      <sheetName val="02-01-19.1 искл"/>
      <sheetName val="02-01-19.2 искл"/>
      <sheetName val="ОСР баз искл"/>
      <sheetName val="ОСР баз добавл"/>
      <sheetName val="Распределение цены "/>
      <sheetName val="Расчет распределения"/>
      <sheetName val="Расчет распределения от даши"/>
      <sheetName val="ЛН 02-01-37.7 (доб)"/>
      <sheetName val="ЛН 02-01-01 (доб)"/>
      <sheetName val="ЛН 02-01-02 (доб)"/>
      <sheetName val="ЛН 02-01-19.1 (доб)"/>
      <sheetName val="ЛН 02-01-19.2 (доб)"/>
      <sheetName val="ЛН 02-01-19.3 (доб)"/>
      <sheetName val="ЛН 02-01-19.4 (доб)"/>
      <sheetName val="ЛН 02-01-36 (доб)"/>
      <sheetName val="ЛН 02-01-35 (доб)"/>
      <sheetName val="ЛН 02-01-53 (доб)"/>
      <sheetName val="ССР тек"/>
      <sheetName val="ССР баз"/>
      <sheetName val="ОСР тек (2)"/>
      <sheetName val="ОСР баз (2)"/>
      <sheetName val="Расчет распределения "/>
      <sheetName val=" ЛН 01-01-01"/>
      <sheetName val="ЛН 01-02-01"/>
      <sheetName val="ЛН 01-03-01"/>
      <sheetName val="ЛН 01-04-01"/>
      <sheetName val="ЛН 01-05-01"/>
      <sheetName val="ЛН 01-06-01"/>
      <sheetName val="01-07-01"/>
      <sheetName val="ЛН 01-08-01"/>
      <sheetName val="ЛН 01-09-01"/>
      <sheetName val="ЛН 02-01-37.1 (доб)"/>
      <sheetName val="ЛН 02-01-02"/>
      <sheetName val="ЛН 02-01-37.1"/>
      <sheetName val="ЛН 02-01-20.1"/>
      <sheetName val="ЛН 02-01-21.1"/>
      <sheetName val="ЛН 02-01-08"/>
      <sheetName val="ЛН 02-01-03"/>
      <sheetName val="ЛН 02-01-04"/>
      <sheetName val="ЛН 02-01-05"/>
      <sheetName val="ЛН 02-01-06"/>
      <sheetName val="ЛН 02-01-27.1"/>
      <sheetName val="ЛН 02-01-14"/>
      <sheetName val="ЛН 02-01-56"/>
      <sheetName val="ЛН 02-01-10"/>
      <sheetName val="ЛН 02-01-11"/>
      <sheetName val="ЛН 02-01-13"/>
      <sheetName val="ЛН 02-01-12"/>
      <sheetName val="ЛН 02-01-07"/>
      <sheetName val="ЛН 02-01-09"/>
      <sheetName val="ЛН 02-01-19.3"/>
      <sheetName val="ЛН 02-01-37.3"/>
      <sheetName val="ЛН 02-01-20.3"/>
      <sheetName val="ЛН 02-01-21.5"/>
      <sheetName val="ЛН 02-01-23.3"/>
      <sheetName val="ЛН 02-01-25.4"/>
      <sheetName val="ЛН 02-01-28.2"/>
      <sheetName val="ЛН 02-01-33"/>
      <sheetName val="ЛН 02-01-29.2"/>
      <sheetName val="ЛН 02-01-34.3"/>
      <sheetName val="ЛН 02-01-15.2"/>
      <sheetName val="ЛН 02-01-30.2"/>
      <sheetName val="ЛН 02-01-19.4"/>
      <sheetName val="ЛН 02-01-37.4"/>
      <sheetName val="ЛН 02-01-20.4"/>
      <sheetName val="ЛН 02-01-21.4"/>
      <sheetName val="ЛН 02-01-23.2"/>
      <sheetName val="ЛН 02-01-25.3"/>
      <sheetName val="ЛН 02-01-28.3"/>
      <sheetName val="ЛН 02-01-27.2"/>
      <sheetName val="ЛН 02-01-32"/>
      <sheetName val="ЛН 02-01-29.1"/>
      <sheetName val="ЛН 02-01-34.2"/>
      <sheetName val="ЛН 02-01-15.3"/>
      <sheetName val="ЛН 02-01-30.1"/>
      <sheetName val="ЛН 02-01-19.2"/>
      <sheetName val="ЛН 02-01-37.5"/>
      <sheetName val="ЛН 02-01-20.5"/>
      <sheetName val="ЛН 02-01-21.2"/>
      <sheetName val="ЛН 02-01-23.1"/>
      <sheetName val="ЛН 02-01-25.2"/>
      <sheetName val="ЛН 02-01-26"/>
      <sheetName val="ЛН 02-01-31"/>
      <sheetName val="ЛН 02-01-34.1"/>
      <sheetName val="ЛН 02-01-15.4"/>
      <sheetName val="ЛН 02-01-30.3"/>
      <sheetName val="ЛН 02-01-19.1"/>
      <sheetName val="ЛН 02-01-37.2"/>
      <sheetName val="ЛН 02-01-20.2"/>
      <sheetName val="ЛН 02-01-21.3"/>
      <sheetName val="ЛН 02-01-22"/>
      <sheetName val="ЛН 02-01-24"/>
      <sheetName val="ЛН 02-01-25.1"/>
      <sheetName val="ЛН 02-01-28.1"/>
      <sheetName val="ЛН 02-01-28.4"/>
      <sheetName val="ЛН 02-01-36"/>
      <sheetName val="ЛН 02-01-35"/>
      <sheetName val="ЛН 02-01-37.6"/>
      <sheetName val="ЛН 02-01-38"/>
      <sheetName val="ЛН 02-01-39"/>
      <sheetName val="ЛН 02-01-40"/>
      <sheetName val="ЛН 02-01-41"/>
      <sheetName val="ЛН 02-01-44"/>
      <sheetName val="ЛН 02-01-42"/>
      <sheetName val="ЛН 02-01-43"/>
      <sheetName val="ЛН 02-01-45"/>
      <sheetName val="ЛН 02-01-46"/>
      <sheetName val="ЛН 02-01-47"/>
      <sheetName val="ЛН 02-01-49"/>
      <sheetName val="ЛН 02-01-50"/>
      <sheetName val="ЛН 02-01-51"/>
      <sheetName val="ЛН 02-01-15.5"/>
      <sheetName val="ЛН 02-01-15.1"/>
      <sheetName val="ЛН 02-01-48"/>
      <sheetName val="ЛН 02-01-52"/>
      <sheetName val="ЛН 02-01-01"/>
      <sheetName val="ЛН 02-01-37.7"/>
      <sheetName val="ЛН 02-01-16"/>
      <sheetName val="ЛН 02-01-17"/>
      <sheetName val="ЛН 02-01-18"/>
      <sheetName val="ЛН 02-01-57"/>
      <sheetName val="ЛН 02-01-53"/>
      <sheetName val="ЛН 02-01-54"/>
      <sheetName val="ЛН 02-01-55"/>
      <sheetName val="ЛН 05-01-01"/>
      <sheetName val="ЛН 06-01-01"/>
      <sheetName val="ЛН 06-02-01"/>
      <sheetName val="ЛН 07-01-01"/>
      <sheetName val="ЛН 07-02-01"/>
      <sheetName val="ЛН 07-03-01"/>
      <sheetName val="ЛН 07-04-01"/>
      <sheetName val="ЛН 07-05-01"/>
      <sheetName val="ЛН 07-06-01"/>
      <sheetName val="ЛН 09-01-01"/>
      <sheetName val="ЛН 09-02-01"/>
      <sheetName val="ЛН 09-03-01"/>
      <sheetName val="ЛН 13-01-01"/>
    </sheetNames>
    <sheetDataSet>
      <sheetData sheetId="0"/>
      <sheetData sheetId="1"/>
      <sheetData sheetId="2"/>
      <sheetData sheetId="3">
        <row r="50">
          <cell r="D50">
            <v>-498061.6</v>
          </cell>
          <cell r="E50">
            <v>0</v>
          </cell>
          <cell r="F50">
            <v>0</v>
          </cell>
          <cell r="G50">
            <v>0</v>
          </cell>
        </row>
      </sheetData>
      <sheetData sheetId="4">
        <row r="50">
          <cell r="D50">
            <v>728462.14</v>
          </cell>
          <cell r="E50">
            <v>163.95</v>
          </cell>
          <cell r="F50">
            <v>0</v>
          </cell>
          <cell r="G5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1">
          <cell r="D131">
            <v>1225505.6499999999</v>
          </cell>
          <cell r="E131">
            <v>175747.58</v>
          </cell>
          <cell r="F131">
            <v>81183.63</v>
          </cell>
          <cell r="G131">
            <v>2015.61</v>
          </cell>
          <cell r="H131">
            <v>1484452.47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7"/>
  <sheetViews>
    <sheetView tabSelected="1" topLeftCell="A196" workbookViewId="0">
      <selection activeCell="C85" sqref="C85"/>
    </sheetView>
  </sheetViews>
  <sheetFormatPr defaultColWidth="9.140625" defaultRowHeight="12.75" x14ac:dyDescent="0.2"/>
  <cols>
    <col min="1" max="1" width="6.7109375" style="101" customWidth="1"/>
    <col min="2" max="2" width="19.28515625" style="102" customWidth="1"/>
    <col min="3" max="3" width="51.28515625" style="102" customWidth="1"/>
    <col min="4" max="4" width="14.5703125" style="105" customWidth="1"/>
    <col min="5" max="5" width="13" style="105" customWidth="1"/>
    <col min="6" max="6" width="13.42578125" style="105" customWidth="1"/>
    <col min="7" max="7" width="16.5703125" style="105" customWidth="1"/>
    <col min="8" max="8" width="15.28515625" style="105" customWidth="1"/>
    <col min="9" max="9" width="14.7109375" style="5" bestFit="1" customWidth="1"/>
    <col min="10" max="16384" width="9.140625" style="5"/>
  </cols>
  <sheetData>
    <row r="1" spans="1:8" x14ac:dyDescent="0.2">
      <c r="A1" s="1"/>
      <c r="B1" s="2"/>
      <c r="C1" s="2"/>
      <c r="D1" s="3"/>
      <c r="E1" s="3"/>
      <c r="F1" s="3"/>
      <c r="G1" s="3"/>
      <c r="H1" s="4" t="s">
        <v>0</v>
      </c>
    </row>
    <row r="2" spans="1:8" ht="15" x14ac:dyDescent="0.25">
      <c r="A2" s="1"/>
      <c r="B2" s="2" t="s">
        <v>1</v>
      </c>
      <c r="C2" s="6"/>
      <c r="D2" s="7"/>
      <c r="E2" s="7"/>
      <c r="F2" s="7"/>
      <c r="G2" s="7"/>
      <c r="H2" s="3"/>
    </row>
    <row r="3" spans="1:8" x14ac:dyDescent="0.2">
      <c r="A3" s="1"/>
      <c r="B3" s="2"/>
      <c r="C3" s="8"/>
      <c r="D3" s="9" t="s">
        <v>2</v>
      </c>
      <c r="E3" s="10"/>
      <c r="F3" s="11"/>
      <c r="G3" s="11"/>
      <c r="H3" s="3"/>
    </row>
    <row r="4" spans="1:8" x14ac:dyDescent="0.2">
      <c r="A4" s="1"/>
      <c r="B4" s="2"/>
      <c r="C4" s="12"/>
      <c r="D4" s="3"/>
      <c r="E4" s="13"/>
      <c r="F4" s="3"/>
      <c r="G4" s="3"/>
      <c r="H4" s="3"/>
    </row>
    <row r="5" spans="1:8" ht="15.75" x14ac:dyDescent="0.2">
      <c r="A5" s="14"/>
      <c r="B5" s="15" t="s">
        <v>3</v>
      </c>
      <c r="C5" s="15"/>
      <c r="D5" s="16"/>
      <c r="E5" s="17"/>
      <c r="F5" s="16"/>
      <c r="G5" s="16"/>
      <c r="H5" s="3"/>
    </row>
    <row r="6" spans="1:8" ht="15.75" x14ac:dyDescent="0.2">
      <c r="A6" s="14"/>
      <c r="B6" s="15"/>
      <c r="C6" s="15"/>
      <c r="D6" s="16"/>
      <c r="E6" s="17"/>
      <c r="F6" s="16"/>
      <c r="G6" s="16"/>
      <c r="H6" s="3"/>
    </row>
    <row r="7" spans="1:8" ht="22.5" customHeight="1" x14ac:dyDescent="0.2">
      <c r="A7" s="14"/>
      <c r="B7" s="15" t="s">
        <v>4</v>
      </c>
      <c r="C7" s="15"/>
      <c r="D7" s="18">
        <f>H180</f>
        <v>2487802.3872583765</v>
      </c>
      <c r="E7" s="19" t="s">
        <v>5</v>
      </c>
      <c r="F7" s="16"/>
      <c r="G7" s="16"/>
      <c r="H7" s="3"/>
    </row>
    <row r="8" spans="1:8" ht="25.5" customHeight="1" x14ac:dyDescent="0.2">
      <c r="A8" s="1"/>
      <c r="B8" s="2"/>
      <c r="C8" s="20"/>
      <c r="D8" s="20"/>
      <c r="E8" s="20"/>
      <c r="F8" s="20"/>
      <c r="G8" s="20"/>
      <c r="H8" s="3"/>
    </row>
    <row r="9" spans="1:8" x14ac:dyDescent="0.2">
      <c r="A9" s="1"/>
      <c r="B9" s="2"/>
      <c r="C9" s="2"/>
      <c r="D9" s="13" t="s">
        <v>6</v>
      </c>
      <c r="E9" s="21"/>
      <c r="F9" s="3"/>
      <c r="G9" s="3"/>
      <c r="H9" s="3"/>
    </row>
    <row r="10" spans="1:8" ht="15.75" x14ac:dyDescent="0.2">
      <c r="A10" s="15" t="s">
        <v>7</v>
      </c>
      <c r="B10" s="2"/>
      <c r="C10" s="2"/>
      <c r="D10" s="3"/>
      <c r="E10" s="13"/>
      <c r="F10" s="3"/>
      <c r="G10" s="3"/>
      <c r="H10" s="3"/>
    </row>
    <row r="11" spans="1:8" x14ac:dyDescent="0.2">
      <c r="A11" s="1"/>
      <c r="B11" s="2"/>
      <c r="C11" s="2"/>
      <c r="D11" s="21"/>
      <c r="E11" s="21"/>
      <c r="F11" s="21"/>
      <c r="G11" s="21"/>
      <c r="H11" s="3"/>
    </row>
    <row r="12" spans="1:8" x14ac:dyDescent="0.2">
      <c r="A12" s="1"/>
      <c r="B12" s="2"/>
      <c r="C12" s="2"/>
      <c r="D12" s="21"/>
      <c r="E12" s="21"/>
      <c r="F12" s="21"/>
      <c r="G12" s="3"/>
      <c r="H12" s="3"/>
    </row>
    <row r="13" spans="1:8" x14ac:dyDescent="0.2">
      <c r="A13" s="1"/>
      <c r="B13" s="1"/>
      <c r="C13" s="2"/>
      <c r="D13" s="22" t="s">
        <v>8</v>
      </c>
      <c r="E13" s="21"/>
      <c r="F13" s="3"/>
      <c r="G13" s="3"/>
      <c r="H13" s="3"/>
    </row>
    <row r="14" spans="1:8" x14ac:dyDescent="0.2">
      <c r="A14" s="1"/>
      <c r="B14" s="2"/>
      <c r="C14" s="2"/>
      <c r="D14" s="23"/>
      <c r="E14" s="21"/>
      <c r="F14" s="3"/>
      <c r="G14" s="3"/>
      <c r="H14" s="3"/>
    </row>
    <row r="15" spans="1:8" ht="27.95" customHeight="1" x14ac:dyDescent="0.2">
      <c r="A15" s="1"/>
      <c r="B15" s="2"/>
      <c r="C15" s="24"/>
      <c r="D15" s="25"/>
      <c r="E15" s="25"/>
      <c r="F15" s="25"/>
      <c r="G15" s="25"/>
      <c r="H15" s="3"/>
    </row>
    <row r="16" spans="1:8" x14ac:dyDescent="0.2">
      <c r="A16" s="1"/>
      <c r="B16" s="2"/>
      <c r="C16" s="2"/>
      <c r="D16" s="26" t="s">
        <v>9</v>
      </c>
      <c r="E16" s="21"/>
      <c r="F16" s="3"/>
      <c r="G16" s="3"/>
      <c r="H16" s="3"/>
    </row>
    <row r="17" spans="1:8" x14ac:dyDescent="0.2">
      <c r="A17" s="1"/>
      <c r="B17" s="2"/>
      <c r="C17" s="2"/>
      <c r="D17" s="21"/>
      <c r="E17" s="21"/>
      <c r="F17" s="21"/>
      <c r="G17" s="21"/>
      <c r="H17" s="3"/>
    </row>
    <row r="18" spans="1:8" x14ac:dyDescent="0.2">
      <c r="A18" s="1"/>
      <c r="B18" s="2" t="s">
        <v>10</v>
      </c>
      <c r="C18" s="2"/>
      <c r="D18" s="23"/>
      <c r="E18" s="3"/>
      <c r="F18" s="3"/>
      <c r="G18" s="3"/>
      <c r="H18" s="3"/>
    </row>
    <row r="19" spans="1:8" x14ac:dyDescent="0.2">
      <c r="A19" s="1"/>
      <c r="B19" s="2"/>
      <c r="C19" s="2"/>
      <c r="D19" s="23"/>
      <c r="E19" s="3"/>
      <c r="F19" s="3"/>
      <c r="G19" s="3"/>
      <c r="H19" s="3"/>
    </row>
    <row r="20" spans="1:8" x14ac:dyDescent="0.2">
      <c r="A20" s="1"/>
      <c r="B20" s="2"/>
      <c r="C20" s="2"/>
      <c r="D20" s="3"/>
      <c r="E20" s="3"/>
      <c r="F20" s="3"/>
      <c r="G20" s="3"/>
      <c r="H20" s="3"/>
    </row>
    <row r="21" spans="1:8" ht="12.75" customHeight="1" x14ac:dyDescent="0.2">
      <c r="A21" s="27" t="s">
        <v>11</v>
      </c>
      <c r="B21" s="28" t="s">
        <v>12</v>
      </c>
      <c r="C21" s="28" t="s">
        <v>13</v>
      </c>
      <c r="D21" s="29" t="s">
        <v>14</v>
      </c>
      <c r="E21" s="29"/>
      <c r="F21" s="29"/>
      <c r="G21" s="29"/>
      <c r="H21" s="30" t="s">
        <v>15</v>
      </c>
    </row>
    <row r="22" spans="1:8" x14ac:dyDescent="0.2">
      <c r="A22" s="27"/>
      <c r="B22" s="28"/>
      <c r="C22" s="28"/>
      <c r="D22" s="30" t="s">
        <v>16</v>
      </c>
      <c r="E22" s="30" t="s">
        <v>17</v>
      </c>
      <c r="F22" s="30" t="s">
        <v>18</v>
      </c>
      <c r="G22" s="30" t="s">
        <v>19</v>
      </c>
      <c r="H22" s="30"/>
    </row>
    <row r="23" spans="1:8" x14ac:dyDescent="0.2">
      <c r="A23" s="27"/>
      <c r="B23" s="28"/>
      <c r="C23" s="28"/>
      <c r="D23" s="30"/>
      <c r="E23" s="30"/>
      <c r="F23" s="30"/>
      <c r="G23" s="30"/>
      <c r="H23" s="30"/>
    </row>
    <row r="24" spans="1:8" x14ac:dyDescent="0.2">
      <c r="A24" s="27"/>
      <c r="B24" s="28"/>
      <c r="C24" s="28"/>
      <c r="D24" s="30"/>
      <c r="E24" s="30"/>
      <c r="F24" s="30"/>
      <c r="G24" s="30"/>
      <c r="H24" s="30"/>
    </row>
    <row r="25" spans="1:8" x14ac:dyDescent="0.2">
      <c r="A25" s="31">
        <v>1</v>
      </c>
      <c r="B25" s="32">
        <v>2</v>
      </c>
      <c r="C25" s="32">
        <v>3</v>
      </c>
      <c r="D25" s="32" t="s">
        <v>20</v>
      </c>
      <c r="E25" s="32" t="s">
        <v>21</v>
      </c>
      <c r="F25" s="32" t="s">
        <v>22</v>
      </c>
      <c r="G25" s="32" t="s">
        <v>23</v>
      </c>
      <c r="H25" s="32" t="s">
        <v>24</v>
      </c>
    </row>
    <row r="26" spans="1:8" ht="15" x14ac:dyDescent="0.2">
      <c r="A26" s="33" t="s">
        <v>25</v>
      </c>
      <c r="B26" s="34"/>
      <c r="C26" s="34"/>
      <c r="D26" s="34"/>
      <c r="E26" s="34"/>
      <c r="F26" s="34"/>
      <c r="G26" s="34"/>
      <c r="H26" s="34"/>
    </row>
    <row r="27" spans="1:8" x14ac:dyDescent="0.2">
      <c r="A27" s="35">
        <v>1</v>
      </c>
      <c r="B27" s="36" t="s">
        <v>26</v>
      </c>
      <c r="C27" s="36" t="s">
        <v>27</v>
      </c>
      <c r="D27" s="37">
        <v>1562.28</v>
      </c>
      <c r="E27" s="37">
        <v>0</v>
      </c>
      <c r="F27" s="37">
        <v>0</v>
      </c>
      <c r="G27" s="37">
        <v>0</v>
      </c>
      <c r="H27" s="38">
        <f>D27+E27+F27+G27</f>
        <v>1562.28</v>
      </c>
    </row>
    <row r="28" spans="1:8" x14ac:dyDescent="0.2">
      <c r="A28" s="35">
        <v>2</v>
      </c>
      <c r="B28" s="36" t="s">
        <v>28</v>
      </c>
      <c r="C28" s="36" t="s">
        <v>29</v>
      </c>
      <c r="D28" s="37">
        <v>665.36</v>
      </c>
      <c r="E28" s="37">
        <v>0</v>
      </c>
      <c r="F28" s="37">
        <v>0</v>
      </c>
      <c r="G28" s="37">
        <v>0</v>
      </c>
      <c r="H28" s="38">
        <f t="shared" ref="H28:H42" si="0">D28+E28+F28+G28</f>
        <v>665.36</v>
      </c>
    </row>
    <row r="29" spans="1:8" x14ac:dyDescent="0.2">
      <c r="A29" s="35">
        <v>3</v>
      </c>
      <c r="B29" s="36" t="s">
        <v>30</v>
      </c>
      <c r="C29" s="36" t="s">
        <v>31</v>
      </c>
      <c r="D29" s="37">
        <v>493</v>
      </c>
      <c r="E29" s="37">
        <v>0</v>
      </c>
      <c r="F29" s="37">
        <v>0</v>
      </c>
      <c r="G29" s="37">
        <v>0</v>
      </c>
      <c r="H29" s="38">
        <f t="shared" si="0"/>
        <v>493</v>
      </c>
    </row>
    <row r="30" spans="1:8" x14ac:dyDescent="0.2">
      <c r="A30" s="35">
        <v>4</v>
      </c>
      <c r="B30" s="36" t="s">
        <v>32</v>
      </c>
      <c r="C30" s="36" t="s">
        <v>33</v>
      </c>
      <c r="D30" s="37">
        <v>13.98</v>
      </c>
      <c r="E30" s="37">
        <v>5.44</v>
      </c>
      <c r="F30" s="37">
        <v>0</v>
      </c>
      <c r="G30" s="37">
        <v>0</v>
      </c>
      <c r="H30" s="38">
        <f t="shared" si="0"/>
        <v>19.420000000000002</v>
      </c>
    </row>
    <row r="31" spans="1:8" x14ac:dyDescent="0.2">
      <c r="A31" s="35">
        <v>5</v>
      </c>
      <c r="B31" s="36" t="s">
        <v>34</v>
      </c>
      <c r="C31" s="36" t="s">
        <v>35</v>
      </c>
      <c r="D31" s="37">
        <v>1058.53</v>
      </c>
      <c r="E31" s="37">
        <v>2307.69</v>
      </c>
      <c r="F31" s="37">
        <v>0</v>
      </c>
      <c r="G31" s="37">
        <v>0</v>
      </c>
      <c r="H31" s="38">
        <f t="shared" si="0"/>
        <v>3366.2200000000003</v>
      </c>
    </row>
    <row r="32" spans="1:8" ht="25.5" x14ac:dyDescent="0.2">
      <c r="A32" s="35">
        <v>6</v>
      </c>
      <c r="B32" s="36" t="s">
        <v>36</v>
      </c>
      <c r="C32" s="36" t="s">
        <v>37</v>
      </c>
      <c r="D32" s="37">
        <v>458.15</v>
      </c>
      <c r="E32" s="37">
        <v>421.46</v>
      </c>
      <c r="F32" s="37">
        <v>0</v>
      </c>
      <c r="G32" s="37">
        <v>0</v>
      </c>
      <c r="H32" s="38">
        <f t="shared" si="0"/>
        <v>879.6099999999999</v>
      </c>
    </row>
    <row r="33" spans="1:8" x14ac:dyDescent="0.2">
      <c r="A33" s="35">
        <v>7</v>
      </c>
      <c r="B33" s="36" t="s">
        <v>38</v>
      </c>
      <c r="C33" s="36" t="s">
        <v>39</v>
      </c>
      <c r="D33" s="37">
        <v>313.62</v>
      </c>
      <c r="E33" s="37">
        <v>107.28</v>
      </c>
      <c r="F33" s="37">
        <v>0</v>
      </c>
      <c r="G33" s="37">
        <v>0</v>
      </c>
      <c r="H33" s="38">
        <f t="shared" si="0"/>
        <v>420.9</v>
      </c>
    </row>
    <row r="34" spans="1:8" x14ac:dyDescent="0.2">
      <c r="A34" s="35">
        <v>8</v>
      </c>
      <c r="B34" s="36" t="s">
        <v>40</v>
      </c>
      <c r="C34" s="36" t="s">
        <v>41</v>
      </c>
      <c r="D34" s="37">
        <f>4.75</f>
        <v>4.75</v>
      </c>
      <c r="E34" s="37">
        <v>0</v>
      </c>
      <c r="F34" s="37">
        <v>0</v>
      </c>
      <c r="G34" s="37">
        <v>0</v>
      </c>
      <c r="H34" s="38">
        <f t="shared" si="0"/>
        <v>4.75</v>
      </c>
    </row>
    <row r="35" spans="1:8" ht="25.5" x14ac:dyDescent="0.2">
      <c r="A35" s="35">
        <v>9</v>
      </c>
      <c r="B35" s="36" t="s">
        <v>42</v>
      </c>
      <c r="C35" s="36" t="s">
        <v>43</v>
      </c>
      <c r="D35" s="37">
        <v>0</v>
      </c>
      <c r="E35" s="37">
        <v>0</v>
      </c>
      <c r="F35" s="37">
        <v>0</v>
      </c>
      <c r="G35" s="37">
        <v>74.760000000000005</v>
      </c>
      <c r="H35" s="38">
        <f t="shared" si="0"/>
        <v>74.760000000000005</v>
      </c>
    </row>
    <row r="36" spans="1:8" x14ac:dyDescent="0.2">
      <c r="A36" s="35">
        <v>10</v>
      </c>
      <c r="B36" s="36" t="s">
        <v>44</v>
      </c>
      <c r="C36" s="36" t="s">
        <v>45</v>
      </c>
      <c r="D36" s="37">
        <v>195.17</v>
      </c>
      <c r="E36" s="37">
        <v>0</v>
      </c>
      <c r="F36" s="37">
        <v>0</v>
      </c>
      <c r="G36" s="37">
        <v>0</v>
      </c>
      <c r="H36" s="38">
        <f t="shared" si="0"/>
        <v>195.17</v>
      </c>
    </row>
    <row r="37" spans="1:8" ht="25.5" x14ac:dyDescent="0.2">
      <c r="A37" s="35">
        <v>11</v>
      </c>
      <c r="B37" s="36" t="s">
        <v>46</v>
      </c>
      <c r="C37" s="36" t="s">
        <v>47</v>
      </c>
      <c r="D37" s="37">
        <v>0</v>
      </c>
      <c r="E37" s="37">
        <v>0</v>
      </c>
      <c r="F37" s="37">
        <v>0</v>
      </c>
      <c r="G37" s="38">
        <f>43.1*4.5*1.266</f>
        <v>245.54070000000002</v>
      </c>
      <c r="H37" s="38">
        <f t="shared" si="0"/>
        <v>245.54070000000002</v>
      </c>
    </row>
    <row r="38" spans="1:8" ht="25.5" x14ac:dyDescent="0.2">
      <c r="A38" s="35">
        <v>12</v>
      </c>
      <c r="B38" s="36" t="s">
        <v>46</v>
      </c>
      <c r="C38" s="36" t="s">
        <v>48</v>
      </c>
      <c r="D38" s="37">
        <v>0</v>
      </c>
      <c r="E38" s="37">
        <v>0</v>
      </c>
      <c r="F38" s="37">
        <v>0</v>
      </c>
      <c r="G38" s="38">
        <f>41.2*4.5*1.266</f>
        <v>234.71640000000002</v>
      </c>
      <c r="H38" s="38">
        <f t="shared" si="0"/>
        <v>234.71640000000002</v>
      </c>
    </row>
    <row r="39" spans="1:8" ht="63.75" x14ac:dyDescent="0.2">
      <c r="A39" s="35">
        <v>13</v>
      </c>
      <c r="B39" s="36" t="s">
        <v>49</v>
      </c>
      <c r="C39" s="36" t="s">
        <v>50</v>
      </c>
      <c r="D39" s="37">
        <v>0</v>
      </c>
      <c r="E39" s="37">
        <v>0</v>
      </c>
      <c r="F39" s="37">
        <v>0</v>
      </c>
      <c r="G39" s="37">
        <f>(18000/1.2+93500/1.2+11171.86/1.2+14244/1.2+8000)/1000</f>
        <v>122.09655000000001</v>
      </c>
      <c r="H39" s="38">
        <f t="shared" si="0"/>
        <v>122.09655000000001</v>
      </c>
    </row>
    <row r="40" spans="1:8" ht="63.75" x14ac:dyDescent="0.2">
      <c r="A40" s="35">
        <v>14</v>
      </c>
      <c r="B40" s="36" t="s">
        <v>51</v>
      </c>
      <c r="C40" s="36" t="s">
        <v>52</v>
      </c>
      <c r="D40" s="37">
        <v>0</v>
      </c>
      <c r="E40" s="37">
        <v>0</v>
      </c>
      <c r="F40" s="37">
        <v>0</v>
      </c>
      <c r="G40" s="37">
        <v>250</v>
      </c>
      <c r="H40" s="38">
        <f t="shared" si="0"/>
        <v>250</v>
      </c>
    </row>
    <row r="41" spans="1:8" ht="25.5" x14ac:dyDescent="0.2">
      <c r="A41" s="35">
        <v>15</v>
      </c>
      <c r="B41" s="36" t="s">
        <v>53</v>
      </c>
      <c r="C41" s="36" t="s">
        <v>54</v>
      </c>
      <c r="D41" s="37">
        <v>0</v>
      </c>
      <c r="E41" s="37">
        <v>0</v>
      </c>
      <c r="F41" s="37">
        <v>0</v>
      </c>
      <c r="G41" s="37">
        <v>1606.78</v>
      </c>
      <c r="H41" s="38">
        <f t="shared" si="0"/>
        <v>1606.78</v>
      </c>
    </row>
    <row r="42" spans="1:8" ht="38.25" x14ac:dyDescent="0.2">
      <c r="A42" s="35">
        <v>16</v>
      </c>
      <c r="B42" s="36" t="s">
        <v>55</v>
      </c>
      <c r="C42" s="36" t="s">
        <v>56</v>
      </c>
      <c r="D42" s="37">
        <v>0</v>
      </c>
      <c r="E42" s="37">
        <v>0</v>
      </c>
      <c r="F42" s="37">
        <v>0</v>
      </c>
      <c r="G42" s="37">
        <v>5</v>
      </c>
      <c r="H42" s="38">
        <f t="shared" si="0"/>
        <v>5</v>
      </c>
    </row>
    <row r="43" spans="1:8" ht="27.95" customHeight="1" x14ac:dyDescent="0.2">
      <c r="A43" s="39"/>
      <c r="B43" s="40" t="s">
        <v>57</v>
      </c>
      <c r="C43" s="41"/>
      <c r="D43" s="42">
        <f>SUM(D27:D42)</f>
        <v>4764.8399999999992</v>
      </c>
      <c r="E43" s="42">
        <f>SUM(E27:E42)</f>
        <v>2841.8700000000003</v>
      </c>
      <c r="F43" s="43">
        <v>0</v>
      </c>
      <c r="G43" s="42">
        <f>SUM(G27:G42)</f>
        <v>2538.89365</v>
      </c>
      <c r="H43" s="42">
        <f>SUM(H27:H42)</f>
        <v>10145.603650000001</v>
      </c>
    </row>
    <row r="44" spans="1:8" ht="24" x14ac:dyDescent="0.2">
      <c r="A44" s="44"/>
      <c r="B44" s="45"/>
      <c r="C44" s="46" t="s">
        <v>58</v>
      </c>
      <c r="D44" s="47">
        <f>D43</f>
        <v>4764.8399999999992</v>
      </c>
      <c r="E44" s="47">
        <f t="shared" ref="E44:H44" si="1">E43</f>
        <v>2841.8700000000003</v>
      </c>
      <c r="F44" s="47">
        <f t="shared" si="1"/>
        <v>0</v>
      </c>
      <c r="G44" s="47">
        <f t="shared" si="1"/>
        <v>2538.89365</v>
      </c>
      <c r="H44" s="47">
        <f t="shared" si="1"/>
        <v>10145.603650000001</v>
      </c>
    </row>
    <row r="45" spans="1:8" x14ac:dyDescent="0.2">
      <c r="A45" s="48"/>
      <c r="B45" s="49"/>
      <c r="C45" s="50" t="s">
        <v>59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</row>
    <row r="46" spans="1:8" x14ac:dyDescent="0.2">
      <c r="A46" s="52"/>
      <c r="B46" s="53"/>
      <c r="C46" s="54" t="s">
        <v>60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</row>
    <row r="47" spans="1:8" ht="15" x14ac:dyDescent="0.2">
      <c r="A47" s="33" t="s">
        <v>61</v>
      </c>
      <c r="B47" s="34"/>
      <c r="C47" s="34"/>
      <c r="D47" s="34"/>
      <c r="E47" s="34"/>
      <c r="F47" s="34"/>
      <c r="G47" s="34"/>
      <c r="H47" s="34"/>
    </row>
    <row r="48" spans="1:8" ht="15" x14ac:dyDescent="0.2">
      <c r="A48" s="56">
        <v>17</v>
      </c>
      <c r="B48" s="36" t="s">
        <v>62</v>
      </c>
      <c r="C48" s="36" t="s">
        <v>63</v>
      </c>
      <c r="D48" s="57">
        <f>'[1]ОСР тек (2)'!D131</f>
        <v>1225505.6499999999</v>
      </c>
      <c r="E48" s="57">
        <f>'[1]ОСР тек (2)'!E131</f>
        <v>175747.58</v>
      </c>
      <c r="F48" s="57">
        <f>'[1]ОСР тек (2)'!F131</f>
        <v>81183.63</v>
      </c>
      <c r="G48" s="57">
        <f>'[1]ОСР тек (2)'!G131</f>
        <v>2015.61</v>
      </c>
      <c r="H48" s="57">
        <f>'[1]ОСР тек (2)'!H131</f>
        <v>1484452.47</v>
      </c>
    </row>
    <row r="49" spans="1:9" ht="15" x14ac:dyDescent="0.2">
      <c r="A49" s="56" t="s">
        <v>64</v>
      </c>
      <c r="B49" s="36" t="s">
        <v>62</v>
      </c>
      <c r="C49" s="36" t="s">
        <v>65</v>
      </c>
      <c r="D49" s="57">
        <f>'[1]ОСР тек искл'!D50</f>
        <v>-498061.6</v>
      </c>
      <c r="E49" s="57">
        <f>'[1]ОСР тек искл'!E50</f>
        <v>0</v>
      </c>
      <c r="F49" s="57">
        <f>'[1]ОСР тек искл'!F50</f>
        <v>0</v>
      </c>
      <c r="G49" s="57">
        <f>'[1]ОСР тек искл'!G50</f>
        <v>0</v>
      </c>
      <c r="H49" s="57">
        <f>SUM(D49:G49)</f>
        <v>-498061.6</v>
      </c>
    </row>
    <row r="50" spans="1:9" x14ac:dyDescent="0.2">
      <c r="A50" s="56" t="s">
        <v>66</v>
      </c>
      <c r="B50" s="36" t="s">
        <v>62</v>
      </c>
      <c r="C50" s="36" t="s">
        <v>67</v>
      </c>
      <c r="D50" s="58">
        <f>'[1]ОСР тек добавл'!D50</f>
        <v>728462.14</v>
      </c>
      <c r="E50" s="58">
        <f>'[1]ОСР тек добавл'!E50</f>
        <v>163.95</v>
      </c>
      <c r="F50" s="58">
        <f>'[1]ОСР тек добавл'!F50</f>
        <v>0</v>
      </c>
      <c r="G50" s="58">
        <f>'[1]ОСР тек добавл'!G50</f>
        <v>0</v>
      </c>
      <c r="H50" s="59">
        <f>SUM(D50:G50)</f>
        <v>728626.09</v>
      </c>
      <c r="I50" s="60">
        <f>H50+H49</f>
        <v>230564.49</v>
      </c>
    </row>
    <row r="51" spans="1:9" ht="27.95" customHeight="1" x14ac:dyDescent="0.2">
      <c r="A51" s="39"/>
      <c r="B51" s="40" t="s">
        <v>68</v>
      </c>
      <c r="C51" s="41"/>
      <c r="D51" s="42">
        <f>SUM(D48:D50)</f>
        <v>1455906.19</v>
      </c>
      <c r="E51" s="42">
        <f t="shared" ref="E51:H51" si="2">SUM(E48:E50)</f>
        <v>175911.53</v>
      </c>
      <c r="F51" s="42">
        <f t="shared" si="2"/>
        <v>81183.63</v>
      </c>
      <c r="G51" s="42">
        <f t="shared" si="2"/>
        <v>2015.61</v>
      </c>
      <c r="H51" s="42">
        <f t="shared" si="2"/>
        <v>1715016.96</v>
      </c>
    </row>
    <row r="52" spans="1:9" ht="24" x14ac:dyDescent="0.2">
      <c r="A52" s="39"/>
      <c r="B52" s="61"/>
      <c r="C52" s="46" t="s">
        <v>58</v>
      </c>
      <c r="D52" s="47">
        <f>D48</f>
        <v>1225505.6499999999</v>
      </c>
      <c r="E52" s="47">
        <f t="shared" ref="E52:H54" si="3">E48</f>
        <v>175747.58</v>
      </c>
      <c r="F52" s="47">
        <f t="shared" si="3"/>
        <v>81183.63</v>
      </c>
      <c r="G52" s="47">
        <f t="shared" si="3"/>
        <v>2015.61</v>
      </c>
      <c r="H52" s="47">
        <f t="shared" si="3"/>
        <v>1484452.47</v>
      </c>
      <c r="I52" s="62"/>
    </row>
    <row r="53" spans="1:9" x14ac:dyDescent="0.2">
      <c r="A53" s="39"/>
      <c r="B53" s="61"/>
      <c r="C53" s="50" t="s">
        <v>59</v>
      </c>
      <c r="D53" s="51">
        <f>D49</f>
        <v>-498061.6</v>
      </c>
      <c r="E53" s="51">
        <f t="shared" si="3"/>
        <v>0</v>
      </c>
      <c r="F53" s="51">
        <f t="shared" si="3"/>
        <v>0</v>
      </c>
      <c r="G53" s="51">
        <f t="shared" si="3"/>
        <v>0</v>
      </c>
      <c r="H53" s="51">
        <f t="shared" si="3"/>
        <v>-498061.6</v>
      </c>
    </row>
    <row r="54" spans="1:9" x14ac:dyDescent="0.2">
      <c r="A54" s="39"/>
      <c r="B54" s="61"/>
      <c r="C54" s="54" t="s">
        <v>60</v>
      </c>
      <c r="D54" s="55">
        <f>D50</f>
        <v>728462.14</v>
      </c>
      <c r="E54" s="55">
        <f t="shared" si="3"/>
        <v>163.95</v>
      </c>
      <c r="F54" s="55">
        <f t="shared" si="3"/>
        <v>0</v>
      </c>
      <c r="G54" s="55">
        <f t="shared" si="3"/>
        <v>0</v>
      </c>
      <c r="H54" s="55">
        <f t="shared" si="3"/>
        <v>728626.09</v>
      </c>
    </row>
    <row r="55" spans="1:9" ht="15" x14ac:dyDescent="0.2">
      <c r="A55" s="33" t="s">
        <v>69</v>
      </c>
      <c r="B55" s="34"/>
      <c r="C55" s="34"/>
      <c r="D55" s="34"/>
      <c r="E55" s="34"/>
      <c r="F55" s="34"/>
      <c r="G55" s="34"/>
      <c r="H55" s="34"/>
    </row>
    <row r="56" spans="1:9" x14ac:dyDescent="0.2">
      <c r="A56" s="35">
        <v>18</v>
      </c>
      <c r="B56" s="36" t="s">
        <v>70</v>
      </c>
      <c r="C56" s="36" t="s">
        <v>71</v>
      </c>
      <c r="D56" s="37">
        <v>4570.71</v>
      </c>
      <c r="E56" s="37">
        <v>64.040000000000006</v>
      </c>
      <c r="F56" s="37">
        <v>0</v>
      </c>
      <c r="G56" s="37">
        <v>0</v>
      </c>
      <c r="H56" s="38">
        <f>D56+E56+F56+G56</f>
        <v>4634.75</v>
      </c>
    </row>
    <row r="57" spans="1:9" ht="27.95" customHeight="1" x14ac:dyDescent="0.2">
      <c r="A57" s="39"/>
      <c r="B57" s="40" t="s">
        <v>72</v>
      </c>
      <c r="C57" s="41"/>
      <c r="D57" s="42">
        <f>SUM(D56)</f>
        <v>4570.71</v>
      </c>
      <c r="E57" s="42">
        <f t="shared" ref="E57:H57" si="4">SUM(E56)</f>
        <v>64.040000000000006</v>
      </c>
      <c r="F57" s="43">
        <v>0</v>
      </c>
      <c r="G57" s="43">
        <v>0</v>
      </c>
      <c r="H57" s="42">
        <f t="shared" si="4"/>
        <v>4634.75</v>
      </c>
    </row>
    <row r="58" spans="1:9" ht="24" x14ac:dyDescent="0.2">
      <c r="A58" s="39"/>
      <c r="B58" s="61"/>
      <c r="C58" s="46" t="s">
        <v>58</v>
      </c>
      <c r="D58" s="47">
        <f>D57</f>
        <v>4570.71</v>
      </c>
      <c r="E58" s="47">
        <f t="shared" ref="E58:H58" si="5">E57</f>
        <v>64.040000000000006</v>
      </c>
      <c r="F58" s="47">
        <f t="shared" si="5"/>
        <v>0</v>
      </c>
      <c r="G58" s="47">
        <f t="shared" si="5"/>
        <v>0</v>
      </c>
      <c r="H58" s="47">
        <f t="shared" si="5"/>
        <v>4634.75</v>
      </c>
    </row>
    <row r="59" spans="1:9" x14ac:dyDescent="0.2">
      <c r="A59" s="39"/>
      <c r="B59" s="61"/>
      <c r="C59" s="50" t="s">
        <v>59</v>
      </c>
      <c r="D59" s="51">
        <f>D55</f>
        <v>0</v>
      </c>
      <c r="E59" s="51">
        <f t="shared" ref="E59:H59" si="6">E55</f>
        <v>0</v>
      </c>
      <c r="F59" s="51">
        <f t="shared" si="6"/>
        <v>0</v>
      </c>
      <c r="G59" s="51">
        <f t="shared" si="6"/>
        <v>0</v>
      </c>
      <c r="H59" s="51">
        <f t="shared" si="6"/>
        <v>0</v>
      </c>
    </row>
    <row r="60" spans="1:9" x14ac:dyDescent="0.2">
      <c r="A60" s="39"/>
      <c r="B60" s="61"/>
      <c r="C60" s="54" t="s">
        <v>60</v>
      </c>
      <c r="D60" s="55">
        <v>0</v>
      </c>
      <c r="E60" s="55">
        <v>0</v>
      </c>
      <c r="F60" s="55">
        <v>0</v>
      </c>
      <c r="G60" s="55">
        <v>0</v>
      </c>
      <c r="H60" s="55">
        <f>SUM(D60:G60)</f>
        <v>0</v>
      </c>
    </row>
    <row r="61" spans="1:9" ht="15" x14ac:dyDescent="0.2">
      <c r="A61" s="33" t="s">
        <v>73</v>
      </c>
      <c r="B61" s="34"/>
      <c r="C61" s="34"/>
      <c r="D61" s="34"/>
      <c r="E61" s="34"/>
      <c r="F61" s="34"/>
      <c r="G61" s="34"/>
      <c r="H61" s="34"/>
    </row>
    <row r="62" spans="1:9" x14ac:dyDescent="0.2">
      <c r="A62" s="35">
        <v>19</v>
      </c>
      <c r="B62" s="36" t="s">
        <v>74</v>
      </c>
      <c r="C62" s="36" t="s">
        <v>75</v>
      </c>
      <c r="D62" s="37">
        <v>455.46</v>
      </c>
      <c r="E62" s="37">
        <v>0</v>
      </c>
      <c r="F62" s="37">
        <v>0</v>
      </c>
      <c r="G62" s="37">
        <v>0</v>
      </c>
      <c r="H62" s="38">
        <f>D62+E62+F62+G62</f>
        <v>455.46</v>
      </c>
    </row>
    <row r="63" spans="1:9" x14ac:dyDescent="0.2">
      <c r="A63" s="35">
        <v>20</v>
      </c>
      <c r="B63" s="36" t="s">
        <v>76</v>
      </c>
      <c r="C63" s="36" t="s">
        <v>77</v>
      </c>
      <c r="D63" s="37">
        <v>1891.42</v>
      </c>
      <c r="E63" s="37">
        <v>0</v>
      </c>
      <c r="F63" s="37">
        <v>0</v>
      </c>
      <c r="G63" s="37">
        <v>0</v>
      </c>
      <c r="H63" s="38">
        <f>D63+E63+F63+G63</f>
        <v>1891.42</v>
      </c>
    </row>
    <row r="64" spans="1:9" ht="27.95" customHeight="1" x14ac:dyDescent="0.2">
      <c r="A64" s="39"/>
      <c r="B64" s="40" t="s">
        <v>78</v>
      </c>
      <c r="C64" s="41"/>
      <c r="D64" s="42">
        <f>SUM(D62:D63)</f>
        <v>2346.88</v>
      </c>
      <c r="E64" s="43">
        <v>0</v>
      </c>
      <c r="F64" s="43">
        <v>0</v>
      </c>
      <c r="G64" s="43">
        <v>0</v>
      </c>
      <c r="H64" s="42">
        <f t="shared" ref="H64" si="7">SUM(H62:H63)</f>
        <v>2346.88</v>
      </c>
    </row>
    <row r="65" spans="1:9" ht="24" x14ac:dyDescent="0.2">
      <c r="A65" s="39"/>
      <c r="B65" s="61"/>
      <c r="C65" s="46" t="s">
        <v>58</v>
      </c>
      <c r="D65" s="47">
        <f>D64</f>
        <v>2346.88</v>
      </c>
      <c r="E65" s="47">
        <f t="shared" ref="E65:H65" si="8">E64</f>
        <v>0</v>
      </c>
      <c r="F65" s="47">
        <f t="shared" si="8"/>
        <v>0</v>
      </c>
      <c r="G65" s="47">
        <f t="shared" si="8"/>
        <v>0</v>
      </c>
      <c r="H65" s="47">
        <f t="shared" si="8"/>
        <v>2346.88</v>
      </c>
    </row>
    <row r="66" spans="1:9" x14ac:dyDescent="0.2">
      <c r="A66" s="39"/>
      <c r="B66" s="61"/>
      <c r="C66" s="50" t="s">
        <v>59</v>
      </c>
      <c r="D66" s="51">
        <v>0</v>
      </c>
      <c r="E66" s="51">
        <f t="shared" ref="E66:G66" si="9">E62</f>
        <v>0</v>
      </c>
      <c r="F66" s="51">
        <f t="shared" si="9"/>
        <v>0</v>
      </c>
      <c r="G66" s="51">
        <f t="shared" si="9"/>
        <v>0</v>
      </c>
      <c r="H66" s="51">
        <f>SUM(D66:G66)</f>
        <v>0</v>
      </c>
    </row>
    <row r="67" spans="1:9" x14ac:dyDescent="0.2">
      <c r="A67" s="39"/>
      <c r="B67" s="61"/>
      <c r="C67" s="54" t="s">
        <v>60</v>
      </c>
      <c r="D67" s="55">
        <v>0</v>
      </c>
      <c r="E67" s="55">
        <v>0</v>
      </c>
      <c r="F67" s="55">
        <v>0</v>
      </c>
      <c r="G67" s="55">
        <v>0</v>
      </c>
      <c r="H67" s="55">
        <f>SUM(D67:G67)</f>
        <v>0</v>
      </c>
    </row>
    <row r="68" spans="1:9" ht="15" x14ac:dyDescent="0.2">
      <c r="A68" s="33" t="s">
        <v>79</v>
      </c>
      <c r="B68" s="34"/>
      <c r="C68" s="34"/>
      <c r="D68" s="34"/>
      <c r="E68" s="34"/>
      <c r="F68" s="34"/>
      <c r="G68" s="34"/>
      <c r="H68" s="34"/>
    </row>
    <row r="69" spans="1:9" x14ac:dyDescent="0.2">
      <c r="A69" s="35">
        <v>21</v>
      </c>
      <c r="B69" s="36" t="s">
        <v>80</v>
      </c>
      <c r="C69" s="36" t="s">
        <v>81</v>
      </c>
      <c r="D69" s="37">
        <v>1552.88</v>
      </c>
      <c r="E69" s="37">
        <v>0</v>
      </c>
      <c r="F69" s="37">
        <v>0</v>
      </c>
      <c r="G69" s="37">
        <v>0</v>
      </c>
      <c r="H69" s="38">
        <f>D69+E69+F69+G69</f>
        <v>1552.88</v>
      </c>
    </row>
    <row r="70" spans="1:9" x14ac:dyDescent="0.2">
      <c r="A70" s="35">
        <v>22</v>
      </c>
      <c r="B70" s="36" t="s">
        <v>82</v>
      </c>
      <c r="C70" s="36" t="s">
        <v>83</v>
      </c>
      <c r="D70" s="37">
        <v>3056.05</v>
      </c>
      <c r="E70" s="37">
        <v>0</v>
      </c>
      <c r="F70" s="37">
        <v>0</v>
      </c>
      <c r="G70" s="37">
        <v>0</v>
      </c>
      <c r="H70" s="38">
        <f t="shared" ref="H70:H74" si="10">D70+E70+F70+G70</f>
        <v>3056.05</v>
      </c>
    </row>
    <row r="71" spans="1:9" x14ac:dyDescent="0.2">
      <c r="A71" s="35">
        <v>23</v>
      </c>
      <c r="B71" s="36" t="s">
        <v>84</v>
      </c>
      <c r="C71" s="36" t="s">
        <v>85</v>
      </c>
      <c r="D71" s="37">
        <v>786.56</v>
      </c>
      <c r="E71" s="37">
        <v>136.34</v>
      </c>
      <c r="F71" s="37">
        <v>0</v>
      </c>
      <c r="G71" s="37">
        <v>0</v>
      </c>
      <c r="H71" s="38">
        <f t="shared" si="10"/>
        <v>922.9</v>
      </c>
    </row>
    <row r="72" spans="1:9" x14ac:dyDescent="0.2">
      <c r="A72" s="35">
        <v>24</v>
      </c>
      <c r="B72" s="36" t="s">
        <v>86</v>
      </c>
      <c r="C72" s="36" t="s">
        <v>87</v>
      </c>
      <c r="D72" s="37">
        <v>9855.7900000000009</v>
      </c>
      <c r="E72" s="37">
        <v>2630.38</v>
      </c>
      <c r="F72" s="37">
        <v>120.54</v>
      </c>
      <c r="G72" s="37">
        <v>0</v>
      </c>
      <c r="H72" s="38">
        <f t="shared" si="10"/>
        <v>12606.710000000003</v>
      </c>
    </row>
    <row r="73" spans="1:9" x14ac:dyDescent="0.2">
      <c r="A73" s="35">
        <v>25</v>
      </c>
      <c r="B73" s="36" t="s">
        <v>88</v>
      </c>
      <c r="C73" s="36" t="s">
        <v>89</v>
      </c>
      <c r="D73" s="37">
        <v>18692.52</v>
      </c>
      <c r="E73" s="37">
        <v>0</v>
      </c>
      <c r="F73" s="37">
        <v>0</v>
      </c>
      <c r="G73" s="37">
        <v>0</v>
      </c>
      <c r="H73" s="38">
        <f t="shared" si="10"/>
        <v>18692.52</v>
      </c>
    </row>
    <row r="74" spans="1:9" ht="25.5" x14ac:dyDescent="0.2">
      <c r="A74" s="35">
        <v>26</v>
      </c>
      <c r="B74" s="36" t="s">
        <v>90</v>
      </c>
      <c r="C74" s="36" t="s">
        <v>91</v>
      </c>
      <c r="D74" s="37">
        <v>457.58</v>
      </c>
      <c r="E74" s="37">
        <v>0</v>
      </c>
      <c r="F74" s="37">
        <v>0</v>
      </c>
      <c r="G74" s="37">
        <v>0</v>
      </c>
      <c r="H74" s="38">
        <f t="shared" si="10"/>
        <v>457.58</v>
      </c>
    </row>
    <row r="75" spans="1:9" ht="27.95" customHeight="1" x14ac:dyDescent="0.2">
      <c r="A75" s="35"/>
      <c r="B75" s="40" t="s">
        <v>92</v>
      </c>
      <c r="C75" s="41"/>
      <c r="D75" s="42">
        <f>SUM(D69:D74)</f>
        <v>34401.380000000005</v>
      </c>
      <c r="E75" s="42">
        <f t="shared" ref="E75:H75" si="11">SUM(E69:E74)</f>
        <v>2766.7200000000003</v>
      </c>
      <c r="F75" s="42">
        <f t="shared" si="11"/>
        <v>120.54</v>
      </c>
      <c r="G75" s="43">
        <v>0</v>
      </c>
      <c r="H75" s="42">
        <f t="shared" si="11"/>
        <v>37288.639999999999</v>
      </c>
    </row>
    <row r="76" spans="1:9" ht="24" x14ac:dyDescent="0.2">
      <c r="A76" s="35"/>
      <c r="B76" s="61"/>
      <c r="C76" s="46" t="s">
        <v>58</v>
      </c>
      <c r="D76" s="47">
        <f>D75</f>
        <v>34401.380000000005</v>
      </c>
      <c r="E76" s="47">
        <f t="shared" ref="E76:H76" si="12">E75</f>
        <v>2766.7200000000003</v>
      </c>
      <c r="F76" s="47">
        <f t="shared" si="12"/>
        <v>120.54</v>
      </c>
      <c r="G76" s="47">
        <f t="shared" si="12"/>
        <v>0</v>
      </c>
      <c r="H76" s="47">
        <f t="shared" si="12"/>
        <v>37288.639999999999</v>
      </c>
    </row>
    <row r="77" spans="1:9" x14ac:dyDescent="0.2">
      <c r="A77" s="35"/>
      <c r="B77" s="61"/>
      <c r="C77" s="50" t="s">
        <v>59</v>
      </c>
      <c r="D77" s="51">
        <v>0</v>
      </c>
      <c r="E77" s="51">
        <f t="shared" ref="E77:G77" si="13">E73</f>
        <v>0</v>
      </c>
      <c r="F77" s="51">
        <f t="shared" si="13"/>
        <v>0</v>
      </c>
      <c r="G77" s="51">
        <f t="shared" si="13"/>
        <v>0</v>
      </c>
      <c r="H77" s="51">
        <f>SUM(D77:G77)</f>
        <v>0</v>
      </c>
    </row>
    <row r="78" spans="1:9" x14ac:dyDescent="0.2">
      <c r="A78" s="35"/>
      <c r="B78" s="61"/>
      <c r="C78" s="54" t="s">
        <v>60</v>
      </c>
      <c r="D78" s="55">
        <v>0</v>
      </c>
      <c r="E78" s="55">
        <v>0</v>
      </c>
      <c r="F78" s="55">
        <v>0</v>
      </c>
      <c r="G78" s="55">
        <v>0</v>
      </c>
      <c r="H78" s="55">
        <f>SUM(D78:G78)</f>
        <v>0</v>
      </c>
    </row>
    <row r="79" spans="1:9" ht="15" x14ac:dyDescent="0.2">
      <c r="A79" s="39"/>
      <c r="B79" s="40" t="s">
        <v>93</v>
      </c>
      <c r="C79" s="41"/>
      <c r="D79" s="42">
        <f>D43+D51+D57+D64+D75</f>
        <v>1501990</v>
      </c>
      <c r="E79" s="42">
        <f>E43+E51+E57+E64+E75</f>
        <v>181584.16</v>
      </c>
      <c r="F79" s="42">
        <f>F43+F51+F57+F64+F75</f>
        <v>81304.17</v>
      </c>
      <c r="G79" s="42">
        <f>G43+G51+G57+G64+G75</f>
        <v>4554.5036499999997</v>
      </c>
      <c r="H79" s="42">
        <f>H43+H51+H57+H64+H75</f>
        <v>1769432.8336499997</v>
      </c>
      <c r="I79" s="63"/>
    </row>
    <row r="80" spans="1:9" ht="24" x14ac:dyDescent="0.2">
      <c r="A80" s="39"/>
      <c r="B80" s="61"/>
      <c r="C80" s="46" t="s">
        <v>58</v>
      </c>
      <c r="D80" s="47">
        <f>D76+D65+D58+D52+D44</f>
        <v>1271589.46</v>
      </c>
      <c r="E80" s="47">
        <f t="shared" ref="E80:G82" si="14">E76+E65+E58+E52+E44</f>
        <v>181420.21</v>
      </c>
      <c r="F80" s="47">
        <f t="shared" si="14"/>
        <v>81304.17</v>
      </c>
      <c r="G80" s="47">
        <f t="shared" si="14"/>
        <v>4554.5036499999997</v>
      </c>
      <c r="H80" s="47">
        <f>SUM(D80:G80)</f>
        <v>1538868.3436499999</v>
      </c>
    </row>
    <row r="81" spans="1:9" x14ac:dyDescent="0.2">
      <c r="A81" s="39"/>
      <c r="B81" s="61"/>
      <c r="C81" s="50" t="s">
        <v>59</v>
      </c>
      <c r="D81" s="51">
        <f>D77+D66+D59+D53+D45</f>
        <v>-498061.6</v>
      </c>
      <c r="E81" s="51">
        <f t="shared" si="14"/>
        <v>0</v>
      </c>
      <c r="F81" s="51">
        <f t="shared" si="14"/>
        <v>0</v>
      </c>
      <c r="G81" s="51">
        <f t="shared" si="14"/>
        <v>0</v>
      </c>
      <c r="H81" s="51">
        <f>SUM(D81:G81)</f>
        <v>-498061.6</v>
      </c>
    </row>
    <row r="82" spans="1:9" x14ac:dyDescent="0.2">
      <c r="A82" s="39"/>
      <c r="B82" s="61"/>
      <c r="C82" s="54" t="s">
        <v>60</v>
      </c>
      <c r="D82" s="55">
        <f>D78+D67+D60+D54+D46</f>
        <v>728462.14</v>
      </c>
      <c r="E82" s="55">
        <f t="shared" si="14"/>
        <v>163.95</v>
      </c>
      <c r="F82" s="55">
        <f t="shared" si="14"/>
        <v>0</v>
      </c>
      <c r="G82" s="55">
        <f t="shared" si="14"/>
        <v>0</v>
      </c>
      <c r="H82" s="55">
        <f>SUM(D82:G82)</f>
        <v>728626.09</v>
      </c>
    </row>
    <row r="83" spans="1:9" ht="15" x14ac:dyDescent="0.2">
      <c r="A83" s="33" t="s">
        <v>94</v>
      </c>
      <c r="B83" s="34"/>
      <c r="C83" s="34"/>
      <c r="D83" s="34"/>
      <c r="E83" s="34"/>
      <c r="F83" s="34"/>
      <c r="G83" s="34"/>
      <c r="H83" s="34"/>
    </row>
    <row r="84" spans="1:9" ht="25.5" x14ac:dyDescent="0.2">
      <c r="A84" s="35">
        <v>27</v>
      </c>
      <c r="B84" s="36" t="s">
        <v>95</v>
      </c>
      <c r="C84" s="36" t="s">
        <v>96</v>
      </c>
      <c r="D84" s="38">
        <f>D80*0.008</f>
        <v>10172.715679999999</v>
      </c>
      <c r="E84" s="38">
        <f t="shared" ref="E84" si="15">E80*0.008</f>
        <v>1451.36168</v>
      </c>
      <c r="F84" s="37">
        <v>0</v>
      </c>
      <c r="G84" s="37">
        <v>0</v>
      </c>
      <c r="H84" s="38">
        <f>D84+E84+F84+G84</f>
        <v>11624.077359999999</v>
      </c>
    </row>
    <row r="85" spans="1:9" ht="25.5" x14ac:dyDescent="0.2">
      <c r="A85" s="64" t="s">
        <v>97</v>
      </c>
      <c r="B85" s="36" t="s">
        <v>95</v>
      </c>
      <c r="C85" s="36" t="s">
        <v>98</v>
      </c>
      <c r="D85" s="38">
        <f>D81*0.008</f>
        <v>-3984.4928</v>
      </c>
      <c r="E85" s="37">
        <f>E81*0.008</f>
        <v>0</v>
      </c>
      <c r="F85" s="37">
        <v>0</v>
      </c>
      <c r="G85" s="37">
        <v>0</v>
      </c>
      <c r="H85" s="38">
        <f>D85+E85+F85+G85</f>
        <v>-3984.4928</v>
      </c>
    </row>
    <row r="86" spans="1:9" ht="25.5" x14ac:dyDescent="0.2">
      <c r="A86" s="64" t="s">
        <v>99</v>
      </c>
      <c r="B86" s="36" t="s">
        <v>95</v>
      </c>
      <c r="C86" s="36" t="s">
        <v>100</v>
      </c>
      <c r="D86" s="38">
        <f>D82*0.008</f>
        <v>5827.6971199999998</v>
      </c>
      <c r="E86" s="38">
        <f>E82*0.008</f>
        <v>1.3115999999999999</v>
      </c>
      <c r="F86" s="37">
        <v>0</v>
      </c>
      <c r="G86" s="37">
        <v>0</v>
      </c>
      <c r="H86" s="38">
        <f>D86+E86+F86+G86</f>
        <v>5829.0087199999998</v>
      </c>
    </row>
    <row r="87" spans="1:9" ht="15" x14ac:dyDescent="0.2">
      <c r="A87" s="39"/>
      <c r="B87" s="40" t="s">
        <v>101</v>
      </c>
      <c r="C87" s="41"/>
      <c r="D87" s="42">
        <f>SUM(D84:D86)</f>
        <v>12015.919999999998</v>
      </c>
      <c r="E87" s="42">
        <f>SUM(E84:E86)</f>
        <v>1452.67328</v>
      </c>
      <c r="F87" s="43">
        <v>0</v>
      </c>
      <c r="G87" s="43">
        <v>0</v>
      </c>
      <c r="H87" s="42">
        <f>SUM(D87:G87)</f>
        <v>13468.593279999997</v>
      </c>
    </row>
    <row r="88" spans="1:9" ht="24" x14ac:dyDescent="0.2">
      <c r="A88" s="39"/>
      <c r="B88" s="61"/>
      <c r="C88" s="46" t="s">
        <v>58</v>
      </c>
      <c r="D88" s="47">
        <f>D84</f>
        <v>10172.715679999999</v>
      </c>
      <c r="E88" s="47">
        <f t="shared" ref="E88:G90" si="16">E84</f>
        <v>1451.36168</v>
      </c>
      <c r="F88" s="47">
        <f t="shared" si="16"/>
        <v>0</v>
      </c>
      <c r="G88" s="47">
        <f t="shared" si="16"/>
        <v>0</v>
      </c>
      <c r="H88" s="47">
        <f>SUM(D88:G88)</f>
        <v>11624.077359999999</v>
      </c>
    </row>
    <row r="89" spans="1:9" x14ac:dyDescent="0.2">
      <c r="A89" s="39"/>
      <c r="B89" s="61"/>
      <c r="C89" s="50" t="s">
        <v>59</v>
      </c>
      <c r="D89" s="51">
        <f>D85</f>
        <v>-3984.4928</v>
      </c>
      <c r="E89" s="51">
        <f t="shared" si="16"/>
        <v>0</v>
      </c>
      <c r="F89" s="51">
        <f t="shared" si="16"/>
        <v>0</v>
      </c>
      <c r="G89" s="51">
        <f t="shared" si="16"/>
        <v>0</v>
      </c>
      <c r="H89" s="51">
        <f>SUM(D89:G89)</f>
        <v>-3984.4928</v>
      </c>
      <c r="I89" s="65"/>
    </row>
    <row r="90" spans="1:9" x14ac:dyDescent="0.2">
      <c r="A90" s="39"/>
      <c r="B90" s="61"/>
      <c r="C90" s="54" t="s">
        <v>60</v>
      </c>
      <c r="D90" s="55">
        <f>D86</f>
        <v>5827.6971199999998</v>
      </c>
      <c r="E90" s="55">
        <f t="shared" si="16"/>
        <v>1.3115999999999999</v>
      </c>
      <c r="F90" s="55">
        <f t="shared" si="16"/>
        <v>0</v>
      </c>
      <c r="G90" s="55">
        <f t="shared" si="16"/>
        <v>0</v>
      </c>
      <c r="H90" s="55">
        <f>SUM(D90:G90)</f>
        <v>5829.0087199999998</v>
      </c>
      <c r="I90" s="65"/>
    </row>
    <row r="91" spans="1:9" ht="15" x14ac:dyDescent="0.2">
      <c r="A91" s="39"/>
      <c r="B91" s="40" t="s">
        <v>102</v>
      </c>
      <c r="C91" s="41"/>
      <c r="D91" s="42">
        <f>D79+D87</f>
        <v>1514005.92</v>
      </c>
      <c r="E91" s="42">
        <f>E79+E87</f>
        <v>183036.83327999999</v>
      </c>
      <c r="F91" s="42">
        <f t="shared" ref="F91:H91" si="17">F79+F87</f>
        <v>81304.17</v>
      </c>
      <c r="G91" s="42">
        <f t="shared" si="17"/>
        <v>4554.5036499999997</v>
      </c>
      <c r="H91" s="42">
        <f t="shared" si="17"/>
        <v>1782901.4269299996</v>
      </c>
    </row>
    <row r="92" spans="1:9" ht="24" x14ac:dyDescent="0.2">
      <c r="A92" s="39"/>
      <c r="B92" s="61"/>
      <c r="C92" s="46" t="s">
        <v>58</v>
      </c>
      <c r="D92" s="47">
        <f>D80+D88</f>
        <v>1281762.1756799999</v>
      </c>
      <c r="E92" s="47">
        <f t="shared" ref="E92:G94" si="18">E80+E88</f>
        <v>182871.57167999999</v>
      </c>
      <c r="F92" s="47">
        <f t="shared" si="18"/>
        <v>81304.17</v>
      </c>
      <c r="G92" s="47">
        <f t="shared" si="18"/>
        <v>4554.5036499999997</v>
      </c>
      <c r="H92" s="47">
        <f>SUM(D92:G92)</f>
        <v>1550492.4210099999</v>
      </c>
      <c r="I92" s="63"/>
    </row>
    <row r="93" spans="1:9" x14ac:dyDescent="0.2">
      <c r="A93" s="39"/>
      <c r="B93" s="61"/>
      <c r="C93" s="50" t="s">
        <v>59</v>
      </c>
      <c r="D93" s="51">
        <f>D81+D89</f>
        <v>-502046.09279999998</v>
      </c>
      <c r="E93" s="51">
        <f t="shared" si="18"/>
        <v>0</v>
      </c>
      <c r="F93" s="51">
        <f t="shared" si="18"/>
        <v>0</v>
      </c>
      <c r="G93" s="51">
        <f t="shared" si="18"/>
        <v>0</v>
      </c>
      <c r="H93" s="51">
        <f>SUM(D93:G93)</f>
        <v>-502046.09279999998</v>
      </c>
    </row>
    <row r="94" spans="1:9" x14ac:dyDescent="0.2">
      <c r="A94" s="39"/>
      <c r="B94" s="61"/>
      <c r="C94" s="54" t="s">
        <v>60</v>
      </c>
      <c r="D94" s="55">
        <f>D82+D90</f>
        <v>734289.83712000004</v>
      </c>
      <c r="E94" s="55">
        <f t="shared" si="18"/>
        <v>165.26159999999999</v>
      </c>
      <c r="F94" s="55">
        <f t="shared" si="18"/>
        <v>0</v>
      </c>
      <c r="G94" s="55">
        <f t="shared" si="18"/>
        <v>0</v>
      </c>
      <c r="H94" s="55">
        <f>SUM(D94:G94)</f>
        <v>734455.09872000001</v>
      </c>
    </row>
    <row r="95" spans="1:9" ht="15" x14ac:dyDescent="0.2">
      <c r="A95" s="33" t="s">
        <v>103</v>
      </c>
      <c r="B95" s="34"/>
      <c r="C95" s="34"/>
      <c r="D95" s="34"/>
      <c r="E95" s="34"/>
      <c r="F95" s="34"/>
      <c r="G95" s="34"/>
      <c r="H95" s="34"/>
    </row>
    <row r="96" spans="1:9" ht="25.5" x14ac:dyDescent="0.2">
      <c r="A96" s="35">
        <v>28</v>
      </c>
      <c r="B96" s="36" t="s">
        <v>104</v>
      </c>
      <c r="C96" s="36" t="s">
        <v>105</v>
      </c>
      <c r="D96" s="37">
        <v>0</v>
      </c>
      <c r="E96" s="37">
        <v>0</v>
      </c>
      <c r="F96" s="37">
        <v>0</v>
      </c>
      <c r="G96" s="38">
        <f>4191.56/1.2/12*365*24.4*2/1000</f>
        <v>5184.7268555555556</v>
      </c>
      <c r="H96" s="38">
        <f>D96+E96+F96+G96</f>
        <v>5184.7268555555556</v>
      </c>
    </row>
    <row r="97" spans="1:8" ht="25.5" x14ac:dyDescent="0.2">
      <c r="A97" s="64" t="s">
        <v>106</v>
      </c>
      <c r="B97" s="36" t="s">
        <v>104</v>
      </c>
      <c r="C97" s="36" t="s">
        <v>107</v>
      </c>
      <c r="D97" s="37">
        <v>0</v>
      </c>
      <c r="E97" s="37">
        <v>0</v>
      </c>
      <c r="F97" s="37">
        <v>0</v>
      </c>
      <c r="G97" s="38">
        <f>-4191.56/1.2/12*365*24.4*2/1000</f>
        <v>-5184.7268555555556</v>
      </c>
      <c r="H97" s="38">
        <f>D97+E97+F97+G97</f>
        <v>-5184.7268555555556</v>
      </c>
    </row>
    <row r="98" spans="1:8" ht="25.5" x14ac:dyDescent="0.2">
      <c r="A98" s="64" t="s">
        <v>108</v>
      </c>
      <c r="B98" s="36" t="s">
        <v>104</v>
      </c>
      <c r="C98" s="36" t="s">
        <v>109</v>
      </c>
      <c r="D98" s="37">
        <v>0</v>
      </c>
      <c r="E98" s="37">
        <v>0</v>
      </c>
      <c r="F98" s="37">
        <v>0</v>
      </c>
      <c r="G98" s="38">
        <f>4191.56/1.2/12*365*17.6*2/1000</f>
        <v>3739.8029777777783</v>
      </c>
      <c r="H98" s="38">
        <f>D98+E98+F98+G98</f>
        <v>3739.8029777777783</v>
      </c>
    </row>
    <row r="99" spans="1:8" ht="102" x14ac:dyDescent="0.2">
      <c r="A99" s="35">
        <v>29</v>
      </c>
      <c r="B99" s="36" t="s">
        <v>110</v>
      </c>
      <c r="C99" s="36" t="s">
        <v>111</v>
      </c>
      <c r="D99" s="37">
        <v>0</v>
      </c>
      <c r="E99" s="37">
        <v>0</v>
      </c>
      <c r="F99" s="37">
        <v>0</v>
      </c>
      <c r="G99" s="38">
        <f>14.93*342.03*0.8234*24.4/1000</f>
        <v>102.594645958584</v>
      </c>
      <c r="H99" s="38">
        <f t="shared" ref="H99:H112" si="19">D99+E99+F99+G99</f>
        <v>102.594645958584</v>
      </c>
    </row>
    <row r="100" spans="1:8" ht="102" x14ac:dyDescent="0.2">
      <c r="A100" s="64" t="s">
        <v>112</v>
      </c>
      <c r="B100" s="36" t="s">
        <v>110</v>
      </c>
      <c r="C100" s="36" t="s">
        <v>113</v>
      </c>
      <c r="D100" s="37">
        <v>0</v>
      </c>
      <c r="E100" s="37">
        <v>0</v>
      </c>
      <c r="F100" s="37">
        <v>0</v>
      </c>
      <c r="G100" s="38">
        <f>-14.93*342.03*0.8234*24.4/1000</f>
        <v>-102.594645958584</v>
      </c>
      <c r="H100" s="38">
        <f t="shared" si="19"/>
        <v>-102.594645958584</v>
      </c>
    </row>
    <row r="101" spans="1:8" ht="102" x14ac:dyDescent="0.2">
      <c r="A101" s="64" t="s">
        <v>114</v>
      </c>
      <c r="B101" s="36" t="s">
        <v>110</v>
      </c>
      <c r="C101" s="36" t="s">
        <v>115</v>
      </c>
      <c r="D101" s="37">
        <v>0</v>
      </c>
      <c r="E101" s="37">
        <v>0</v>
      </c>
      <c r="F101" s="37">
        <v>0</v>
      </c>
      <c r="G101" s="38">
        <f>14.93*342.03*0.8234*17.6/1000</f>
        <v>74.002695445536006</v>
      </c>
      <c r="H101" s="38">
        <f t="shared" si="19"/>
        <v>74.002695445536006</v>
      </c>
    </row>
    <row r="102" spans="1:8" ht="38.25" x14ac:dyDescent="0.2">
      <c r="A102" s="35">
        <v>30</v>
      </c>
      <c r="B102" s="36" t="s">
        <v>116</v>
      </c>
      <c r="C102" s="36" t="s">
        <v>117</v>
      </c>
      <c r="D102" s="37">
        <v>0</v>
      </c>
      <c r="E102" s="37">
        <v>0</v>
      </c>
      <c r="F102" s="37">
        <v>0</v>
      </c>
      <c r="G102" s="38">
        <v>2404.98</v>
      </c>
      <c r="H102" s="38">
        <f t="shared" si="19"/>
        <v>2404.98</v>
      </c>
    </row>
    <row r="103" spans="1:8" ht="76.5" x14ac:dyDescent="0.2">
      <c r="A103" s="35">
        <v>31</v>
      </c>
      <c r="B103" s="36" t="s">
        <v>118</v>
      </c>
      <c r="C103" s="36" t="s">
        <v>119</v>
      </c>
      <c r="D103" s="37">
        <v>0</v>
      </c>
      <c r="E103" s="37">
        <v>0</v>
      </c>
      <c r="F103" s="37">
        <v>0</v>
      </c>
      <c r="G103" s="38">
        <f>0.02*(D80+E80)</f>
        <v>29060.1934</v>
      </c>
      <c r="H103" s="38">
        <f t="shared" si="19"/>
        <v>29060.1934</v>
      </c>
    </row>
    <row r="104" spans="1:8" ht="76.5" x14ac:dyDescent="0.2">
      <c r="A104" s="64" t="s">
        <v>120</v>
      </c>
      <c r="B104" s="36" t="s">
        <v>118</v>
      </c>
      <c r="C104" s="36" t="s">
        <v>121</v>
      </c>
      <c r="D104" s="37">
        <v>0</v>
      </c>
      <c r="E104" s="37">
        <v>0</v>
      </c>
      <c r="F104" s="37">
        <v>0</v>
      </c>
      <c r="G104" s="38">
        <f>0.02*(D81+E81)</f>
        <v>-9961.232</v>
      </c>
      <c r="H104" s="38">
        <f t="shared" si="19"/>
        <v>-9961.232</v>
      </c>
    </row>
    <row r="105" spans="1:8" ht="76.5" x14ac:dyDescent="0.2">
      <c r="A105" s="64" t="s">
        <v>122</v>
      </c>
      <c r="B105" s="36" t="s">
        <v>118</v>
      </c>
      <c r="C105" s="36" t="s">
        <v>123</v>
      </c>
      <c r="D105" s="37">
        <v>0</v>
      </c>
      <c r="E105" s="37">
        <v>0</v>
      </c>
      <c r="F105" s="37">
        <v>0</v>
      </c>
      <c r="G105" s="38">
        <f>0.02*(D82+E82)</f>
        <v>14572.5218</v>
      </c>
      <c r="H105" s="38">
        <f t="shared" si="19"/>
        <v>14572.5218</v>
      </c>
    </row>
    <row r="106" spans="1:8" ht="114.75" x14ac:dyDescent="0.2">
      <c r="A106" s="35">
        <v>32</v>
      </c>
      <c r="B106" s="36" t="s">
        <v>124</v>
      </c>
      <c r="C106" s="66" t="s">
        <v>125</v>
      </c>
      <c r="D106" s="37">
        <v>0</v>
      </c>
      <c r="E106" s="37">
        <v>0</v>
      </c>
      <c r="F106" s="37">
        <v>0</v>
      </c>
      <c r="G106" s="38">
        <f>0.029*(D80+E80)</f>
        <v>42137.280429999999</v>
      </c>
      <c r="H106" s="38">
        <f t="shared" si="19"/>
        <v>42137.280429999999</v>
      </c>
    </row>
    <row r="107" spans="1:8" ht="114.75" x14ac:dyDescent="0.2">
      <c r="A107" s="64" t="s">
        <v>126</v>
      </c>
      <c r="B107" s="36" t="s">
        <v>124</v>
      </c>
      <c r="C107" s="66" t="s">
        <v>127</v>
      </c>
      <c r="D107" s="37">
        <v>0</v>
      </c>
      <c r="E107" s="37">
        <v>0</v>
      </c>
      <c r="F107" s="37">
        <v>0</v>
      </c>
      <c r="G107" s="38">
        <f>0.029*(D81+E81)</f>
        <v>-14443.786400000001</v>
      </c>
      <c r="H107" s="38">
        <f t="shared" si="19"/>
        <v>-14443.786400000001</v>
      </c>
    </row>
    <row r="108" spans="1:8" ht="114.75" x14ac:dyDescent="0.2">
      <c r="A108" s="64" t="s">
        <v>128</v>
      </c>
      <c r="B108" s="36" t="s">
        <v>124</v>
      </c>
      <c r="C108" s="66" t="s">
        <v>129</v>
      </c>
      <c r="D108" s="37">
        <v>0</v>
      </c>
      <c r="E108" s="37">
        <v>0</v>
      </c>
      <c r="F108" s="37">
        <v>0</v>
      </c>
      <c r="G108" s="38">
        <f>0.029*(D82+E82)</f>
        <v>21130.156610000002</v>
      </c>
      <c r="H108" s="38">
        <f t="shared" si="19"/>
        <v>21130.156610000002</v>
      </c>
    </row>
    <row r="109" spans="1:8" ht="38.25" x14ac:dyDescent="0.2">
      <c r="A109" s="35">
        <v>33</v>
      </c>
      <c r="B109" s="36" t="s">
        <v>130</v>
      </c>
      <c r="C109" s="36" t="s">
        <v>131</v>
      </c>
      <c r="D109" s="37">
        <v>0</v>
      </c>
      <c r="E109" s="37">
        <v>0</v>
      </c>
      <c r="F109" s="37">
        <v>0</v>
      </c>
      <c r="G109" s="38">
        <v>711.57</v>
      </c>
      <c r="H109" s="38">
        <f t="shared" si="19"/>
        <v>711.57</v>
      </c>
    </row>
    <row r="110" spans="1:8" x14ac:dyDescent="0.2">
      <c r="A110" s="35">
        <v>34</v>
      </c>
      <c r="B110" s="36" t="s">
        <v>132</v>
      </c>
      <c r="C110" s="36" t="s">
        <v>133</v>
      </c>
      <c r="D110" s="37">
        <v>0</v>
      </c>
      <c r="E110" s="37">
        <v>0</v>
      </c>
      <c r="F110" s="37">
        <v>0</v>
      </c>
      <c r="G110" s="67">
        <v>18151.52</v>
      </c>
      <c r="H110" s="38">
        <f t="shared" si="19"/>
        <v>18151.52</v>
      </c>
    </row>
    <row r="111" spans="1:8" x14ac:dyDescent="0.2">
      <c r="A111" s="35">
        <v>35</v>
      </c>
      <c r="B111" s="36" t="s">
        <v>134</v>
      </c>
      <c r="C111" s="36" t="s">
        <v>135</v>
      </c>
      <c r="D111" s="37">
        <v>0</v>
      </c>
      <c r="E111" s="37">
        <v>0</v>
      </c>
      <c r="F111" s="37">
        <v>0</v>
      </c>
      <c r="G111" s="67">
        <v>32129.63</v>
      </c>
      <c r="H111" s="38">
        <f t="shared" si="19"/>
        <v>32129.63</v>
      </c>
    </row>
    <row r="112" spans="1:8" x14ac:dyDescent="0.2">
      <c r="A112" s="35">
        <v>36</v>
      </c>
      <c r="B112" s="36" t="s">
        <v>136</v>
      </c>
      <c r="C112" s="36" t="s">
        <v>137</v>
      </c>
      <c r="D112" s="37">
        <v>0</v>
      </c>
      <c r="E112" s="37">
        <v>0</v>
      </c>
      <c r="F112" s="37">
        <v>0</v>
      </c>
      <c r="G112" s="67">
        <v>8910.2000000000007</v>
      </c>
      <c r="H112" s="38">
        <f t="shared" si="19"/>
        <v>8910.2000000000007</v>
      </c>
    </row>
    <row r="113" spans="1:9" ht="15" x14ac:dyDescent="0.2">
      <c r="A113" s="39"/>
      <c r="B113" s="40" t="s">
        <v>138</v>
      </c>
      <c r="C113" s="41"/>
      <c r="D113" s="43">
        <v>0</v>
      </c>
      <c r="E113" s="43">
        <v>0</v>
      </c>
      <c r="F113" s="43">
        <v>0</v>
      </c>
      <c r="G113" s="42">
        <f>SUM(G96:G112)</f>
        <v>148616.83951322336</v>
      </c>
      <c r="H113" s="42">
        <f>SUM(D113:G113)</f>
        <v>148616.83951322336</v>
      </c>
    </row>
    <row r="114" spans="1:9" ht="24" x14ac:dyDescent="0.2">
      <c r="A114" s="39"/>
      <c r="B114" s="61"/>
      <c r="C114" s="46" t="s">
        <v>58</v>
      </c>
      <c r="D114" s="47">
        <f>D113</f>
        <v>0</v>
      </c>
      <c r="E114" s="47">
        <f t="shared" ref="E114:F114" si="20">E113</f>
        <v>0</v>
      </c>
      <c r="F114" s="47">
        <f t="shared" si="20"/>
        <v>0</v>
      </c>
      <c r="G114" s="47">
        <f>G96+G99+G102+G103+G106+G109+G110+G111+G112</f>
        <v>138792.69533151414</v>
      </c>
      <c r="H114" s="47">
        <f>SUM(D114:G114)</f>
        <v>138792.69533151414</v>
      </c>
    </row>
    <row r="115" spans="1:9" x14ac:dyDescent="0.2">
      <c r="A115" s="39"/>
      <c r="B115" s="61"/>
      <c r="C115" s="50" t="s">
        <v>59</v>
      </c>
      <c r="D115" s="51">
        <v>0</v>
      </c>
      <c r="E115" s="51">
        <v>0</v>
      </c>
      <c r="F115" s="51">
        <v>0</v>
      </c>
      <c r="G115" s="51">
        <f>G97+G100+G104+G107</f>
        <v>-29692.33990151414</v>
      </c>
      <c r="H115" s="51">
        <f>SUM(D115:G115)</f>
        <v>-29692.33990151414</v>
      </c>
      <c r="I115" s="63"/>
    </row>
    <row r="116" spans="1:9" x14ac:dyDescent="0.2">
      <c r="A116" s="39"/>
      <c r="B116" s="61"/>
      <c r="C116" s="54" t="s">
        <v>60</v>
      </c>
      <c r="D116" s="55">
        <v>0</v>
      </c>
      <c r="E116" s="55">
        <v>0</v>
      </c>
      <c r="F116" s="55">
        <v>0</v>
      </c>
      <c r="G116" s="55">
        <f>G98+G101+G105+G108</f>
        <v>39516.484083223317</v>
      </c>
      <c r="H116" s="55">
        <f>SUM(D116:G116)</f>
        <v>39516.484083223317</v>
      </c>
      <c r="I116" s="63"/>
    </row>
    <row r="117" spans="1:9" ht="15" x14ac:dyDescent="0.2">
      <c r="A117" s="39"/>
      <c r="B117" s="40" t="s">
        <v>139</v>
      </c>
      <c r="C117" s="41"/>
      <c r="D117" s="42">
        <f>D91+D113</f>
        <v>1514005.92</v>
      </c>
      <c r="E117" s="42">
        <f>E91+E113</f>
        <v>183036.83327999999</v>
      </c>
      <c r="F117" s="42">
        <f>F91+F113</f>
        <v>81304.17</v>
      </c>
      <c r="G117" s="42">
        <f>G91+G113</f>
        <v>153171.34316322336</v>
      </c>
      <c r="H117" s="42">
        <f>H91+H113</f>
        <v>1931518.266443223</v>
      </c>
      <c r="I117" s="63"/>
    </row>
    <row r="118" spans="1:9" ht="24" x14ac:dyDescent="0.2">
      <c r="A118" s="39"/>
      <c r="B118" s="61"/>
      <c r="C118" s="46" t="s">
        <v>58</v>
      </c>
      <c r="D118" s="47">
        <f>D92+D114</f>
        <v>1281762.1756799999</v>
      </c>
      <c r="E118" s="47">
        <f t="shared" ref="E118:G119" si="21">E92+E114</f>
        <v>182871.57167999999</v>
      </c>
      <c r="F118" s="47">
        <f t="shared" si="21"/>
        <v>81304.17</v>
      </c>
      <c r="G118" s="47">
        <f t="shared" si="21"/>
        <v>143347.19898151414</v>
      </c>
      <c r="H118" s="47">
        <f>SUM(D118:G118)</f>
        <v>1689285.116341514</v>
      </c>
    </row>
    <row r="119" spans="1:9" x14ac:dyDescent="0.2">
      <c r="A119" s="39"/>
      <c r="B119" s="61"/>
      <c r="C119" s="50" t="s">
        <v>59</v>
      </c>
      <c r="D119" s="51">
        <f>D93+D115</f>
        <v>-502046.09279999998</v>
      </c>
      <c r="E119" s="51">
        <f t="shared" si="21"/>
        <v>0</v>
      </c>
      <c r="F119" s="51">
        <f t="shared" si="21"/>
        <v>0</v>
      </c>
      <c r="G119" s="51">
        <f t="shared" si="21"/>
        <v>-29692.33990151414</v>
      </c>
      <c r="H119" s="51">
        <f>SUM(D119:G119)</f>
        <v>-531738.4327015141</v>
      </c>
    </row>
    <row r="120" spans="1:9" x14ac:dyDescent="0.2">
      <c r="A120" s="39"/>
      <c r="B120" s="61"/>
      <c r="C120" s="54" t="s">
        <v>60</v>
      </c>
      <c r="D120" s="55">
        <f>D116+D94</f>
        <v>734289.83712000004</v>
      </c>
      <c r="E120" s="55">
        <f t="shared" ref="E120:G120" si="22">E116+E94</f>
        <v>165.26159999999999</v>
      </c>
      <c r="F120" s="55">
        <f t="shared" si="22"/>
        <v>0</v>
      </c>
      <c r="G120" s="55">
        <f t="shared" si="22"/>
        <v>39516.484083223317</v>
      </c>
      <c r="H120" s="55">
        <f>SUM(D120:G120)</f>
        <v>773971.58280322328</v>
      </c>
    </row>
    <row r="121" spans="1:9" ht="15" x14ac:dyDescent="0.2">
      <c r="A121" s="33" t="s">
        <v>140</v>
      </c>
      <c r="B121" s="34"/>
      <c r="C121" s="34"/>
      <c r="D121" s="34"/>
      <c r="E121" s="34"/>
      <c r="F121" s="34"/>
      <c r="G121" s="34"/>
      <c r="H121" s="34"/>
    </row>
    <row r="122" spans="1:9" ht="51" x14ac:dyDescent="0.2">
      <c r="A122" s="35">
        <v>37</v>
      </c>
      <c r="B122" s="36" t="s">
        <v>141</v>
      </c>
      <c r="C122" s="36" t="s">
        <v>142</v>
      </c>
      <c r="D122" s="37">
        <v>0</v>
      </c>
      <c r="E122" s="37">
        <v>0</v>
      </c>
      <c r="F122" s="37">
        <v>0</v>
      </c>
      <c r="G122" s="38">
        <f>53957*90.1924*1.1/1000</f>
        <v>5353.1624594800005</v>
      </c>
      <c r="H122" s="38">
        <f>D122+E122+F122+G122</f>
        <v>5353.1624594800005</v>
      </c>
    </row>
    <row r="123" spans="1:9" ht="51" x14ac:dyDescent="0.2">
      <c r="A123" s="64" t="s">
        <v>143</v>
      </c>
      <c r="B123" s="36" t="s">
        <v>141</v>
      </c>
      <c r="C123" s="36" t="s">
        <v>144</v>
      </c>
      <c r="D123" s="37">
        <v>0</v>
      </c>
      <c r="E123" s="37">
        <v>0</v>
      </c>
      <c r="F123" s="37">
        <v>0</v>
      </c>
      <c r="G123" s="38">
        <f>-53957*90.1924*1.1/1000</f>
        <v>-5353.1624594800005</v>
      </c>
      <c r="H123" s="38">
        <f>D123+E123+F123+G123</f>
        <v>-5353.1624594800005</v>
      </c>
    </row>
    <row r="124" spans="1:9" ht="51" x14ac:dyDescent="0.2">
      <c r="A124" s="64" t="s">
        <v>145</v>
      </c>
      <c r="B124" s="36" t="s">
        <v>141</v>
      </c>
      <c r="C124" s="36" t="s">
        <v>146</v>
      </c>
      <c r="D124" s="37">
        <v>0</v>
      </c>
      <c r="E124" s="37">
        <v>0</v>
      </c>
      <c r="F124" s="37">
        <v>0</v>
      </c>
      <c r="G124" s="38">
        <f>55973*90.1924*1.1/1000</f>
        <v>5553.1731257200008</v>
      </c>
      <c r="H124" s="38">
        <f>D124+E124+F124+G124</f>
        <v>5553.1731257200008</v>
      </c>
    </row>
    <row r="125" spans="1:9" ht="51" x14ac:dyDescent="0.2">
      <c r="A125" s="35">
        <v>38</v>
      </c>
      <c r="B125" s="36" t="s">
        <v>141</v>
      </c>
      <c r="C125" s="36" t="s">
        <v>147</v>
      </c>
      <c r="D125" s="37">
        <v>0</v>
      </c>
      <c r="E125" s="37">
        <v>0</v>
      </c>
      <c r="F125" s="37">
        <v>0</v>
      </c>
      <c r="G125" s="38">
        <f>1.36*(H118-H40)/100</f>
        <v>22970.877582244593</v>
      </c>
      <c r="H125" s="38">
        <f t="shared" ref="H125:H128" si="23">D125+E125+F125+G125</f>
        <v>22970.877582244593</v>
      </c>
    </row>
    <row r="126" spans="1:9" ht="51" x14ac:dyDescent="0.2">
      <c r="A126" s="64" t="s">
        <v>148</v>
      </c>
      <c r="B126" s="36" t="s">
        <v>141</v>
      </c>
      <c r="C126" s="36" t="s">
        <v>149</v>
      </c>
      <c r="D126" s="37">
        <v>0</v>
      </c>
      <c r="E126" s="37">
        <v>0</v>
      </c>
      <c r="F126" s="37">
        <v>0</v>
      </c>
      <c r="G126" s="38">
        <f>1.36*(H119-H40)/100</f>
        <v>-7235.0426847405915</v>
      </c>
      <c r="H126" s="38">
        <f t="shared" si="23"/>
        <v>-7235.0426847405915</v>
      </c>
    </row>
    <row r="127" spans="1:9" ht="51" x14ac:dyDescent="0.2">
      <c r="A127" s="64" t="s">
        <v>150</v>
      </c>
      <c r="B127" s="36" t="s">
        <v>141</v>
      </c>
      <c r="C127" s="36" t="s">
        <v>151</v>
      </c>
      <c r="D127" s="37">
        <v>0</v>
      </c>
      <c r="E127" s="37">
        <v>0</v>
      </c>
      <c r="F127" s="37">
        <v>0</v>
      </c>
      <c r="G127" s="38">
        <f>1.36*(H120-H40)/100</f>
        <v>10522.613526123836</v>
      </c>
      <c r="H127" s="38">
        <f t="shared" si="23"/>
        <v>10522.613526123836</v>
      </c>
    </row>
    <row r="128" spans="1:9" ht="51" x14ac:dyDescent="0.2">
      <c r="A128" s="35">
        <v>39</v>
      </c>
      <c r="B128" s="36" t="s">
        <v>152</v>
      </c>
      <c r="C128" s="36" t="s">
        <v>153</v>
      </c>
      <c r="D128" s="37">
        <v>0</v>
      </c>
      <c r="E128" s="37">
        <v>0</v>
      </c>
      <c r="F128" s="37">
        <v>0</v>
      </c>
      <c r="G128" s="38">
        <f>742813.42/1000</f>
        <v>742.81342000000006</v>
      </c>
      <c r="H128" s="38">
        <f t="shared" si="23"/>
        <v>742.81342000000006</v>
      </c>
    </row>
    <row r="129" spans="1:9" ht="15" x14ac:dyDescent="0.2">
      <c r="A129" s="39"/>
      <c r="B129" s="40" t="s">
        <v>154</v>
      </c>
      <c r="C129" s="41"/>
      <c r="D129" s="43">
        <v>0</v>
      </c>
      <c r="E129" s="43">
        <v>0</v>
      </c>
      <c r="F129" s="43">
        <v>0</v>
      </c>
      <c r="G129" s="42">
        <f>SUM(G122:G128)</f>
        <v>32554.434969347836</v>
      </c>
      <c r="H129" s="42">
        <f>SUM(H122:H128)</f>
        <v>32554.434969347836</v>
      </c>
    </row>
    <row r="130" spans="1:9" ht="24" x14ac:dyDescent="0.2">
      <c r="A130" s="39"/>
      <c r="B130" s="61"/>
      <c r="C130" s="46" t="s">
        <v>58</v>
      </c>
      <c r="D130" s="47">
        <v>0</v>
      </c>
      <c r="E130" s="47">
        <v>0</v>
      </c>
      <c r="F130" s="47">
        <v>0</v>
      </c>
      <c r="G130" s="47">
        <f>G122+G125+G128</f>
        <v>29066.853461724593</v>
      </c>
      <c r="H130" s="47">
        <f>SUM(D130:G130)</f>
        <v>29066.853461724593</v>
      </c>
    </row>
    <row r="131" spans="1:9" x14ac:dyDescent="0.2">
      <c r="A131" s="39"/>
      <c r="B131" s="61"/>
      <c r="C131" s="50" t="s">
        <v>59</v>
      </c>
      <c r="D131" s="51">
        <v>0</v>
      </c>
      <c r="E131" s="51">
        <v>0</v>
      </c>
      <c r="F131" s="51">
        <v>0</v>
      </c>
      <c r="G131" s="51">
        <f>G123+G126</f>
        <v>-12588.205144220592</v>
      </c>
      <c r="H131" s="51">
        <f>SUM(D131:G131)</f>
        <v>-12588.205144220592</v>
      </c>
      <c r="I131" s="62"/>
    </row>
    <row r="132" spans="1:9" x14ac:dyDescent="0.2">
      <c r="A132" s="39"/>
      <c r="B132" s="61"/>
      <c r="C132" s="54" t="s">
        <v>60</v>
      </c>
      <c r="D132" s="55">
        <v>0</v>
      </c>
      <c r="E132" s="55">
        <v>0</v>
      </c>
      <c r="F132" s="55">
        <v>0</v>
      </c>
      <c r="G132" s="55">
        <f>G124+G127</f>
        <v>16075.786651843837</v>
      </c>
      <c r="H132" s="55">
        <f>SUM(D132:G132)</f>
        <v>16075.786651843837</v>
      </c>
      <c r="I132" s="62"/>
    </row>
    <row r="133" spans="1:9" ht="60" customHeight="1" x14ac:dyDescent="0.2">
      <c r="A133" s="33" t="s">
        <v>155</v>
      </c>
      <c r="B133" s="34"/>
      <c r="C133" s="34"/>
      <c r="D133" s="34"/>
      <c r="E133" s="34"/>
      <c r="F133" s="34"/>
      <c r="G133" s="34"/>
      <c r="H133" s="34"/>
    </row>
    <row r="134" spans="1:9" x14ac:dyDescent="0.2">
      <c r="A134" s="35">
        <v>40</v>
      </c>
      <c r="B134" s="36" t="s">
        <v>156</v>
      </c>
      <c r="C134" s="36" t="s">
        <v>157</v>
      </c>
      <c r="D134" s="37">
        <v>0</v>
      </c>
      <c r="E134" s="37">
        <v>0</v>
      </c>
      <c r="F134" s="37">
        <v>0</v>
      </c>
      <c r="G134" s="38">
        <v>55956.99</v>
      </c>
      <c r="H134" s="38">
        <f>D134+E134+F134+G134</f>
        <v>55956.99</v>
      </c>
    </row>
    <row r="135" spans="1:9" x14ac:dyDescent="0.2">
      <c r="A135" s="35">
        <v>41</v>
      </c>
      <c r="B135" s="36" t="s">
        <v>156</v>
      </c>
      <c r="C135" s="36" t="s">
        <v>158</v>
      </c>
      <c r="D135" s="37">
        <v>0</v>
      </c>
      <c r="E135" s="37">
        <v>0</v>
      </c>
      <c r="F135" s="37">
        <v>0</v>
      </c>
      <c r="G135" s="38">
        <v>5686.76</v>
      </c>
      <c r="H135" s="38">
        <f t="shared" ref="H135:H141" si="24">D135+E135+F135+G135</f>
        <v>5686.76</v>
      </c>
    </row>
    <row r="136" spans="1:9" ht="25.5" x14ac:dyDescent="0.2">
      <c r="A136" s="35">
        <v>42</v>
      </c>
      <c r="B136" s="36" t="s">
        <v>159</v>
      </c>
      <c r="C136" s="36" t="s">
        <v>160</v>
      </c>
      <c r="D136" s="37">
        <v>0</v>
      </c>
      <c r="E136" s="37">
        <v>0</v>
      </c>
      <c r="F136" s="37">
        <v>0</v>
      </c>
      <c r="G136" s="38">
        <f>1847858.86/1.2/1000</f>
        <v>1539.8823833333336</v>
      </c>
      <c r="H136" s="38">
        <f t="shared" si="24"/>
        <v>1539.8823833333336</v>
      </c>
    </row>
    <row r="137" spans="1:9" ht="25.5" x14ac:dyDescent="0.2">
      <c r="A137" s="35" t="s">
        <v>161</v>
      </c>
      <c r="B137" s="36" t="s">
        <v>162</v>
      </c>
      <c r="C137" s="36" t="s">
        <v>163</v>
      </c>
      <c r="D137" s="37">
        <v>0</v>
      </c>
      <c r="E137" s="37">
        <v>0</v>
      </c>
      <c r="F137" s="37">
        <v>0</v>
      </c>
      <c r="G137" s="38">
        <v>477.08</v>
      </c>
      <c r="H137" s="38">
        <f t="shared" si="24"/>
        <v>477.08</v>
      </c>
    </row>
    <row r="138" spans="1:9" ht="25.5" x14ac:dyDescent="0.2">
      <c r="A138" s="35">
        <v>43</v>
      </c>
      <c r="B138" s="36" t="s">
        <v>164</v>
      </c>
      <c r="C138" s="36" t="s">
        <v>165</v>
      </c>
      <c r="D138" s="37">
        <v>0</v>
      </c>
      <c r="E138" s="37">
        <v>0</v>
      </c>
      <c r="F138" s="37">
        <v>0</v>
      </c>
      <c r="G138" s="38">
        <f>H118*0.15/100</f>
        <v>2533.9276745122711</v>
      </c>
      <c r="H138" s="38">
        <f t="shared" si="24"/>
        <v>2533.9276745122711</v>
      </c>
    </row>
    <row r="139" spans="1:9" ht="25.5" x14ac:dyDescent="0.2">
      <c r="A139" s="64" t="s">
        <v>166</v>
      </c>
      <c r="B139" s="36" t="s">
        <v>164</v>
      </c>
      <c r="C139" s="36" t="s">
        <v>167</v>
      </c>
      <c r="D139" s="37">
        <v>0</v>
      </c>
      <c r="E139" s="37">
        <v>0</v>
      </c>
      <c r="F139" s="37">
        <v>0</v>
      </c>
      <c r="G139" s="38">
        <f>H119*0.15/100</f>
        <v>-797.6076490522712</v>
      </c>
      <c r="H139" s="38">
        <f t="shared" si="24"/>
        <v>-797.6076490522712</v>
      </c>
    </row>
    <row r="140" spans="1:9" ht="25.5" x14ac:dyDescent="0.2">
      <c r="A140" s="64" t="s">
        <v>168</v>
      </c>
      <c r="B140" s="36" t="s">
        <v>164</v>
      </c>
      <c r="C140" s="36" t="s">
        <v>169</v>
      </c>
      <c r="D140" s="37">
        <v>0</v>
      </c>
      <c r="E140" s="37">
        <v>0</v>
      </c>
      <c r="F140" s="37">
        <v>0</v>
      </c>
      <c r="G140" s="38">
        <f>H120*0.15/100</f>
        <v>1160.9573742048349</v>
      </c>
      <c r="H140" s="38">
        <f t="shared" si="24"/>
        <v>1160.9573742048349</v>
      </c>
    </row>
    <row r="141" spans="1:9" ht="25.5" x14ac:dyDescent="0.2">
      <c r="A141" s="64" t="s">
        <v>170</v>
      </c>
      <c r="B141" s="36" t="s">
        <v>171</v>
      </c>
      <c r="C141" s="36" t="s">
        <v>172</v>
      </c>
      <c r="D141" s="37">
        <v>0</v>
      </c>
      <c r="E141" s="37">
        <v>0</v>
      </c>
      <c r="F141" s="37">
        <v>0</v>
      </c>
      <c r="G141" s="38">
        <f>0.0265*G134</f>
        <v>1482.8602349999999</v>
      </c>
      <c r="H141" s="38">
        <f t="shared" si="24"/>
        <v>1482.8602349999999</v>
      </c>
    </row>
    <row r="142" spans="1:9" ht="120.75" customHeight="1" x14ac:dyDescent="0.2">
      <c r="A142" s="39"/>
      <c r="B142" s="68" t="s">
        <v>173</v>
      </c>
      <c r="C142" s="69"/>
      <c r="D142" s="43">
        <v>0</v>
      </c>
      <c r="E142" s="43">
        <v>0</v>
      </c>
      <c r="F142" s="43">
        <v>0</v>
      </c>
      <c r="G142" s="70">
        <f>SUM(G134:G141)</f>
        <v>68040.850017998178</v>
      </c>
      <c r="H142" s="70">
        <f>SUM(H134:H141)</f>
        <v>68040.850017998178</v>
      </c>
    </row>
    <row r="143" spans="1:9" ht="24" x14ac:dyDescent="0.2">
      <c r="A143" s="39"/>
      <c r="B143" s="71"/>
      <c r="C143" s="46" t="s">
        <v>58</v>
      </c>
      <c r="D143" s="47">
        <v>0</v>
      </c>
      <c r="E143" s="47">
        <v>0</v>
      </c>
      <c r="F143" s="47">
        <v>0</v>
      </c>
      <c r="G143" s="47">
        <f>G134+G135+G136+G138+G141</f>
        <v>67200.420292845607</v>
      </c>
      <c r="H143" s="47">
        <f>SUM(D143:G143)</f>
        <v>67200.420292845607</v>
      </c>
    </row>
    <row r="144" spans="1:9" x14ac:dyDescent="0.2">
      <c r="A144" s="39"/>
      <c r="B144" s="71"/>
      <c r="C144" s="50" t="s">
        <v>59</v>
      </c>
      <c r="D144" s="51">
        <v>0</v>
      </c>
      <c r="E144" s="51">
        <v>0</v>
      </c>
      <c r="F144" s="51">
        <v>0</v>
      </c>
      <c r="G144" s="51">
        <f>G139</f>
        <v>-797.6076490522712</v>
      </c>
      <c r="H144" s="51">
        <f>SUM(D144:G144)</f>
        <v>-797.6076490522712</v>
      </c>
    </row>
    <row r="145" spans="1:9" x14ac:dyDescent="0.2">
      <c r="A145" s="39"/>
      <c r="B145" s="71"/>
      <c r="C145" s="54" t="s">
        <v>60</v>
      </c>
      <c r="D145" s="55">
        <v>0</v>
      </c>
      <c r="E145" s="55">
        <v>0</v>
      </c>
      <c r="F145" s="55">
        <v>0</v>
      </c>
      <c r="G145" s="55">
        <f>G140+G137</f>
        <v>1638.0373742048348</v>
      </c>
      <c r="H145" s="55">
        <f>SUM(D145:G145)</f>
        <v>1638.0373742048348</v>
      </c>
    </row>
    <row r="146" spans="1:9" ht="15" x14ac:dyDescent="0.2">
      <c r="A146" s="39"/>
      <c r="B146" s="40" t="s">
        <v>174</v>
      </c>
      <c r="C146" s="41"/>
      <c r="D146" s="42">
        <f>D142+D129+D117</f>
        <v>1514005.92</v>
      </c>
      <c r="E146" s="42">
        <f>E142+E129+E117</f>
        <v>183036.83327999999</v>
      </c>
      <c r="F146" s="42">
        <f>F142+F129+F117</f>
        <v>81304.17</v>
      </c>
      <c r="G146" s="42">
        <f>G142+G129+G117</f>
        <v>253766.62815056936</v>
      </c>
      <c r="H146" s="42">
        <f>H142+H129+H117</f>
        <v>2032113.551430569</v>
      </c>
    </row>
    <row r="147" spans="1:9" ht="24" x14ac:dyDescent="0.2">
      <c r="A147" s="39"/>
      <c r="B147" s="61"/>
      <c r="C147" s="46" t="s">
        <v>58</v>
      </c>
      <c r="D147" s="47">
        <f>D143+D130+D118</f>
        <v>1281762.1756799999</v>
      </c>
      <c r="E147" s="47">
        <f t="shared" ref="E147:G149" si="25">E143+E130+E118</f>
        <v>182871.57167999999</v>
      </c>
      <c r="F147" s="47">
        <f t="shared" si="25"/>
        <v>81304.17</v>
      </c>
      <c r="G147" s="47">
        <f t="shared" si="25"/>
        <v>239614.47273608434</v>
      </c>
      <c r="H147" s="47">
        <f>SUM(D147:G147)</f>
        <v>1785552.3900960842</v>
      </c>
      <c r="I147" s="63"/>
    </row>
    <row r="148" spans="1:9" x14ac:dyDescent="0.2">
      <c r="A148" s="39"/>
      <c r="B148" s="61"/>
      <c r="C148" s="50" t="s">
        <v>59</v>
      </c>
      <c r="D148" s="51">
        <f>D144+D131+D119</f>
        <v>-502046.09279999998</v>
      </c>
      <c r="E148" s="51">
        <f t="shared" si="25"/>
        <v>0</v>
      </c>
      <c r="F148" s="51">
        <f t="shared" si="25"/>
        <v>0</v>
      </c>
      <c r="G148" s="51">
        <f t="shared" si="25"/>
        <v>-43078.152694787001</v>
      </c>
      <c r="H148" s="51">
        <f>SUM(D148:G148)</f>
        <v>-545124.245494787</v>
      </c>
      <c r="I148" s="63"/>
    </row>
    <row r="149" spans="1:9" x14ac:dyDescent="0.2">
      <c r="A149" s="39"/>
      <c r="B149" s="61"/>
      <c r="C149" s="54" t="s">
        <v>60</v>
      </c>
      <c r="D149" s="55">
        <f>D145+D132+D120</f>
        <v>734289.83712000004</v>
      </c>
      <c r="E149" s="55">
        <f t="shared" si="25"/>
        <v>165.26159999999999</v>
      </c>
      <c r="F149" s="55">
        <f t="shared" si="25"/>
        <v>0</v>
      </c>
      <c r="G149" s="55">
        <f t="shared" si="25"/>
        <v>57230.308109271988</v>
      </c>
      <c r="H149" s="55">
        <f>SUM(D149:G149)</f>
        <v>791685.40682927205</v>
      </c>
    </row>
    <row r="150" spans="1:9" ht="15" x14ac:dyDescent="0.2">
      <c r="A150" s="33" t="s">
        <v>175</v>
      </c>
      <c r="B150" s="34"/>
      <c r="C150" s="34"/>
      <c r="D150" s="34"/>
      <c r="E150" s="34"/>
      <c r="F150" s="34"/>
      <c r="G150" s="34"/>
      <c r="H150" s="34"/>
    </row>
    <row r="151" spans="1:9" ht="25.5" x14ac:dyDescent="0.2">
      <c r="A151" s="35">
        <v>45</v>
      </c>
      <c r="B151" s="36" t="s">
        <v>176</v>
      </c>
      <c r="C151" s="36" t="s">
        <v>177</v>
      </c>
      <c r="D151" s="38">
        <f>D146*0.02</f>
        <v>30280.118399999999</v>
      </c>
      <c r="E151" s="38">
        <f>E146*0.02</f>
        <v>3660.7366655999999</v>
      </c>
      <c r="F151" s="38">
        <f>F146*0.02</f>
        <v>1626.0834</v>
      </c>
      <c r="G151" s="38">
        <f>G146*0.02</f>
        <v>5075.3325630113877</v>
      </c>
      <c r="H151" s="38">
        <f>D151+E151+F151+G151</f>
        <v>40642.271028611394</v>
      </c>
    </row>
    <row r="152" spans="1:9" ht="15" x14ac:dyDescent="0.2">
      <c r="A152" s="39"/>
      <c r="B152" s="40" t="s">
        <v>178</v>
      </c>
      <c r="C152" s="41"/>
      <c r="D152" s="42">
        <f>SUM(D151)</f>
        <v>30280.118399999999</v>
      </c>
      <c r="E152" s="42">
        <f t="shared" ref="E152:H152" si="26">SUM(E151)</f>
        <v>3660.7366655999999</v>
      </c>
      <c r="F152" s="42">
        <f t="shared" si="26"/>
        <v>1626.0834</v>
      </c>
      <c r="G152" s="42">
        <f t="shared" si="26"/>
        <v>5075.3325630113877</v>
      </c>
      <c r="H152" s="42">
        <f t="shared" si="26"/>
        <v>40642.271028611394</v>
      </c>
    </row>
    <row r="153" spans="1:9" ht="24" x14ac:dyDescent="0.2">
      <c r="A153" s="39"/>
      <c r="B153" s="61"/>
      <c r="C153" s="46" t="s">
        <v>58</v>
      </c>
      <c r="D153" s="47">
        <f>D147*0.02</f>
        <v>25635.243513599999</v>
      </c>
      <c r="E153" s="47">
        <f t="shared" ref="E153:G155" si="27">E147*0.02</f>
        <v>3657.4314335999998</v>
      </c>
      <c r="F153" s="47">
        <f t="shared" si="27"/>
        <v>1626.0834</v>
      </c>
      <c r="G153" s="47">
        <f t="shared" si="27"/>
        <v>4792.2894547216865</v>
      </c>
      <c r="H153" s="47">
        <f>SUM(D153:G153)</f>
        <v>35711.047801921683</v>
      </c>
      <c r="I153" s="63"/>
    </row>
    <row r="154" spans="1:9" x14ac:dyDescent="0.2">
      <c r="A154" s="39"/>
      <c r="B154" s="61"/>
      <c r="C154" s="50" t="s">
        <v>59</v>
      </c>
      <c r="D154" s="51">
        <f>D148*0.02</f>
        <v>-10040.921855999999</v>
      </c>
      <c r="E154" s="51">
        <f t="shared" si="27"/>
        <v>0</v>
      </c>
      <c r="F154" s="51">
        <f t="shared" si="27"/>
        <v>0</v>
      </c>
      <c r="G154" s="51">
        <f t="shared" si="27"/>
        <v>-861.56305389574004</v>
      </c>
      <c r="H154" s="51">
        <f>SUM(D154:G154)</f>
        <v>-10902.484909895738</v>
      </c>
    </row>
    <row r="155" spans="1:9" x14ac:dyDescent="0.2">
      <c r="A155" s="39"/>
      <c r="B155" s="61"/>
      <c r="C155" s="54" t="s">
        <v>60</v>
      </c>
      <c r="D155" s="55">
        <f>D149*0.02</f>
        <v>14685.796742400002</v>
      </c>
      <c r="E155" s="55">
        <f t="shared" si="27"/>
        <v>3.3052319999999997</v>
      </c>
      <c r="F155" s="55">
        <f t="shared" si="27"/>
        <v>0</v>
      </c>
      <c r="G155" s="55">
        <f t="shared" si="27"/>
        <v>1144.6061621854399</v>
      </c>
      <c r="H155" s="55">
        <f>SUM(D155:G155)</f>
        <v>15833.708136585443</v>
      </c>
    </row>
    <row r="156" spans="1:9" ht="27.95" customHeight="1" x14ac:dyDescent="0.2">
      <c r="A156" s="39"/>
      <c r="B156" s="40" t="s">
        <v>179</v>
      </c>
      <c r="C156" s="41"/>
      <c r="D156" s="42">
        <f>D152+D146</f>
        <v>1544286.0384</v>
      </c>
      <c r="E156" s="42">
        <f>E152+E146</f>
        <v>186697.5699456</v>
      </c>
      <c r="F156" s="42">
        <f>F152+F146</f>
        <v>82930.253400000001</v>
      </c>
      <c r="G156" s="42">
        <f>G152+G146</f>
        <v>258841.96071358075</v>
      </c>
      <c r="H156" s="42">
        <f>H152+H146</f>
        <v>2072755.8224591804</v>
      </c>
    </row>
    <row r="157" spans="1:9" ht="24" x14ac:dyDescent="0.2">
      <c r="A157" s="39"/>
      <c r="B157" s="61"/>
      <c r="C157" s="46" t="s">
        <v>58</v>
      </c>
      <c r="D157" s="47">
        <f>D147+D153</f>
        <v>1307397.4191935998</v>
      </c>
      <c r="E157" s="47">
        <f t="shared" ref="E157:G159" si="28">E147+E153</f>
        <v>186529.00311359999</v>
      </c>
      <c r="F157" s="47">
        <f t="shared" si="28"/>
        <v>82930.253400000001</v>
      </c>
      <c r="G157" s="47">
        <f t="shared" si="28"/>
        <v>244406.76219080604</v>
      </c>
      <c r="H157" s="47">
        <f>SUM(D157:G157)</f>
        <v>1821263.4378980058</v>
      </c>
      <c r="I157" s="62"/>
    </row>
    <row r="158" spans="1:9" x14ac:dyDescent="0.2">
      <c r="A158" s="39"/>
      <c r="B158" s="61"/>
      <c r="C158" s="50" t="s">
        <v>59</v>
      </c>
      <c r="D158" s="51">
        <f>D148+D154</f>
        <v>-512087.01465599996</v>
      </c>
      <c r="E158" s="51">
        <f t="shared" si="28"/>
        <v>0</v>
      </c>
      <c r="F158" s="51">
        <f t="shared" si="28"/>
        <v>0</v>
      </c>
      <c r="G158" s="51">
        <f t="shared" si="28"/>
        <v>-43939.715748682742</v>
      </c>
      <c r="H158" s="51">
        <f>SUM(D158:G158)</f>
        <v>-556026.73040468269</v>
      </c>
    </row>
    <row r="159" spans="1:9" x14ac:dyDescent="0.2">
      <c r="A159" s="39"/>
      <c r="B159" s="61"/>
      <c r="C159" s="54" t="s">
        <v>60</v>
      </c>
      <c r="D159" s="55">
        <f>D149+D155</f>
        <v>748975.63386240008</v>
      </c>
      <c r="E159" s="55">
        <f t="shared" si="28"/>
        <v>168.56683199999998</v>
      </c>
      <c r="F159" s="55">
        <f t="shared" si="28"/>
        <v>0</v>
      </c>
      <c r="G159" s="55">
        <f t="shared" si="28"/>
        <v>58374.914271457426</v>
      </c>
      <c r="H159" s="55">
        <f>SUM(D159:G159)</f>
        <v>807519.11496585759</v>
      </c>
    </row>
    <row r="160" spans="1:9" ht="15" x14ac:dyDescent="0.2">
      <c r="A160" s="33" t="s">
        <v>180</v>
      </c>
      <c r="B160" s="34"/>
      <c r="C160" s="34"/>
      <c r="D160" s="34"/>
      <c r="E160" s="34"/>
      <c r="F160" s="34"/>
      <c r="G160" s="34"/>
      <c r="H160" s="34"/>
    </row>
    <row r="161" spans="1:9" ht="25.5" x14ac:dyDescent="0.2">
      <c r="A161" s="35">
        <v>46</v>
      </c>
      <c r="B161" s="36" t="s">
        <v>181</v>
      </c>
      <c r="C161" s="36" t="s">
        <v>182</v>
      </c>
      <c r="D161" s="38">
        <f>D156*0.2</f>
        <v>308857.20767999999</v>
      </c>
      <c r="E161" s="38">
        <f>E156*0.2</f>
        <v>37339.513989120001</v>
      </c>
      <c r="F161" s="38">
        <f>F156*0.2</f>
        <v>16586.05068</v>
      </c>
      <c r="G161" s="38">
        <f>(G156-8-H40-H42)*0.2</f>
        <v>51715.792142716149</v>
      </c>
      <c r="H161" s="38">
        <f>D161+E161+F161+G161</f>
        <v>414498.56449183612</v>
      </c>
    </row>
    <row r="162" spans="1:9" ht="24" x14ac:dyDescent="0.2">
      <c r="A162" s="35"/>
      <c r="B162" s="72"/>
      <c r="C162" s="46" t="s">
        <v>58</v>
      </c>
      <c r="D162" s="47">
        <f>D157*0.2</f>
        <v>261479.48383871999</v>
      </c>
      <c r="E162" s="47">
        <f t="shared" ref="E162:F164" si="29">E157*0.2</f>
        <v>37305.800622720002</v>
      </c>
      <c r="F162" s="47">
        <f t="shared" si="29"/>
        <v>16586.05068</v>
      </c>
      <c r="G162" s="47">
        <f>(G157-8-H40-H42)*0.2</f>
        <v>48828.752438161209</v>
      </c>
      <c r="H162" s="47">
        <f>SUM(D162:G162)</f>
        <v>364200.08757960121</v>
      </c>
    </row>
    <row r="163" spans="1:9" x14ac:dyDescent="0.2">
      <c r="A163" s="35"/>
      <c r="B163" s="72"/>
      <c r="C163" s="50" t="s">
        <v>59</v>
      </c>
      <c r="D163" s="51">
        <f>D158*0.2</f>
        <v>-102417.40293119999</v>
      </c>
      <c r="E163" s="51">
        <f t="shared" si="29"/>
        <v>0</v>
      </c>
      <c r="F163" s="51">
        <f t="shared" si="29"/>
        <v>0</v>
      </c>
      <c r="G163" s="51">
        <f>G158*0.2</f>
        <v>-8787.9431497365495</v>
      </c>
      <c r="H163" s="51">
        <f>SUM(D163:G163)</f>
        <v>-111205.34608093654</v>
      </c>
    </row>
    <row r="164" spans="1:9" x14ac:dyDescent="0.2">
      <c r="A164" s="35"/>
      <c r="B164" s="72"/>
      <c r="C164" s="54" t="s">
        <v>60</v>
      </c>
      <c r="D164" s="55">
        <f>D159*0.2</f>
        <v>149795.12677248003</v>
      </c>
      <c r="E164" s="55">
        <f t="shared" si="29"/>
        <v>33.713366399999998</v>
      </c>
      <c r="F164" s="55">
        <f t="shared" si="29"/>
        <v>0</v>
      </c>
      <c r="G164" s="55">
        <f>G159*0.2</f>
        <v>11674.982854291486</v>
      </c>
      <c r="H164" s="55">
        <f>SUM(D164:G164)</f>
        <v>161503.82299317152</v>
      </c>
      <c r="I164" s="62"/>
    </row>
    <row r="165" spans="1:9" ht="18" customHeight="1" x14ac:dyDescent="0.2">
      <c r="A165" s="35"/>
      <c r="B165" s="73" t="s">
        <v>183</v>
      </c>
      <c r="C165" s="74"/>
      <c r="D165" s="75">
        <f>D156+D161</f>
        <v>1853143.24608</v>
      </c>
      <c r="E165" s="42">
        <f>E156+E161</f>
        <v>224037.08393471999</v>
      </c>
      <c r="F165" s="42">
        <f>F156+F161</f>
        <v>99516.304080000002</v>
      </c>
      <c r="G165" s="42">
        <f>G156+G161</f>
        <v>310557.75285629689</v>
      </c>
      <c r="H165" s="42">
        <f>H156+H161</f>
        <v>2487254.3869510163</v>
      </c>
    </row>
    <row r="166" spans="1:9" ht="24" x14ac:dyDescent="0.2">
      <c r="A166" s="39"/>
      <c r="B166" s="61"/>
      <c r="C166" s="46" t="s">
        <v>58</v>
      </c>
      <c r="D166" s="47">
        <f>D162+D157</f>
        <v>1568876.9030323199</v>
      </c>
      <c r="E166" s="47">
        <f t="shared" ref="E166:G168" si="30">E162+E157</f>
        <v>223834.80373632</v>
      </c>
      <c r="F166" s="47">
        <f t="shared" si="30"/>
        <v>99516.304080000002</v>
      </c>
      <c r="G166" s="47">
        <f t="shared" si="30"/>
        <v>293235.51462896727</v>
      </c>
      <c r="H166" s="47">
        <f>SUM(D166:G166)</f>
        <v>2185463.5254776068</v>
      </c>
    </row>
    <row r="167" spans="1:9" ht="18" customHeight="1" x14ac:dyDescent="0.2">
      <c r="A167" s="39"/>
      <c r="B167" s="61"/>
      <c r="C167" s="50" t="s">
        <v>59</v>
      </c>
      <c r="D167" s="51">
        <f>D163+D158</f>
        <v>-614504.41758719995</v>
      </c>
      <c r="E167" s="51">
        <f t="shared" si="30"/>
        <v>0</v>
      </c>
      <c r="F167" s="51">
        <f t="shared" si="30"/>
        <v>0</v>
      </c>
      <c r="G167" s="51">
        <f t="shared" si="30"/>
        <v>-52727.658898419293</v>
      </c>
      <c r="H167" s="51">
        <f>SUM(D167:G167)</f>
        <v>-667232.07648561918</v>
      </c>
      <c r="I167" s="62"/>
    </row>
    <row r="168" spans="1:9" ht="18" customHeight="1" x14ac:dyDescent="0.2">
      <c r="A168" s="39"/>
      <c r="B168" s="61"/>
      <c r="C168" s="54" t="s">
        <v>60</v>
      </c>
      <c r="D168" s="55">
        <f>D164+D159</f>
        <v>898770.76063488005</v>
      </c>
      <c r="E168" s="55">
        <f t="shared" si="30"/>
        <v>202.28019839999996</v>
      </c>
      <c r="F168" s="55">
        <f t="shared" si="30"/>
        <v>0</v>
      </c>
      <c r="G168" s="55">
        <f t="shared" si="30"/>
        <v>70049.897125748917</v>
      </c>
      <c r="H168" s="55">
        <f>SUM(D168:G168)</f>
        <v>969022.93795902899</v>
      </c>
      <c r="I168" s="62"/>
    </row>
    <row r="169" spans="1:9" ht="18" customHeight="1" x14ac:dyDescent="0.2">
      <c r="A169" s="76" t="s">
        <v>184</v>
      </c>
      <c r="B169" s="77"/>
      <c r="C169" s="77"/>
      <c r="D169" s="77"/>
      <c r="E169" s="77"/>
      <c r="F169" s="77"/>
      <c r="G169" s="77"/>
      <c r="H169" s="78"/>
    </row>
    <row r="170" spans="1:9" ht="51" x14ac:dyDescent="0.2">
      <c r="A170" s="35">
        <v>47</v>
      </c>
      <c r="B170" s="36" t="s">
        <v>185</v>
      </c>
      <c r="C170" s="36" t="s">
        <v>186</v>
      </c>
      <c r="D170" s="79">
        <v>0</v>
      </c>
      <c r="E170" s="79">
        <v>0</v>
      </c>
      <c r="F170" s="79">
        <v>0</v>
      </c>
      <c r="G170" s="80">
        <f>592.47*248.63/1000</f>
        <v>147.30581609999999</v>
      </c>
      <c r="H170" s="80">
        <f t="shared" ref="H170:H175" si="31">D170+E170+F170+G170</f>
        <v>147.30581609999999</v>
      </c>
    </row>
    <row r="171" spans="1:9" ht="25.5" x14ac:dyDescent="0.2">
      <c r="A171" s="81">
        <v>48</v>
      </c>
      <c r="B171" s="82" t="s">
        <v>181</v>
      </c>
      <c r="C171" s="82" t="s">
        <v>187</v>
      </c>
      <c r="D171" s="79">
        <v>0</v>
      </c>
      <c r="E171" s="79">
        <v>0</v>
      </c>
      <c r="F171" s="79">
        <v>0</v>
      </c>
      <c r="G171" s="80">
        <f>G170*0.2</f>
        <v>29.46116322</v>
      </c>
      <c r="H171" s="80">
        <f t="shared" si="31"/>
        <v>29.46116322</v>
      </c>
    </row>
    <row r="172" spans="1:9" ht="51" x14ac:dyDescent="0.2">
      <c r="A172" s="64" t="s">
        <v>188</v>
      </c>
      <c r="B172" s="36" t="s">
        <v>185</v>
      </c>
      <c r="C172" s="36" t="s">
        <v>189</v>
      </c>
      <c r="D172" s="79">
        <v>0</v>
      </c>
      <c r="E172" s="79">
        <v>0</v>
      </c>
      <c r="F172" s="79">
        <v>0</v>
      </c>
      <c r="G172" s="80">
        <f>-592.47*248.63/1000</f>
        <v>-147.30581609999999</v>
      </c>
      <c r="H172" s="80">
        <f t="shared" si="31"/>
        <v>-147.30581609999999</v>
      </c>
    </row>
    <row r="173" spans="1:9" ht="25.5" x14ac:dyDescent="0.2">
      <c r="A173" s="64" t="s">
        <v>190</v>
      </c>
      <c r="B173" s="82" t="s">
        <v>181</v>
      </c>
      <c r="C173" s="82" t="s">
        <v>191</v>
      </c>
      <c r="D173" s="79">
        <v>0</v>
      </c>
      <c r="E173" s="79">
        <v>0</v>
      </c>
      <c r="F173" s="79">
        <v>0</v>
      </c>
      <c r="G173" s="80">
        <f>G172*0.2</f>
        <v>-29.46116322</v>
      </c>
      <c r="H173" s="80">
        <f t="shared" si="31"/>
        <v>-29.46116322</v>
      </c>
    </row>
    <row r="174" spans="1:9" ht="51" x14ac:dyDescent="0.2">
      <c r="A174" s="64" t="s">
        <v>192</v>
      </c>
      <c r="B174" s="36" t="s">
        <v>193</v>
      </c>
      <c r="C174" s="36" t="s">
        <v>194</v>
      </c>
      <c r="D174" s="79">
        <v>0</v>
      </c>
      <c r="E174" s="79">
        <v>0</v>
      </c>
      <c r="F174" s="79">
        <v>0</v>
      </c>
      <c r="G174" s="80">
        <f>1583.34*288.42/1000</f>
        <v>456.66692280000001</v>
      </c>
      <c r="H174" s="80">
        <f t="shared" si="31"/>
        <v>456.66692280000001</v>
      </c>
    </row>
    <row r="175" spans="1:9" ht="25.5" x14ac:dyDescent="0.2">
      <c r="A175" s="64" t="s">
        <v>190</v>
      </c>
      <c r="B175" s="82" t="s">
        <v>181</v>
      </c>
      <c r="C175" s="82" t="s">
        <v>195</v>
      </c>
      <c r="D175" s="79">
        <v>0</v>
      </c>
      <c r="E175" s="79">
        <v>0</v>
      </c>
      <c r="F175" s="79">
        <v>0</v>
      </c>
      <c r="G175" s="80">
        <f>G174*0.2</f>
        <v>91.333384560000013</v>
      </c>
      <c r="H175" s="80">
        <f t="shared" si="31"/>
        <v>91.333384560000013</v>
      </c>
    </row>
    <row r="176" spans="1:9" ht="15.75" x14ac:dyDescent="0.2">
      <c r="A176" s="83"/>
      <c r="B176" s="84"/>
      <c r="C176" s="85" t="s">
        <v>196</v>
      </c>
      <c r="D176" s="86">
        <f>D174+D171</f>
        <v>0</v>
      </c>
      <c r="E176" s="87">
        <f>E174+E171</f>
        <v>0</v>
      </c>
      <c r="F176" s="87">
        <f>F174+F171</f>
        <v>0</v>
      </c>
      <c r="G176" s="87">
        <f>SUM(G170:G175)</f>
        <v>548.00030736000008</v>
      </c>
      <c r="H176" s="87">
        <f>SUM(D176:G176)</f>
        <v>548.00030736000008</v>
      </c>
    </row>
    <row r="177" spans="1:10" ht="24" x14ac:dyDescent="0.2">
      <c r="A177" s="88"/>
      <c r="B177" s="89"/>
      <c r="C177" s="46" t="s">
        <v>58</v>
      </c>
      <c r="D177" s="47">
        <f>D176</f>
        <v>0</v>
      </c>
      <c r="E177" s="47">
        <f t="shared" ref="E177:F177" si="32">E176</f>
        <v>0</v>
      </c>
      <c r="F177" s="47">
        <f t="shared" si="32"/>
        <v>0</v>
      </c>
      <c r="G177" s="47">
        <f>G170+G171</f>
        <v>176.76697931999999</v>
      </c>
      <c r="H177" s="47">
        <f>SUM(D177:G177)</f>
        <v>176.76697931999999</v>
      </c>
    </row>
    <row r="178" spans="1:10" ht="15.75" x14ac:dyDescent="0.2">
      <c r="A178" s="88"/>
      <c r="B178" s="89"/>
      <c r="C178" s="50" t="s">
        <v>59</v>
      </c>
      <c r="D178" s="51">
        <v>0</v>
      </c>
      <c r="E178" s="51">
        <v>0</v>
      </c>
      <c r="F178" s="51">
        <v>0</v>
      </c>
      <c r="G178" s="51">
        <f>G172+G173</f>
        <v>-176.76697931999999</v>
      </c>
      <c r="H178" s="51">
        <f>SUM(D178:G178)</f>
        <v>-176.76697931999999</v>
      </c>
    </row>
    <row r="179" spans="1:10" ht="15.75" x14ac:dyDescent="0.2">
      <c r="A179" s="88"/>
      <c r="B179" s="89"/>
      <c r="C179" s="54" t="s">
        <v>60</v>
      </c>
      <c r="D179" s="55">
        <v>0</v>
      </c>
      <c r="E179" s="55">
        <v>0</v>
      </c>
      <c r="F179" s="55">
        <v>0</v>
      </c>
      <c r="G179" s="55">
        <f>G174+G175</f>
        <v>548.00030736000008</v>
      </c>
      <c r="H179" s="55">
        <f>SUM(D179:G179)</f>
        <v>548.00030736000008</v>
      </c>
    </row>
    <row r="180" spans="1:10" ht="27.75" customHeight="1" x14ac:dyDescent="0.2">
      <c r="A180" s="90"/>
      <c r="B180" s="91" t="s">
        <v>197</v>
      </c>
      <c r="C180" s="92"/>
      <c r="D180" s="93">
        <f>D165+D176</f>
        <v>1853143.24608</v>
      </c>
      <c r="E180" s="93">
        <f>E165+E176</f>
        <v>224037.08393471999</v>
      </c>
      <c r="F180" s="93">
        <f>F165+F176</f>
        <v>99516.304080000002</v>
      </c>
      <c r="G180" s="93">
        <f>G165+G176</f>
        <v>311105.75316365692</v>
      </c>
      <c r="H180" s="93">
        <f>H165+H176</f>
        <v>2487802.3872583765</v>
      </c>
      <c r="I180" s="60"/>
    </row>
    <row r="181" spans="1:10" ht="24" x14ac:dyDescent="0.2">
      <c r="A181" s="90"/>
      <c r="B181" s="94"/>
      <c r="C181" s="46" t="s">
        <v>58</v>
      </c>
      <c r="D181" s="47">
        <f t="shared" ref="D181:G183" si="33">D177+D166</f>
        <v>1568876.9030323199</v>
      </c>
      <c r="E181" s="47">
        <f t="shared" si="33"/>
        <v>223834.80373632</v>
      </c>
      <c r="F181" s="47">
        <f t="shared" si="33"/>
        <v>99516.304080000002</v>
      </c>
      <c r="G181" s="47">
        <f t="shared" si="33"/>
        <v>293412.28160828725</v>
      </c>
      <c r="H181" s="47">
        <f>SUM(D181:G181)</f>
        <v>2185640.2924569268</v>
      </c>
      <c r="I181" s="60"/>
    </row>
    <row r="182" spans="1:10" x14ac:dyDescent="0.2">
      <c r="A182" s="90"/>
      <c r="B182" s="94"/>
      <c r="C182" s="50" t="s">
        <v>59</v>
      </c>
      <c r="D182" s="51">
        <f t="shared" si="33"/>
        <v>-614504.41758719995</v>
      </c>
      <c r="E182" s="51">
        <f t="shared" si="33"/>
        <v>0</v>
      </c>
      <c r="F182" s="51">
        <f t="shared" si="33"/>
        <v>0</v>
      </c>
      <c r="G182" s="51">
        <f t="shared" si="33"/>
        <v>-52904.42587773929</v>
      </c>
      <c r="H182" s="51">
        <f>SUM(D182:G182)</f>
        <v>-667408.84346493927</v>
      </c>
      <c r="I182" s="60"/>
    </row>
    <row r="183" spans="1:10" x14ac:dyDescent="0.2">
      <c r="A183" s="90"/>
      <c r="B183" s="94"/>
      <c r="C183" s="54" t="s">
        <v>60</v>
      </c>
      <c r="D183" s="55">
        <f t="shared" si="33"/>
        <v>898770.76063488005</v>
      </c>
      <c r="E183" s="55">
        <f t="shared" si="33"/>
        <v>202.28019839999996</v>
      </c>
      <c r="F183" s="55">
        <f t="shared" si="33"/>
        <v>0</v>
      </c>
      <c r="G183" s="55">
        <f t="shared" si="33"/>
        <v>70597.897433108912</v>
      </c>
      <c r="H183" s="55">
        <f>SUM(D183:G183)</f>
        <v>969570.93826638896</v>
      </c>
      <c r="I183" s="60"/>
    </row>
    <row r="184" spans="1:10" ht="15" x14ac:dyDescent="0.2">
      <c r="A184" s="33" t="s">
        <v>198</v>
      </c>
      <c r="B184" s="34"/>
      <c r="C184" s="34"/>
      <c r="D184" s="34"/>
      <c r="E184" s="34"/>
      <c r="F184" s="34"/>
      <c r="G184" s="34"/>
      <c r="H184" s="34"/>
    </row>
    <row r="185" spans="1:10" x14ac:dyDescent="0.2">
      <c r="A185" s="35">
        <v>49</v>
      </c>
      <c r="B185" s="95"/>
      <c r="C185" s="36" t="s">
        <v>199</v>
      </c>
      <c r="D185" s="37">
        <v>0</v>
      </c>
      <c r="E185" s="37">
        <v>0</v>
      </c>
      <c r="F185" s="37">
        <v>0</v>
      </c>
      <c r="G185" s="38">
        <f>G134+G135</f>
        <v>61643.75</v>
      </c>
      <c r="H185" s="38">
        <f>D185+E185+F185+G185</f>
        <v>61643.75</v>
      </c>
    </row>
    <row r="186" spans="1:10" x14ac:dyDescent="0.2">
      <c r="A186" s="35">
        <v>50</v>
      </c>
      <c r="B186" s="95"/>
      <c r="C186" s="36" t="s">
        <v>200</v>
      </c>
      <c r="D186" s="37">
        <f>D161+D171</f>
        <v>308857.20767999999</v>
      </c>
      <c r="E186" s="37">
        <f>E161+E171</f>
        <v>37339.513989120001</v>
      </c>
      <c r="F186" s="37">
        <f>F161+F171</f>
        <v>16586.05068</v>
      </c>
      <c r="G186" s="38">
        <f>G161+G171</f>
        <v>51745.253305936152</v>
      </c>
      <c r="H186" s="38">
        <f>H161+H175</f>
        <v>414589.89787639613</v>
      </c>
    </row>
    <row r="187" spans="1:10" s="96" customFormat="1" x14ac:dyDescent="0.2">
      <c r="A187" s="81">
        <v>51</v>
      </c>
      <c r="B187" s="36" t="s">
        <v>201</v>
      </c>
      <c r="C187" s="36" t="s">
        <v>202</v>
      </c>
      <c r="D187" s="37">
        <v>0</v>
      </c>
      <c r="E187" s="37">
        <v>0</v>
      </c>
      <c r="F187" s="37">
        <v>0</v>
      </c>
      <c r="G187" s="38">
        <v>606.1</v>
      </c>
      <c r="H187" s="38">
        <f>D187+E187+F187+G187</f>
        <v>606.1</v>
      </c>
    </row>
    <row r="188" spans="1:10" ht="15" x14ac:dyDescent="0.25">
      <c r="A188" s="97" t="s">
        <v>203</v>
      </c>
      <c r="B188" s="98"/>
      <c r="C188" s="98"/>
      <c r="D188" s="98"/>
      <c r="E188" s="98"/>
      <c r="F188" s="98"/>
      <c r="G188" s="98"/>
      <c r="H188" s="98"/>
    </row>
    <row r="189" spans="1:10" ht="51" x14ac:dyDescent="0.2">
      <c r="A189" s="35">
        <v>52</v>
      </c>
      <c r="B189" s="36" t="s">
        <v>204</v>
      </c>
      <c r="C189" s="36" t="s">
        <v>205</v>
      </c>
      <c r="D189" s="37">
        <v>0</v>
      </c>
      <c r="E189" s="37">
        <v>0</v>
      </c>
      <c r="F189" s="37">
        <v>0</v>
      </c>
      <c r="G189" s="38">
        <v>33456.46</v>
      </c>
      <c r="H189" s="38">
        <v>33456.46</v>
      </c>
    </row>
    <row r="190" spans="1:10" ht="25.5" x14ac:dyDescent="0.2">
      <c r="A190" s="35">
        <v>53</v>
      </c>
      <c r="B190" s="36" t="s">
        <v>206</v>
      </c>
      <c r="C190" s="36" t="s">
        <v>207</v>
      </c>
      <c r="D190" s="37">
        <v>0</v>
      </c>
      <c r="E190" s="37">
        <v>0</v>
      </c>
      <c r="F190" s="37">
        <v>0</v>
      </c>
      <c r="G190" s="38">
        <v>0.56000000000000005</v>
      </c>
      <c r="H190" s="38">
        <v>0.56000000000000005</v>
      </c>
    </row>
    <row r="191" spans="1:10" ht="38.25" x14ac:dyDescent="0.2">
      <c r="A191" s="35">
        <v>54</v>
      </c>
      <c r="B191" s="36" t="s">
        <v>208</v>
      </c>
      <c r="C191" s="36" t="s">
        <v>209</v>
      </c>
      <c r="D191" s="37">
        <v>0</v>
      </c>
      <c r="E191" s="37">
        <v>0</v>
      </c>
      <c r="F191" s="37">
        <v>0</v>
      </c>
      <c r="G191" s="38">
        <v>12862.73</v>
      </c>
      <c r="H191" s="38">
        <v>12862.73</v>
      </c>
      <c r="I191" s="99"/>
      <c r="J191" s="99"/>
    </row>
    <row r="192" spans="1:10" ht="25.5" x14ac:dyDescent="0.2">
      <c r="A192" s="35">
        <v>55</v>
      </c>
      <c r="B192" s="36" t="s">
        <v>210</v>
      </c>
      <c r="C192" s="36" t="s">
        <v>211</v>
      </c>
      <c r="D192" s="37">
        <v>0</v>
      </c>
      <c r="E192" s="37">
        <v>0</v>
      </c>
      <c r="F192" s="37">
        <v>0</v>
      </c>
      <c r="G192" s="38">
        <v>9145.1299999999992</v>
      </c>
      <c r="H192" s="38">
        <v>9145.1299999999992</v>
      </c>
    </row>
    <row r="193" spans="1:8" ht="25.5" x14ac:dyDescent="0.2">
      <c r="A193" s="35">
        <v>56</v>
      </c>
      <c r="B193" s="36" t="s">
        <v>212</v>
      </c>
      <c r="C193" s="36" t="s">
        <v>211</v>
      </c>
      <c r="D193" s="37">
        <v>0</v>
      </c>
      <c r="E193" s="37">
        <v>0</v>
      </c>
      <c r="F193" s="37">
        <v>0</v>
      </c>
      <c r="G193" s="38">
        <v>33317.81</v>
      </c>
      <c r="H193" s="38">
        <v>33317.81</v>
      </c>
    </row>
    <row r="194" spans="1:8" ht="38.25" x14ac:dyDescent="0.2">
      <c r="A194" s="35">
        <v>57</v>
      </c>
      <c r="B194" s="36" t="s">
        <v>213</v>
      </c>
      <c r="C194" s="36" t="s">
        <v>214</v>
      </c>
      <c r="D194" s="37">
        <v>0</v>
      </c>
      <c r="E194" s="37">
        <v>0</v>
      </c>
      <c r="F194" s="37">
        <v>0</v>
      </c>
      <c r="G194" s="38">
        <v>19081.14</v>
      </c>
      <c r="H194" s="38">
        <v>19081.14</v>
      </c>
    </row>
    <row r="195" spans="1:8" ht="38.25" x14ac:dyDescent="0.2">
      <c r="A195" s="35">
        <v>58</v>
      </c>
      <c r="B195" s="36" t="s">
        <v>215</v>
      </c>
      <c r="C195" s="36" t="s">
        <v>216</v>
      </c>
      <c r="D195" s="37">
        <v>0</v>
      </c>
      <c r="E195" s="37">
        <v>0</v>
      </c>
      <c r="F195" s="37">
        <v>0</v>
      </c>
      <c r="G195" s="38">
        <v>79667.72</v>
      </c>
      <c r="H195" s="38">
        <v>79667.72</v>
      </c>
    </row>
    <row r="196" spans="1:8" x14ac:dyDescent="0.2">
      <c r="A196" s="1"/>
      <c r="B196" s="2"/>
      <c r="C196" s="2"/>
      <c r="D196" s="21"/>
      <c r="E196" s="21"/>
      <c r="F196" s="21"/>
      <c r="G196" s="21"/>
      <c r="H196" s="21"/>
    </row>
    <row r="197" spans="1:8" ht="15.75" x14ac:dyDescent="0.25">
      <c r="A197" s="14"/>
      <c r="B197" s="15"/>
      <c r="C197" s="103"/>
      <c r="D197" s="100"/>
      <c r="E197" s="104"/>
      <c r="F197" s="104"/>
      <c r="G197" s="104"/>
      <c r="H197" s="104"/>
    </row>
  </sheetData>
  <mergeCells count="43">
    <mergeCell ref="A160:H160"/>
    <mergeCell ref="B165:C165"/>
    <mergeCell ref="A169:H169"/>
    <mergeCell ref="B180:C180"/>
    <mergeCell ref="A184:H184"/>
    <mergeCell ref="A188:H188"/>
    <mergeCell ref="A133:H133"/>
    <mergeCell ref="B142:C142"/>
    <mergeCell ref="B146:C146"/>
    <mergeCell ref="A150:H150"/>
    <mergeCell ref="B152:C152"/>
    <mergeCell ref="B156:C156"/>
    <mergeCell ref="B91:C91"/>
    <mergeCell ref="A95:H95"/>
    <mergeCell ref="B113:C113"/>
    <mergeCell ref="B117:C117"/>
    <mergeCell ref="A121:H121"/>
    <mergeCell ref="B129:C129"/>
    <mergeCell ref="B64:C64"/>
    <mergeCell ref="A68:H68"/>
    <mergeCell ref="B75:C75"/>
    <mergeCell ref="B79:C79"/>
    <mergeCell ref="A83:H83"/>
    <mergeCell ref="B87:C87"/>
    <mergeCell ref="B43:C43"/>
    <mergeCell ref="A47:H47"/>
    <mergeCell ref="B51:C51"/>
    <mergeCell ref="A55:H55"/>
    <mergeCell ref="B57:C57"/>
    <mergeCell ref="A61:H61"/>
    <mergeCell ref="H21:H24"/>
    <mergeCell ref="D22:D24"/>
    <mergeCell ref="E22:E24"/>
    <mergeCell ref="F22:F24"/>
    <mergeCell ref="G22:G24"/>
    <mergeCell ref="A26:H26"/>
    <mergeCell ref="C2:G2"/>
    <mergeCell ref="C8:G8"/>
    <mergeCell ref="C15:G15"/>
    <mergeCell ref="A21:A24"/>
    <mergeCell ref="B21:B24"/>
    <mergeCell ref="C21:C24"/>
    <mergeCell ref="D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2022-04-22T14:50:44Z</dcterms:modified>
</cp:coreProperties>
</file>