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-15" yWindow="5940" windowWidth="15480" windowHeight="5775"/>
  </bookViews>
  <sheets>
    <sheet name="Мои данные" sheetId="1" r:id="rId1"/>
  </sheets>
  <definedNames>
    <definedName name="_xlnm.Print_Titles" localSheetId="0">'Мои данные'!$14:$14</definedName>
    <definedName name="_xlnm.Print_Area" localSheetId="0">'Мои данные'!$A$1:$L$71</definedName>
  </definedNames>
  <calcPr calcId="124519" fullCalcOnLoad="1" refMode="R1C1"/>
</workbook>
</file>

<file path=xl/calcChain.xml><?xml version="1.0" encoding="utf-8"?>
<calcChain xmlns="http://schemas.openxmlformats.org/spreadsheetml/2006/main">
  <c r="L55" i="1"/>
  <c r="L57"/>
  <c r="L58"/>
  <c r="L59"/>
  <c r="L60"/>
  <c r="L61"/>
  <c r="L62"/>
  <c r="L63"/>
  <c r="L64"/>
  <c r="L49"/>
  <c r="L51"/>
  <c r="L52"/>
  <c r="L53"/>
  <c r="L54"/>
  <c r="L41"/>
  <c r="L43"/>
  <c r="L44"/>
  <c r="L45"/>
  <c r="L46"/>
  <c r="L33"/>
  <c r="L35"/>
  <c r="L36"/>
  <c r="L37"/>
  <c r="L38"/>
  <c r="L25"/>
  <c r="L27"/>
  <c r="L28"/>
  <c r="L29"/>
  <c r="L30"/>
  <c r="L17"/>
  <c r="L19"/>
  <c r="L20"/>
  <c r="L21"/>
  <c r="L22"/>
  <c r="F48"/>
  <c r="F40"/>
  <c r="F32"/>
  <c r="F24"/>
  <c r="F16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сметы&gt;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4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4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4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4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4" authorId="0">
      <text>
        <r>
          <rPr>
            <sz val="8"/>
            <color indexed="81"/>
            <rFont val="Tahoma"/>
            <family val="2"/>
            <charset val="204"/>
          </rPr>
          <t xml:space="preserve"> &lt;Количество всего (физ. объем) по позиции&gt;</t>
        </r>
      </text>
    </comment>
    <comment ref="F14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4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4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4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4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55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L55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67" authorId="0">
      <text>
        <r>
          <rPr>
            <sz val="8"/>
            <color indexed="81"/>
            <rFont val="Tahoma"/>
            <family val="2"/>
            <charset val="204"/>
          </rPr>
          <t xml:space="preserve"> &lt;Проверил&gt;</t>
        </r>
      </text>
    </comment>
    <comment ref="C70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7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<sst xmlns="http://schemas.openxmlformats.org/spreadsheetml/2006/main" count="90" uniqueCount="65">
  <si>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</si>
  <si>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</si>
  <si>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</si>
  <si>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</si>
  <si>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</si>
  <si>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</si>
  <si>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 xml:space="preserve">СМЕТА № </t>
  </si>
  <si>
    <t>Форма 2пс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</si>
  <si>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</si>
  <si>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</si>
  <si>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>Расчет стоимости: (a+bx)*Kj или
(стоимость
строительно-монтажных
работ)*проц./ 100 или количество * цена</t>
  </si>
  <si>
    <t>Стоимость работ</t>
  </si>
  <si>
    <t>тыс.руб</t>
  </si>
  <si>
    <t xml:space="preserve">Приложение к Договору № </t>
  </si>
  <si>
    <t xml:space="preserve">, , </t>
  </si>
  <si>
    <t>Специализированные продовольственные магазины</t>
  </si>
  <si>
    <t>0,85*1,4</t>
  </si>
  <si>
    <t>15978,4+5834,9</t>
  </si>
  <si>
    <t>цены 2001</t>
  </si>
  <si>
    <t>Итоги по разделу 1 Торговый центр :</t>
  </si>
  <si>
    <t xml:space="preserve">  Проектные работы: Объекты жилищно-гражданского строительства</t>
  </si>
  <si>
    <t xml:space="preserve">  Итого</t>
  </si>
  <si>
    <t xml:space="preserve">  Итого по разделу 1 Торговый центр</t>
  </si>
  <si>
    <t>Плавательный бассейн с крытой ванной размерами до 50х21 м</t>
  </si>
  <si>
    <t>0,85*1,02*1,5*1,2*0,85</t>
  </si>
  <si>
    <t>Итоги по разделу 2 Аквопарк :</t>
  </si>
  <si>
    <t xml:space="preserve">  Итого по разделу 2 Аквопарк</t>
  </si>
  <si>
    <t>Кинотеатры по количеству мест: до 500</t>
  </si>
  <si>
    <t>Итоги по разделу 3 Кинокоплекс :</t>
  </si>
  <si>
    <t xml:space="preserve">  Итого по разделу 3 Кинокоплекс</t>
  </si>
  <si>
    <t>Крытый каток с искусственным льдом (без трибун) площадью ледовой арены до 2210 м2</t>
  </si>
  <si>
    <t>1,5*1,05*1,05*0,85</t>
  </si>
  <si>
    <t>Итоги по разделу 4 Каток :</t>
  </si>
  <si>
    <t xml:space="preserve">  Итого по разделу 4 Каток</t>
  </si>
  <si>
    <t>Закрытые одноэтажные стоянки автотранспорта площадью: свыше 6000 м2</t>
  </si>
  <si>
    <t>Итоги по разделу 5 Автостоянка :</t>
  </si>
  <si>
    <t xml:space="preserve">  Проектные работы: Предприятия автомобильного транспорта</t>
  </si>
  <si>
    <t xml:space="preserve">  Итого по разделу 5 Автостоянка</t>
  </si>
  <si>
    <t>Итоги по смете:</t>
  </si>
  <si>
    <t xml:space="preserve">  Непредвиденные затраты 2%</t>
  </si>
  <si>
    <t xml:space="preserve">  Итого с непредвиденными</t>
  </si>
  <si>
    <t xml:space="preserve">  НДС 18%</t>
  </si>
  <si>
    <t xml:space="preserve">  ВСЕГО по смете</t>
  </si>
  <si>
    <t>ОП п.1.7 Рабочий проект (РП) ПЗ=0.85;
ОП п.1.9 Проектирования зданий с ограждающими и несущими конструкциями из монолитного бетона или объемных блоков (к тем разделам. разработка которых усложняется) ПЗ=1.4;</t>
  </si>
  <si>
    <t>Гл.3 п.5 Проектирование спортзалов и ванн плавательных бассейнов. встроенных в жилые и общественные здания ПЗ=0.85;
Прим.таб.7а Включение в состав дополнительных помещений: методический кабинет ПЗ=1.02;
Гл.3 п.10 При проектировании спортивных сооружений с кондиционированием воздуха ПЗ=1.5;
Прим.2 таб.8а При включении дополнительных помещений: буфет ПЗ=1.2;
ОП п.1.7 Рабочий проект (РП) ПЗ=0.85;</t>
  </si>
  <si>
    <t>Гл.3 п.10 При проектировании спортивных сооружений с кондиционированием воздуха ПЗ=1.5;
Прим.2 таб.5а При включении дополнительных помещений: медико-восстановительное помещение ПЗ=1.05;
Прим.2 таб.5а При включении дополнительных помещений: буфет ПЗ=1.05;
ОП п.1.7 Рабочий проект (РП) ПЗ=0.85;</t>
  </si>
  <si>
    <t>1.5 Рабочий проект ПЗ=0.95;</t>
  </si>
  <si>
    <t xml:space="preserve">                            Торговый центр</t>
  </si>
  <si>
    <t>(810*(15978,4+5834,9))*0,85*1,4</t>
  </si>
  <si>
    <t xml:space="preserve">  Всего с учетом  3,19</t>
  </si>
  <si>
    <t xml:space="preserve">                            Аквопарк</t>
  </si>
  <si>
    <t>(869400*1)*0,85*1,02*1,5*1,2*0,85</t>
  </si>
  <si>
    <t xml:space="preserve">                            Кинокоплекс</t>
  </si>
  <si>
    <t>(408510*7)*0,85*1,4</t>
  </si>
  <si>
    <t xml:space="preserve">                            Каток</t>
  </si>
  <si>
    <t>(1125100*1)*1,5*1,05*1,05*0,85</t>
  </si>
  <si>
    <t xml:space="preserve">                            Автостоянка</t>
  </si>
  <si>
    <t>(53*21600)*0,95</t>
  </si>
  <si>
    <t>Итого затраты по разделу</t>
  </si>
  <si>
    <t>Итого затраты по смете</t>
  </si>
  <si>
    <r>
      <t xml:space="preserve">СБЦ4-23-1
</t>
    </r>
    <r>
      <rPr>
        <i/>
        <sz val="11"/>
        <rFont val="Arial"/>
        <family val="2"/>
        <charset val="204"/>
      </rPr>
      <t xml:space="preserve"> "Объекты жилищно-гражд.строит. (2003г.)" 
ОП п.1.7 Рабочий проект (РП) ПЗ=0.85;
ОП п.1.9 Проектирования зданий с ограждающими и несущими конструкциями из монолитного бетона или объемных блоков (к тем разделам. разработка которых усложняется) ПЗ=1.4;</t>
    </r>
  </si>
  <si>
    <r>
      <t xml:space="preserve">СБЦ4-8-4
</t>
    </r>
    <r>
      <rPr>
        <i/>
        <sz val="11"/>
        <rFont val="Arial"/>
        <family val="2"/>
        <charset val="204"/>
      </rPr>
      <t xml:space="preserve"> "Объекты жилищно-гражд.строит. (2003г.)" 
Гл.3 п.5 Проектирование спортзалов и ванн плавательных бассейнов. встроенных в жилые и общественные здания ПЗ=0.85;
Прим.таб.7а Включение в состав дополнительных помещений: методический кабинет ПЗ=1.02;
Гл.3 п.10 При проектировании спортивных сооружений с кондиционированием воздуха ПЗ=1.5;
Прим.2 таб.8а При включении дополнительных помещений: буфет ПЗ=1.2;
ОП п.1.7 Рабочий проект (РП) ПЗ=0.85;</t>
    </r>
  </si>
  <si>
    <r>
      <t xml:space="preserve">СБЦ4-14-2
</t>
    </r>
    <r>
      <rPr>
        <i/>
        <sz val="11"/>
        <rFont val="Arial"/>
        <family val="2"/>
        <charset val="204"/>
      </rPr>
      <t xml:space="preserve"> "Объекты жилищно-гражд.строит. (2003г.)" 
ОП п.1.7 Рабочий проект (РП) ПЗ=0.85;
ОП п.1.9 Проектирования зданий с ограждающими и несущими конструкциями из монолитного бетона или объемных блоков (к тем разделам. разработка которых усложняется) ПЗ=1.4;</t>
    </r>
  </si>
  <si>
    <r>
      <t xml:space="preserve">СБЦ4-5-4
</t>
    </r>
    <r>
      <rPr>
        <i/>
        <sz val="11"/>
        <rFont val="Arial"/>
        <family val="2"/>
        <charset val="204"/>
      </rPr>
      <t xml:space="preserve"> "Объекты жилищно-гражд.строит. (2003г.)" 
Гл.3 п.10 При проектировании спортивных сооружений с кондиционированием воздуха ПЗ=1.5;
Прим.2 таб.5а При включении дополнительных помещений: медико-восстановительное помещение ПЗ=1.05;
Прим.2 таб.5а При включении дополнительных помещений: буфет ПЗ=1.05;
ОП п.1.7 Рабочий проект (РП) ПЗ=0.85;</t>
    </r>
  </si>
  <si>
    <r>
      <t xml:space="preserve">СБЦ55-1-36
</t>
    </r>
    <r>
      <rPr>
        <i/>
        <sz val="11"/>
        <rFont val="Arial"/>
        <family val="2"/>
        <charset val="204"/>
      </rPr>
      <t xml:space="preserve"> "Предприятия автомобильного транспорта (2006г.)" 
1.5 Рабочий проект ПЗ=0.95;</t>
    </r>
  </si>
</sst>
</file>

<file path=xl/styles.xml><?xml version="1.0" encoding="utf-8"?>
<styleSheet xmlns="http://schemas.openxmlformats.org/spreadsheetml/2006/main">
  <numFmts count="1">
    <numFmt numFmtId="168" formatCode="0.000"/>
  </numFmts>
  <fonts count="16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 Cyr"/>
      <charset val="204"/>
    </font>
    <font>
      <b/>
      <sz val="13"/>
      <name val="Arial"/>
      <family val="2"/>
      <charset val="204"/>
    </font>
    <font>
      <b/>
      <sz val="13"/>
      <name val="Arial Cyr"/>
      <charset val="204"/>
    </font>
    <font>
      <i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3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22" applyFont="1">
      <alignment horizontal="left" vertical="top"/>
    </xf>
    <xf numFmtId="0" fontId="8" fillId="0" borderId="0" xfId="0" applyFont="1" applyAlignment="1">
      <alignment horizontal="left" indent="1"/>
    </xf>
    <xf numFmtId="0" fontId="11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wrapText="1"/>
    </xf>
    <xf numFmtId="0" fontId="10" fillId="0" borderId="0" xfId="21" applyFont="1">
      <alignment horizontal="center"/>
    </xf>
    <xf numFmtId="0" fontId="8" fillId="0" borderId="0" xfId="0" applyFont="1" applyAlignment="1">
      <alignment horizontal="center"/>
    </xf>
    <xf numFmtId="0" fontId="9" fillId="0" borderId="0" xfId="21" applyFont="1" applyBorder="1" applyAlignment="1">
      <alignment horizontal="center" vertical="top" wrapText="1"/>
    </xf>
    <xf numFmtId="0" fontId="8" fillId="0" borderId="2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vertical="top" wrapText="1"/>
    </xf>
    <xf numFmtId="0" fontId="8" fillId="0" borderId="3" xfId="12" applyFont="1" applyBorder="1">
      <alignment horizontal="center" wrapText="1"/>
    </xf>
    <xf numFmtId="49" fontId="13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8" fontId="8" fillId="0" borderId="1" xfId="0" applyNumberFormat="1" applyFont="1" applyBorder="1" applyAlignment="1">
      <alignment horizontal="right" vertical="top" wrapText="1"/>
    </xf>
    <xf numFmtId="49" fontId="8" fillId="0" borderId="3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0" fontId="8" fillId="0" borderId="3" xfId="0" applyNumberFormat="1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top" wrapText="1"/>
    </xf>
    <xf numFmtId="168" fontId="8" fillId="0" borderId="3" xfId="0" applyNumberFormat="1" applyFont="1" applyBorder="1" applyAlignment="1">
      <alignment horizontal="right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49" fontId="9" fillId="0" borderId="3" xfId="0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8" fillId="0" borderId="1" xfId="5" applyFont="1" applyBorder="1" applyAlignment="1">
      <alignment horizontal="left" vertical="top" wrapText="1"/>
    </xf>
    <xf numFmtId="168" fontId="8" fillId="0" borderId="1" xfId="5" applyNumberFormat="1" applyFont="1" applyBorder="1" applyAlignment="1">
      <alignment horizontal="right" vertical="top" wrapText="1"/>
    </xf>
    <xf numFmtId="0" fontId="9" fillId="0" borderId="1" xfId="5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Q72"/>
  <sheetViews>
    <sheetView showGridLines="0" tabSelected="1" view="pageBreakPreview" zoomScale="60" workbookViewId="0">
      <selection sqref="A1:D1"/>
    </sheetView>
  </sheetViews>
  <sheetFormatPr defaultRowHeight="15"/>
  <cols>
    <col min="1" max="1" width="9.140625" style="1"/>
    <col min="2" max="2" width="32.28515625" style="1" customWidth="1"/>
    <col min="3" max="3" width="57.85546875" style="1" customWidth="1"/>
    <col min="4" max="4" width="21.7109375" style="1" customWidth="1"/>
    <col min="5" max="10" width="22.140625" style="1" hidden="1" customWidth="1"/>
    <col min="11" max="11" width="73.7109375" style="1" hidden="1" customWidth="1"/>
    <col min="12" max="12" width="16" style="1" customWidth="1"/>
    <col min="13" max="15" width="9.140625" style="1" customWidth="1"/>
    <col min="16" max="16384" width="9.140625" style="1"/>
  </cols>
  <sheetData>
    <row r="1" spans="1:17">
      <c r="A1" s="14"/>
      <c r="B1" s="14"/>
      <c r="C1" s="14"/>
      <c r="D1" s="14"/>
      <c r="L1" s="2" t="s">
        <v>7</v>
      </c>
    </row>
    <row r="2" spans="1:17">
      <c r="A2" s="19" t="s">
        <v>13</v>
      </c>
      <c r="B2" s="19"/>
      <c r="C2" s="19"/>
      <c r="D2" s="19"/>
    </row>
    <row r="3" spans="1:17" ht="18">
      <c r="A3" s="15" t="s">
        <v>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7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7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7" ht="15.75">
      <c r="A7" s="17" t="s">
        <v>14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7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7">
      <c r="A9" s="9" t="s">
        <v>2</v>
      </c>
      <c r="B9" s="3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7">
      <c r="A10" s="3"/>
      <c r="B10" s="3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7">
      <c r="A11" s="9" t="s">
        <v>3</v>
      </c>
      <c r="B11" s="3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7">
      <c r="A12" s="3"/>
      <c r="B12" s="3"/>
      <c r="C12" s="4"/>
      <c r="D12" s="4"/>
      <c r="E12" s="4"/>
      <c r="F12" s="4"/>
      <c r="G12" s="4"/>
      <c r="H12" s="4"/>
      <c r="I12" s="4"/>
      <c r="J12" s="4"/>
      <c r="K12" s="4"/>
      <c r="L12" s="5" t="s">
        <v>12</v>
      </c>
    </row>
    <row r="13" spans="1:17" s="7" customFormat="1" ht="121.5" customHeight="1">
      <c r="A13" s="6" t="s">
        <v>0</v>
      </c>
      <c r="B13" s="6" t="s">
        <v>8</v>
      </c>
      <c r="C13" s="6" t="s">
        <v>9</v>
      </c>
      <c r="D13" s="6" t="s">
        <v>10</v>
      </c>
      <c r="E13" s="6"/>
      <c r="F13" s="6"/>
      <c r="G13" s="6"/>
      <c r="H13" s="6"/>
      <c r="I13" s="6"/>
      <c r="J13" s="6"/>
      <c r="K13" s="6"/>
      <c r="L13" s="6" t="s">
        <v>11</v>
      </c>
    </row>
    <row r="14" spans="1:17">
      <c r="A14" s="20">
        <v>1</v>
      </c>
      <c r="B14" s="20">
        <v>2</v>
      </c>
      <c r="C14" s="20">
        <v>3</v>
      </c>
      <c r="D14" s="20">
        <v>4</v>
      </c>
      <c r="E14" s="20"/>
      <c r="F14" s="20"/>
      <c r="G14" s="20"/>
      <c r="H14" s="20"/>
      <c r="I14" s="20"/>
      <c r="J14" s="20"/>
      <c r="K14" s="20"/>
      <c r="L14" s="20">
        <v>5</v>
      </c>
    </row>
    <row r="15" spans="1:17" s="8" customFormat="1" ht="23.1" customHeight="1">
      <c r="A15" s="21" t="s">
        <v>47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7" s="10" customFormat="1" ht="108" customHeight="1">
      <c r="A16" s="24">
        <v>1</v>
      </c>
      <c r="B16" s="25" t="s">
        <v>15</v>
      </c>
      <c r="C16" s="25" t="s">
        <v>60</v>
      </c>
      <c r="D16" s="26" t="s">
        <v>48</v>
      </c>
      <c r="E16" s="27">
        <v>21813.3</v>
      </c>
      <c r="F16" s="27" t="str">
        <f ca="1">IF(INDIRECT("J" &amp; ROW())="текущие цены", IF(INDIRECT("G" &amp; ROW())="", "0", "0"), IF(INDIRECT("G" &amp; ROW())="", "963.9","810"))</f>
        <v>810</v>
      </c>
      <c r="G16" s="27" t="s">
        <v>16</v>
      </c>
      <c r="H16" s="27" t="s">
        <v>17</v>
      </c>
      <c r="I16" s="27"/>
      <c r="J16" s="27" t="s">
        <v>18</v>
      </c>
      <c r="K16" s="27" t="s">
        <v>43</v>
      </c>
      <c r="L16" s="28">
        <v>21025.84</v>
      </c>
      <c r="M16" s="8"/>
      <c r="N16" s="8"/>
      <c r="O16" s="8"/>
      <c r="P16" s="8"/>
      <c r="Q16" s="8"/>
    </row>
    <row r="17" spans="1:17">
      <c r="A17" s="29" t="s">
        <v>58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23">
        <f>21025840/1000</f>
        <v>21025.84</v>
      </c>
      <c r="M17" s="8"/>
      <c r="N17" s="8"/>
      <c r="O17" s="8"/>
      <c r="P17" s="8"/>
      <c r="Q17" s="8"/>
    </row>
    <row r="18" spans="1:17">
      <c r="A18" s="31" t="s">
        <v>19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23"/>
      <c r="M18" s="8"/>
      <c r="N18" s="8"/>
      <c r="O18" s="8"/>
      <c r="P18" s="8"/>
      <c r="Q18" s="8"/>
    </row>
    <row r="19" spans="1:17">
      <c r="A19" s="29" t="s">
        <v>20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23">
        <f>21025840/1000</f>
        <v>21025.84</v>
      </c>
      <c r="M19" s="8"/>
      <c r="N19" s="8"/>
      <c r="O19" s="8"/>
      <c r="P19" s="8"/>
      <c r="Q19" s="8"/>
    </row>
    <row r="20" spans="1:17">
      <c r="A20" s="29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23">
        <f>21025840/1000</f>
        <v>21025.84</v>
      </c>
      <c r="M20" s="8"/>
      <c r="N20" s="8"/>
      <c r="O20" s="8"/>
      <c r="P20" s="8"/>
      <c r="Q20" s="8"/>
    </row>
    <row r="21" spans="1:17">
      <c r="A21" s="29" t="s">
        <v>49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23">
        <f>67072430/1000</f>
        <v>67072.429999999993</v>
      </c>
      <c r="M21" s="8"/>
      <c r="N21" s="8"/>
      <c r="O21" s="8"/>
      <c r="P21" s="8"/>
      <c r="Q21" s="8"/>
    </row>
    <row r="22" spans="1:17" ht="15" customHeight="1">
      <c r="A22" s="33" t="s">
        <v>22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28">
        <f>67072430/1000</f>
        <v>67072.429999999993</v>
      </c>
      <c r="M22" s="8"/>
      <c r="N22" s="8"/>
      <c r="O22" s="8"/>
      <c r="P22" s="8"/>
      <c r="Q22" s="8"/>
    </row>
    <row r="23" spans="1:17" ht="16.5">
      <c r="A23" s="21" t="s">
        <v>50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8"/>
      <c r="N23" s="8"/>
      <c r="O23" s="8"/>
      <c r="P23" s="8"/>
      <c r="Q23" s="8"/>
    </row>
    <row r="24" spans="1:17" ht="172.5" customHeight="1">
      <c r="A24" s="24">
        <v>2</v>
      </c>
      <c r="B24" s="25" t="s">
        <v>23</v>
      </c>
      <c r="C24" s="25" t="s">
        <v>61</v>
      </c>
      <c r="D24" s="26" t="s">
        <v>51</v>
      </c>
      <c r="E24" s="27">
        <v>1</v>
      </c>
      <c r="F24" s="27" t="str">
        <f ca="1">IF(INDIRECT("J" &amp; ROW())="текущие цены", IF(INDIRECT("G" &amp; ROW())="", "0", "0"), IF(INDIRECT("G" &amp; ROW())="", "1153267.79","869400"))</f>
        <v>869400</v>
      </c>
      <c r="G24" s="27" t="s">
        <v>24</v>
      </c>
      <c r="H24" s="27"/>
      <c r="I24" s="27"/>
      <c r="J24" s="27" t="s">
        <v>18</v>
      </c>
      <c r="K24" s="27" t="s">
        <v>44</v>
      </c>
      <c r="L24" s="28">
        <v>1153.268</v>
      </c>
      <c r="M24" s="8"/>
      <c r="N24" s="8"/>
      <c r="O24" s="8"/>
      <c r="P24" s="8"/>
      <c r="Q24" s="8"/>
    </row>
    <row r="25" spans="1:17">
      <c r="A25" s="29" t="s">
        <v>58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23">
        <f>1153268/1000</f>
        <v>1153.268</v>
      </c>
      <c r="M25" s="8"/>
      <c r="N25" s="8"/>
      <c r="O25" s="8"/>
      <c r="P25" s="8"/>
      <c r="Q25" s="8"/>
    </row>
    <row r="26" spans="1:17">
      <c r="A26" s="31" t="s">
        <v>25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23"/>
      <c r="M26" s="8"/>
      <c r="N26" s="8"/>
      <c r="O26" s="8"/>
      <c r="P26" s="8"/>
      <c r="Q26" s="8"/>
    </row>
    <row r="27" spans="1:17">
      <c r="A27" s="29" t="s">
        <v>20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23">
        <f>1153268/1000</f>
        <v>1153.268</v>
      </c>
      <c r="M27" s="8"/>
      <c r="N27" s="8"/>
      <c r="O27" s="8"/>
      <c r="P27" s="8"/>
      <c r="Q27" s="8"/>
    </row>
    <row r="28" spans="1:17">
      <c r="A28" s="29" t="s">
        <v>21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23">
        <f>1153268/1000</f>
        <v>1153.268</v>
      </c>
      <c r="M28" s="8"/>
      <c r="N28" s="8"/>
      <c r="O28" s="8"/>
      <c r="P28" s="8"/>
      <c r="Q28" s="8"/>
    </row>
    <row r="29" spans="1:17">
      <c r="A29" s="29" t="s">
        <v>49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23">
        <f>3678925/1000</f>
        <v>3678.9250000000002</v>
      </c>
      <c r="M29" s="8"/>
      <c r="N29" s="8"/>
      <c r="O29" s="8"/>
      <c r="P29" s="8"/>
      <c r="Q29" s="8"/>
    </row>
    <row r="30" spans="1:17" ht="15" customHeight="1">
      <c r="A30" s="33" t="s">
        <v>26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28">
        <f>3678925/1000</f>
        <v>3678.9250000000002</v>
      </c>
      <c r="M30" s="8"/>
      <c r="N30" s="8"/>
      <c r="O30" s="8"/>
      <c r="P30" s="8"/>
      <c r="Q30" s="8"/>
    </row>
    <row r="31" spans="1:17" ht="16.5">
      <c r="A31" s="21" t="s">
        <v>52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8"/>
      <c r="N31" s="8"/>
      <c r="O31" s="8"/>
      <c r="P31" s="8"/>
      <c r="Q31" s="8"/>
    </row>
    <row r="32" spans="1:17" ht="105" customHeight="1">
      <c r="A32" s="24">
        <v>3</v>
      </c>
      <c r="B32" s="25" t="s">
        <v>27</v>
      </c>
      <c r="C32" s="25" t="s">
        <v>62</v>
      </c>
      <c r="D32" s="26" t="s">
        <v>53</v>
      </c>
      <c r="E32" s="27">
        <v>7</v>
      </c>
      <c r="F32" s="27" t="str">
        <f ca="1">IF(INDIRECT("J" &amp; ROW())="текущие цены", IF(INDIRECT("G" &amp; ROW())="", "0", "0"), IF(INDIRECT("G" &amp; ROW())="", "486126.9","408510"))</f>
        <v>408510</v>
      </c>
      <c r="G32" s="27" t="s">
        <v>16</v>
      </c>
      <c r="H32" s="27"/>
      <c r="I32" s="27"/>
      <c r="J32" s="27" t="s">
        <v>18</v>
      </c>
      <c r="K32" s="27" t="s">
        <v>43</v>
      </c>
      <c r="L32" s="28">
        <v>3402.8879999999999</v>
      </c>
      <c r="M32" s="8"/>
      <c r="N32" s="8"/>
      <c r="O32" s="8"/>
      <c r="P32" s="8"/>
      <c r="Q32" s="8"/>
    </row>
    <row r="33" spans="1:17" ht="23.1" customHeight="1">
      <c r="A33" s="29" t="s">
        <v>58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23">
        <f>3402888/1000</f>
        <v>3402.8879999999999</v>
      </c>
      <c r="M33" s="8"/>
      <c r="N33" s="8"/>
      <c r="O33" s="8"/>
      <c r="P33" s="8"/>
      <c r="Q33" s="8"/>
    </row>
    <row r="34" spans="1:17">
      <c r="A34" s="31" t="s">
        <v>28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23"/>
      <c r="M34" s="8"/>
      <c r="N34" s="8"/>
      <c r="O34" s="8"/>
      <c r="P34" s="8"/>
      <c r="Q34" s="8"/>
    </row>
    <row r="35" spans="1:17">
      <c r="A35" s="29" t="s">
        <v>20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23">
        <f>3402888/1000</f>
        <v>3402.8879999999999</v>
      </c>
      <c r="M35" s="8"/>
      <c r="N35" s="8"/>
      <c r="O35" s="8"/>
      <c r="P35" s="8"/>
      <c r="Q35" s="8"/>
    </row>
    <row r="36" spans="1:17">
      <c r="A36" s="29" t="s">
        <v>21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23">
        <f>3402888/1000</f>
        <v>3402.8879999999999</v>
      </c>
      <c r="M36" s="8"/>
      <c r="N36" s="8"/>
      <c r="O36" s="8"/>
      <c r="P36" s="8"/>
      <c r="Q36" s="8"/>
    </row>
    <row r="37" spans="1:17">
      <c r="A37" s="29" t="s">
        <v>49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23">
        <f>10855213/1000</f>
        <v>10855.213</v>
      </c>
      <c r="M37" s="8"/>
      <c r="N37" s="8"/>
      <c r="O37" s="8"/>
      <c r="P37" s="8"/>
      <c r="Q37" s="8"/>
    </row>
    <row r="38" spans="1:17" ht="15" customHeight="1">
      <c r="A38" s="33" t="s">
        <v>29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28">
        <f>10855213/1000</f>
        <v>10855.213</v>
      </c>
      <c r="M38" s="8"/>
      <c r="N38" s="8"/>
      <c r="O38" s="8"/>
      <c r="P38" s="8"/>
      <c r="Q38" s="8"/>
    </row>
    <row r="39" spans="1:17" ht="16.5">
      <c r="A39" s="21" t="s">
        <v>54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8"/>
      <c r="N39" s="8"/>
      <c r="O39" s="8"/>
      <c r="P39" s="8"/>
      <c r="Q39" s="8"/>
    </row>
    <row r="40" spans="1:17" ht="145.5" customHeight="1">
      <c r="A40" s="24">
        <v>4</v>
      </c>
      <c r="B40" s="25" t="s">
        <v>30</v>
      </c>
      <c r="C40" s="25" t="s">
        <v>63</v>
      </c>
      <c r="D40" s="26" t="s">
        <v>55</v>
      </c>
      <c r="E40" s="27">
        <v>1</v>
      </c>
      <c r="F40" s="27" t="str">
        <f ca="1">IF(INDIRECT("J" &amp; ROW())="текущие цены", IF(INDIRECT("G" &amp; ROW())="", "0", "0"), IF(INDIRECT("G" &amp; ROW())="", "1581539.01","1125100"))</f>
        <v>1125100</v>
      </c>
      <c r="G40" s="27" t="s">
        <v>31</v>
      </c>
      <c r="H40" s="27"/>
      <c r="I40" s="27"/>
      <c r="J40" s="27" t="s">
        <v>18</v>
      </c>
      <c r="K40" s="27" t="s">
        <v>45</v>
      </c>
      <c r="L40" s="28">
        <v>1581.539</v>
      </c>
      <c r="M40" s="8"/>
      <c r="N40" s="8"/>
      <c r="O40" s="8"/>
      <c r="P40" s="8"/>
      <c r="Q40" s="8"/>
    </row>
    <row r="41" spans="1:17">
      <c r="A41" s="29" t="s">
        <v>58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23">
        <f>1581539/1000</f>
        <v>1581.539</v>
      </c>
      <c r="M41" s="8"/>
      <c r="N41" s="8"/>
      <c r="O41" s="8"/>
      <c r="P41" s="8"/>
      <c r="Q41" s="8"/>
    </row>
    <row r="42" spans="1:17" ht="23.1" customHeight="1">
      <c r="A42" s="31" t="s">
        <v>32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23"/>
      <c r="M42" s="8"/>
      <c r="N42" s="8"/>
      <c r="O42" s="8"/>
      <c r="P42" s="8"/>
      <c r="Q42" s="8"/>
    </row>
    <row r="43" spans="1:17">
      <c r="A43" s="29" t="s">
        <v>20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23">
        <f>1581539/1000</f>
        <v>1581.539</v>
      </c>
      <c r="M43" s="8"/>
      <c r="N43" s="8"/>
      <c r="O43" s="8"/>
      <c r="P43" s="8"/>
      <c r="Q43" s="8"/>
    </row>
    <row r="44" spans="1:17">
      <c r="A44" s="29" t="s">
        <v>21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23">
        <f>1581539/1000</f>
        <v>1581.539</v>
      </c>
      <c r="M44" s="8"/>
      <c r="N44" s="8"/>
      <c r="O44" s="8"/>
      <c r="P44" s="8"/>
      <c r="Q44" s="8"/>
    </row>
    <row r="45" spans="1:17">
      <c r="A45" s="29" t="s">
        <v>49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23">
        <f>5045109/1000</f>
        <v>5045.1090000000004</v>
      </c>
      <c r="M45" s="8"/>
      <c r="N45" s="8"/>
      <c r="O45" s="8"/>
      <c r="P45" s="8"/>
      <c r="Q45" s="8"/>
    </row>
    <row r="46" spans="1:17" ht="15" customHeight="1">
      <c r="A46" s="33" t="s">
        <v>33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28">
        <f>5045109/1000</f>
        <v>5045.1090000000004</v>
      </c>
      <c r="M46" s="8"/>
      <c r="N46" s="8"/>
      <c r="O46" s="8"/>
      <c r="P46" s="8"/>
      <c r="Q46" s="8"/>
    </row>
    <row r="47" spans="1:17" ht="16.5">
      <c r="A47" s="21" t="s">
        <v>56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8"/>
      <c r="N47" s="8"/>
      <c r="O47" s="8"/>
      <c r="P47" s="8"/>
      <c r="Q47" s="8"/>
    </row>
    <row r="48" spans="1:17" ht="57.75">
      <c r="A48" s="24">
        <v>5</v>
      </c>
      <c r="B48" s="25" t="s">
        <v>34</v>
      </c>
      <c r="C48" s="25" t="s">
        <v>64</v>
      </c>
      <c r="D48" s="26" t="s">
        <v>57</v>
      </c>
      <c r="E48" s="27">
        <v>21600</v>
      </c>
      <c r="F48" s="27" t="str">
        <f ca="1">IF(INDIRECT("J" &amp; ROW())="текущие цены", IF(INDIRECT("G" &amp; ROW())="", "0", "0"), IF(INDIRECT("G" &amp; ROW())="", "50.35","53"))</f>
        <v>53</v>
      </c>
      <c r="G48" s="27">
        <v>0.95</v>
      </c>
      <c r="H48" s="27"/>
      <c r="I48" s="27"/>
      <c r="J48" s="27" t="s">
        <v>18</v>
      </c>
      <c r="K48" s="27" t="s">
        <v>46</v>
      </c>
      <c r="L48" s="28">
        <v>1087.56</v>
      </c>
      <c r="M48" s="8"/>
      <c r="N48" s="8"/>
      <c r="O48" s="8"/>
      <c r="P48" s="8"/>
      <c r="Q48" s="8"/>
    </row>
    <row r="49" spans="1:17">
      <c r="A49" s="29" t="s">
        <v>58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23">
        <f>1087560/1000</f>
        <v>1087.56</v>
      </c>
      <c r="M49" s="8"/>
      <c r="N49" s="8"/>
      <c r="O49" s="8"/>
      <c r="P49" s="8"/>
      <c r="Q49" s="8"/>
    </row>
    <row r="50" spans="1:17">
      <c r="A50" s="31" t="s">
        <v>35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23"/>
      <c r="M50" s="8"/>
      <c r="N50" s="8"/>
      <c r="O50" s="8"/>
      <c r="P50" s="8"/>
      <c r="Q50" s="8"/>
    </row>
    <row r="51" spans="1:17" ht="23.1" customHeight="1">
      <c r="A51" s="29" t="s">
        <v>36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23">
        <f>1087560/1000</f>
        <v>1087.56</v>
      </c>
      <c r="M51" s="8"/>
      <c r="N51" s="8"/>
      <c r="O51" s="8"/>
      <c r="P51" s="8"/>
      <c r="Q51" s="8"/>
    </row>
    <row r="52" spans="1:17">
      <c r="A52" s="29" t="s">
        <v>21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23">
        <f>1087560/1000</f>
        <v>1087.56</v>
      </c>
      <c r="M52" s="8"/>
      <c r="N52" s="8"/>
      <c r="O52" s="8"/>
      <c r="P52" s="8"/>
      <c r="Q52" s="8"/>
    </row>
    <row r="53" spans="1:17">
      <c r="A53" s="29" t="s">
        <v>49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23">
        <f>3469316/1000</f>
        <v>3469.3159999999998</v>
      </c>
      <c r="M53" s="8"/>
      <c r="N53" s="8"/>
      <c r="O53" s="8"/>
      <c r="P53" s="8"/>
      <c r="Q53" s="8"/>
    </row>
    <row r="54" spans="1:17" ht="15" customHeight="1">
      <c r="A54" s="33" t="s">
        <v>37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28">
        <f>3469316/1000</f>
        <v>3469.3159999999998</v>
      </c>
      <c r="M54" s="8"/>
      <c r="N54" s="8"/>
      <c r="O54" s="8"/>
      <c r="P54" s="8"/>
      <c r="Q54" s="8"/>
    </row>
    <row r="55" spans="1:17">
      <c r="A55" s="35" t="s">
        <v>59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6">
        <f>28251095/1000</f>
        <v>28251.095000000001</v>
      </c>
      <c r="M55" s="8"/>
      <c r="N55" s="8"/>
      <c r="O55" s="8"/>
      <c r="P55" s="8"/>
      <c r="Q55" s="8"/>
    </row>
    <row r="56" spans="1:17">
      <c r="A56" s="37" t="s">
        <v>38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6"/>
      <c r="M56" s="8"/>
      <c r="N56" s="8"/>
      <c r="O56" s="8"/>
      <c r="P56" s="8"/>
      <c r="Q56" s="8"/>
    </row>
    <row r="57" spans="1:17">
      <c r="A57" s="35" t="s">
        <v>20</v>
      </c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6">
        <f>27163535/1000</f>
        <v>27163.535</v>
      </c>
      <c r="M57" s="8"/>
      <c r="N57" s="8"/>
      <c r="O57" s="8"/>
      <c r="P57" s="8"/>
      <c r="Q57" s="8"/>
    </row>
    <row r="58" spans="1:17">
      <c r="A58" s="35" t="s">
        <v>36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6">
        <f>1087560/1000</f>
        <v>1087.56</v>
      </c>
      <c r="M58" s="8"/>
      <c r="N58" s="8"/>
      <c r="O58" s="8"/>
      <c r="P58" s="8"/>
      <c r="Q58" s="8"/>
    </row>
    <row r="59" spans="1:17">
      <c r="A59" s="35" t="s">
        <v>21</v>
      </c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6">
        <f>28251095/1000</f>
        <v>28251.095000000001</v>
      </c>
      <c r="M59" s="8"/>
      <c r="N59" s="8"/>
      <c r="O59" s="8"/>
      <c r="P59" s="8"/>
      <c r="Q59" s="8"/>
    </row>
    <row r="60" spans="1:17">
      <c r="A60" s="35" t="s">
        <v>49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6">
        <f>90120993/1000</f>
        <v>90120.993000000002</v>
      </c>
      <c r="M60" s="8"/>
      <c r="N60" s="8"/>
      <c r="O60" s="8"/>
      <c r="P60" s="8"/>
      <c r="Q60" s="8"/>
    </row>
    <row r="61" spans="1:17" ht="15" customHeight="1">
      <c r="A61" s="35" t="s">
        <v>39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6">
        <f>1802420/1000</f>
        <v>1802.42</v>
      </c>
      <c r="M61" s="8"/>
      <c r="N61" s="8"/>
      <c r="O61" s="8"/>
      <c r="P61" s="8"/>
      <c r="Q61" s="8"/>
    </row>
    <row r="62" spans="1:17">
      <c r="A62" s="37" t="s">
        <v>40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6">
        <f>91923413/1000</f>
        <v>91923.413</v>
      </c>
      <c r="M62" s="8"/>
      <c r="N62" s="8"/>
      <c r="O62" s="8"/>
      <c r="P62" s="8"/>
      <c r="Q62" s="8"/>
    </row>
    <row r="63" spans="1:17">
      <c r="A63" s="35" t="s">
        <v>41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6">
        <f>16546214.34/1000</f>
        <v>16546.214339999999</v>
      </c>
      <c r="M63" s="8"/>
      <c r="N63" s="8"/>
      <c r="O63" s="8"/>
      <c r="P63" s="8"/>
      <c r="Q63" s="8"/>
    </row>
    <row r="64" spans="1:17">
      <c r="A64" s="37" t="s">
        <v>42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6">
        <f>108469627.34/1000</f>
        <v>108469.62734000001</v>
      </c>
      <c r="M64" s="8"/>
      <c r="N64" s="8"/>
      <c r="O64" s="8"/>
      <c r="P64" s="8"/>
      <c r="Q64" s="8"/>
    </row>
    <row r="65" spans="1:1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9"/>
      <c r="N65" s="10"/>
      <c r="O65" s="10"/>
      <c r="P65" s="10"/>
      <c r="Q65" s="10"/>
    </row>
    <row r="66" spans="1:1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7">
      <c r="A67" s="1" t="s">
        <v>4</v>
      </c>
      <c r="B67" s="3"/>
      <c r="C67" s="11"/>
      <c r="D67" s="3"/>
      <c r="E67" s="3"/>
      <c r="F67" s="3"/>
      <c r="G67" s="3"/>
      <c r="H67" s="3"/>
      <c r="I67" s="3"/>
      <c r="J67" s="3"/>
      <c r="K67" s="3"/>
      <c r="L67" s="3"/>
    </row>
    <row r="68" spans="1:17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7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7">
      <c r="A70" s="1" t="s">
        <v>5</v>
      </c>
      <c r="B70" s="3"/>
      <c r="C70" s="11"/>
      <c r="D70" s="3"/>
      <c r="E70" s="3"/>
      <c r="F70" s="3"/>
      <c r="G70" s="3"/>
      <c r="H70" s="3"/>
      <c r="I70" s="3"/>
      <c r="J70" s="3"/>
      <c r="K70" s="3"/>
      <c r="L70" s="3"/>
    </row>
    <row r="72" spans="1:17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</sheetData>
  <mergeCells count="53">
    <mergeCell ref="A64:K64"/>
    <mergeCell ref="A59:K59"/>
    <mergeCell ref="A60:K60"/>
    <mergeCell ref="A61:K61"/>
    <mergeCell ref="A62:K62"/>
    <mergeCell ref="A63:K63"/>
    <mergeCell ref="A54:K54"/>
    <mergeCell ref="A55:K55"/>
    <mergeCell ref="A56:K56"/>
    <mergeCell ref="A57:K57"/>
    <mergeCell ref="A58:K58"/>
    <mergeCell ref="A47:L47"/>
    <mergeCell ref="A49:K49"/>
    <mergeCell ref="A50:K50"/>
    <mergeCell ref="A51:K51"/>
    <mergeCell ref="A52:K52"/>
    <mergeCell ref="A53:K53"/>
    <mergeCell ref="A42:K42"/>
    <mergeCell ref="A43:K43"/>
    <mergeCell ref="A44:K44"/>
    <mergeCell ref="A45:K45"/>
    <mergeCell ref="A46:K46"/>
    <mergeCell ref="A36:K36"/>
    <mergeCell ref="A37:K37"/>
    <mergeCell ref="A38:K38"/>
    <mergeCell ref="A39:L39"/>
    <mergeCell ref="A41:K41"/>
    <mergeCell ref="A30:K30"/>
    <mergeCell ref="A31:L31"/>
    <mergeCell ref="A33:K33"/>
    <mergeCell ref="A34:K34"/>
    <mergeCell ref="A35:K35"/>
    <mergeCell ref="A23:L23"/>
    <mergeCell ref="A25:K25"/>
    <mergeCell ref="A26:K26"/>
    <mergeCell ref="A27:K27"/>
    <mergeCell ref="A28:K28"/>
    <mergeCell ref="A29:K29"/>
    <mergeCell ref="A18:K18"/>
    <mergeCell ref="A19:K19"/>
    <mergeCell ref="A20:K20"/>
    <mergeCell ref="A21:K21"/>
    <mergeCell ref="A22:K22"/>
    <mergeCell ref="A72:L72"/>
    <mergeCell ref="A1:D1"/>
    <mergeCell ref="A3:L3"/>
    <mergeCell ref="A4:L4"/>
    <mergeCell ref="A7:L7"/>
    <mergeCell ref="C11:L11"/>
    <mergeCell ref="C9:L9"/>
    <mergeCell ref="A2:D2"/>
    <mergeCell ref="A15:L15"/>
    <mergeCell ref="A17:K17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66" fitToHeight="30000" orientation="portrait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YuKazaeva</dc:creator>
  <dc:description>27.04.2009</dc:description>
  <cp:lastModifiedBy>Николай</cp:lastModifiedBy>
  <cp:lastPrinted>2009-02-02T07:59:09Z</cp:lastPrinted>
  <dcterms:created xsi:type="dcterms:W3CDTF">2007-02-21T08:42:24Z</dcterms:created>
  <dcterms:modified xsi:type="dcterms:W3CDTF">2011-07-18T10:08:04Z</dcterms:modified>
</cp:coreProperties>
</file>