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80" windowWidth="7500" windowHeight="4130" tabRatio="771"/>
  </bookViews>
  <sheets>
    <sheet name="главы 2,3,4,6" sheetId="11" r:id="rId1"/>
  </sheets>
  <definedNames>
    <definedName name="_xlnm.Print_Area" localSheetId="0">'главы 2,3,4,6'!$A$1:$Y$224</definedName>
  </definedNames>
  <calcPr calcId="125725"/>
</workbook>
</file>

<file path=xl/calcChain.xml><?xml version="1.0" encoding="utf-8"?>
<calcChain xmlns="http://schemas.openxmlformats.org/spreadsheetml/2006/main">
  <c r="Z182" i="11"/>
  <c r="H178"/>
  <c r="H177"/>
  <c r="X180"/>
  <c r="Y180" s="1"/>
  <c r="X179"/>
  <c r="Y179" s="1"/>
  <c r="X178"/>
  <c r="Y178" s="1"/>
  <c r="X177"/>
  <c r="X181" s="1"/>
  <c r="H181"/>
  <c r="X169"/>
  <c r="Y169" s="1"/>
  <c r="X168"/>
  <c r="Y168" s="1"/>
  <c r="H167"/>
  <c r="X167" s="1"/>
  <c r="H166"/>
  <c r="X166" s="1"/>
  <c r="Y166" s="1"/>
  <c r="S154"/>
  <c r="S155" s="1"/>
  <c r="H154"/>
  <c r="A147"/>
  <c r="H145"/>
  <c r="H144"/>
  <c r="H143"/>
  <c r="G143"/>
  <c r="G142"/>
  <c r="H142" s="1"/>
  <c r="A140"/>
  <c r="A141" s="1"/>
  <c r="A142" s="1"/>
  <c r="A143" s="1"/>
  <c r="A144" s="1"/>
  <c r="A145" s="1"/>
  <c r="K139"/>
  <c r="H139"/>
  <c r="G138"/>
  <c r="H137"/>
  <c r="A136"/>
  <c r="A137" s="1"/>
  <c r="A138" s="1"/>
  <c r="K134"/>
  <c r="J134" s="1"/>
  <c r="G126"/>
  <c r="H126" s="1"/>
  <c r="G125"/>
  <c r="H125" s="1"/>
  <c r="A125"/>
  <c r="A126" s="1"/>
  <c r="A127" s="1"/>
  <c r="H124"/>
  <c r="G124"/>
  <c r="G141" s="1"/>
  <c r="H141" s="1"/>
  <c r="G122"/>
  <c r="G123" s="1"/>
  <c r="F116"/>
  <c r="H115"/>
  <c r="D115"/>
  <c r="G114"/>
  <c r="H114" s="1"/>
  <c r="H113"/>
  <c r="G113"/>
  <c r="G112"/>
  <c r="G147" s="1"/>
  <c r="H147" s="1"/>
  <c r="H111"/>
  <c r="H110"/>
  <c r="H109"/>
  <c r="G97"/>
  <c r="F97"/>
  <c r="E97"/>
  <c r="H96"/>
  <c r="H95"/>
  <c r="H94"/>
  <c r="A94"/>
  <c r="A95" s="1"/>
  <c r="A96" s="1"/>
  <c r="H93"/>
  <c r="D92"/>
  <c r="D97" s="1"/>
  <c r="A92"/>
  <c r="H91"/>
  <c r="G89"/>
  <c r="F89"/>
  <c r="E89"/>
  <c r="D89"/>
  <c r="H88"/>
  <c r="H87"/>
  <c r="H86"/>
  <c r="H85"/>
  <c r="H84"/>
  <c r="H83"/>
  <c r="A83"/>
  <c r="A84" s="1"/>
  <c r="A85" s="1"/>
  <c r="A86" s="1"/>
  <c r="A87" s="1"/>
  <c r="A88" s="1"/>
  <c r="H82"/>
  <c r="G80"/>
  <c r="F80"/>
  <c r="E80"/>
  <c r="D80"/>
  <c r="H79"/>
  <c r="H80" s="1"/>
  <c r="A79"/>
  <c r="H78"/>
  <c r="G76"/>
  <c r="E75"/>
  <c r="D75"/>
  <c r="H75" s="1"/>
  <c r="A75"/>
  <c r="F74"/>
  <c r="F76" s="1"/>
  <c r="E74"/>
  <c r="E76" s="1"/>
  <c r="D74"/>
  <c r="H74" s="1"/>
  <c r="G72"/>
  <c r="X71"/>
  <c r="F71"/>
  <c r="F72" s="1"/>
  <c r="E71"/>
  <c r="E72" s="1"/>
  <c r="D71"/>
  <c r="D72" s="1"/>
  <c r="G68"/>
  <c r="E68"/>
  <c r="O66" s="1"/>
  <c r="D68"/>
  <c r="F67"/>
  <c r="H67" s="1"/>
  <c r="H68" s="1"/>
  <c r="E67"/>
  <c r="D67"/>
  <c r="X67" s="1"/>
  <c r="H66"/>
  <c r="O65"/>
  <c r="H65"/>
  <c r="H64"/>
  <c r="H63"/>
  <c r="H62"/>
  <c r="H61"/>
  <c r="H60"/>
  <c r="H59"/>
  <c r="H58"/>
  <c r="H57"/>
  <c r="A57"/>
  <c r="A58" s="1"/>
  <c r="A59" s="1"/>
  <c r="A60" s="1"/>
  <c r="A61" s="1"/>
  <c r="A62" s="1"/>
  <c r="A63" s="1"/>
  <c r="A64" s="1"/>
  <c r="A65" s="1"/>
  <c r="A66" s="1"/>
  <c r="H56"/>
  <c r="G54"/>
  <c r="G69" s="1"/>
  <c r="F54"/>
  <c r="E54"/>
  <c r="E69" s="1"/>
  <c r="D54"/>
  <c r="H53"/>
  <c r="H52"/>
  <c r="H51"/>
  <c r="H50"/>
  <c r="H49"/>
  <c r="H48"/>
  <c r="H47"/>
  <c r="H46"/>
  <c r="H45"/>
  <c r="H44"/>
  <c r="H43"/>
  <c r="H42"/>
  <c r="H41"/>
  <c r="H40"/>
  <c r="H39"/>
  <c r="G38"/>
  <c r="H38" s="1"/>
  <c r="H37"/>
  <c r="H36"/>
  <c r="H35"/>
  <c r="H34"/>
  <c r="H33"/>
  <c r="A33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H32"/>
  <c r="F29"/>
  <c r="E29"/>
  <c r="E98" s="1"/>
  <c r="G28"/>
  <c r="H28" s="1"/>
  <c r="H29" s="1"/>
  <c r="H27"/>
  <c r="D27"/>
  <c r="D29" s="1"/>
  <c r="E7"/>
  <c r="J6"/>
  <c r="J5"/>
  <c r="J7" s="1"/>
  <c r="H127" l="1"/>
  <c r="H156"/>
  <c r="G108"/>
  <c r="H108" s="1"/>
  <c r="H54"/>
  <c r="H69" s="1"/>
  <c r="I54"/>
  <c r="Q80"/>
  <c r="K55"/>
  <c r="H89"/>
  <c r="I89"/>
  <c r="Q72"/>
  <c r="X72"/>
  <c r="H155"/>
  <c r="X182"/>
  <c r="X183" s="1"/>
  <c r="H76"/>
  <c r="E100"/>
  <c r="E102" s="1"/>
  <c r="E103" s="1"/>
  <c r="H182"/>
  <c r="H183" s="1"/>
  <c r="Y183" s="1"/>
  <c r="K56"/>
  <c r="H71"/>
  <c r="H72" s="1"/>
  <c r="H92"/>
  <c r="H97" s="1"/>
  <c r="Y167"/>
  <c r="G29"/>
  <c r="G98" s="1"/>
  <c r="G103" s="1"/>
  <c r="F68"/>
  <c r="O67" s="1"/>
  <c r="O68" s="1"/>
  <c r="H112"/>
  <c r="Y177"/>
  <c r="D69"/>
  <c r="Q54"/>
  <c r="G127"/>
  <c r="Q127" s="1"/>
  <c r="K138"/>
  <c r="J138" s="1"/>
  <c r="G148"/>
  <c r="S156" s="1"/>
  <c r="H170"/>
  <c r="D76"/>
  <c r="K54"/>
  <c r="Q89"/>
  <c r="K136"/>
  <c r="J136" s="1"/>
  <c r="R123"/>
  <c r="H138"/>
  <c r="G107" l="1"/>
  <c r="N153" s="1"/>
  <c r="K137"/>
  <c r="J137" s="1"/>
  <c r="G146"/>
  <c r="H146" s="1"/>
  <c r="H98"/>
  <c r="I68"/>
  <c r="Q68"/>
  <c r="F69"/>
  <c r="F98" s="1"/>
  <c r="F103" s="1"/>
  <c r="F117" s="1"/>
  <c r="F128" s="1"/>
  <c r="F130" s="1"/>
  <c r="F131" s="1"/>
  <c r="F133" s="1"/>
  <c r="F136" s="1"/>
  <c r="X68"/>
  <c r="H172"/>
  <c r="X170"/>
  <c r="H171"/>
  <c r="I76"/>
  <c r="Q76"/>
  <c r="I69"/>
  <c r="G116"/>
  <c r="G117" s="1"/>
  <c r="Q29"/>
  <c r="D98"/>
  <c r="E105"/>
  <c r="E116" s="1"/>
  <c r="E117" s="1"/>
  <c r="E128" s="1"/>
  <c r="T153"/>
  <c r="H148"/>
  <c r="Q69" l="1"/>
  <c r="H136"/>
  <c r="F149"/>
  <c r="E130"/>
  <c r="E131" s="1"/>
  <c r="E133" s="1"/>
  <c r="E135" s="1"/>
  <c r="E149" s="1"/>
  <c r="X171"/>
  <c r="X172" s="1"/>
  <c r="Y172" s="1"/>
  <c r="Y170"/>
  <c r="I98"/>
  <c r="Q98"/>
  <c r="D100"/>
  <c r="E151" l="1"/>
  <c r="E150"/>
  <c r="F150"/>
  <c r="F151" s="1"/>
  <c r="H100"/>
  <c r="D102"/>
  <c r="H102" l="1"/>
  <c r="H103" s="1"/>
  <c r="D7"/>
  <c r="H101"/>
  <c r="Q102"/>
  <c r="D103"/>
  <c r="Q103" l="1"/>
  <c r="D105"/>
  <c r="I103"/>
  <c r="G106"/>
  <c r="H106" s="1"/>
  <c r="H105" l="1"/>
  <c r="H116" s="1"/>
  <c r="H117" s="1"/>
  <c r="D116"/>
  <c r="G119" l="1"/>
  <c r="I116"/>
  <c r="Q116"/>
  <c r="D117"/>
  <c r="N150" l="1"/>
  <c r="N151" s="1"/>
  <c r="H119"/>
  <c r="H120" s="1"/>
  <c r="G120"/>
  <c r="G140"/>
  <c r="I117"/>
  <c r="Q117"/>
  <c r="D128"/>
  <c r="H140" l="1"/>
  <c r="G149"/>
  <c r="K135"/>
  <c r="Q120"/>
  <c r="G128"/>
  <c r="D130"/>
  <c r="D131" s="1"/>
  <c r="J128"/>
  <c r="H128"/>
  <c r="Q131" l="1"/>
  <c r="H130"/>
  <c r="H131" s="1"/>
  <c r="H133" s="1"/>
  <c r="C194" s="1"/>
  <c r="C205" s="1"/>
  <c r="C215" s="1"/>
  <c r="G130"/>
  <c r="G131" s="1"/>
  <c r="G133" s="1"/>
  <c r="I128"/>
  <c r="G150"/>
  <c r="G151" s="1"/>
  <c r="J135"/>
  <c r="K141"/>
  <c r="K144" s="1"/>
  <c r="D133"/>
  <c r="Q128"/>
  <c r="K142" l="1"/>
  <c r="J142"/>
  <c r="I142" s="1"/>
  <c r="J141"/>
  <c r="D135"/>
  <c r="Q133"/>
  <c r="H135" l="1"/>
  <c r="D149"/>
  <c r="J144"/>
  <c r="I141"/>
  <c r="H149" l="1"/>
  <c r="Q149"/>
  <c r="I149"/>
  <c r="D150"/>
  <c r="D151" s="1"/>
  <c r="Q151" s="1"/>
  <c r="H150" l="1"/>
  <c r="H151" s="1"/>
  <c r="D6" s="1"/>
  <c r="D194"/>
  <c r="D205" l="1"/>
  <c r="D196"/>
  <c r="D195"/>
  <c r="E194"/>
  <c r="D215" l="1"/>
  <c r="E205"/>
  <c r="D207"/>
  <c r="D206"/>
  <c r="F194"/>
  <c r="E196"/>
  <c r="E195"/>
  <c r="E215" l="1"/>
  <c r="D217"/>
  <c r="D216"/>
  <c r="G194"/>
  <c r="F196"/>
  <c r="F195"/>
  <c r="E206"/>
  <c r="F205"/>
  <c r="E207"/>
  <c r="F215" l="1"/>
  <c r="E217"/>
  <c r="E216"/>
  <c r="G195"/>
  <c r="G196" s="1"/>
  <c r="H194"/>
  <c r="F206"/>
  <c r="F207" s="1"/>
  <c r="G205"/>
  <c r="H195" l="1"/>
  <c r="H196" s="1"/>
  <c r="X194"/>
  <c r="F216"/>
  <c r="F217" s="1"/>
  <c r="G215"/>
  <c r="G206"/>
  <c r="G207" s="1"/>
  <c r="H205"/>
  <c r="G216" l="1"/>
  <c r="G217" s="1"/>
  <c r="H215"/>
  <c r="X195"/>
  <c r="X196" s="1"/>
  <c r="H207"/>
  <c r="H206"/>
  <c r="H216" l="1"/>
  <c r="H217" s="1"/>
</calcChain>
</file>

<file path=xl/comments1.xml><?xml version="1.0" encoding="utf-8"?>
<comments xmlns="http://schemas.openxmlformats.org/spreadsheetml/2006/main">
  <authors>
    <author>Алексей</author>
    <author>nsavkin</author>
    <author>Alex</author>
  </authors>
  <commentLis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&lt;Всего по расчету(руб./тыс.руб.)&gt;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101 значение&gt;</t>
        </r>
      </text>
    </comment>
    <comment ref="C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п.п.&gt;</t>
        </r>
      </text>
    </comment>
    <comment ref="B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сметного расчета&gt;</t>
        </r>
      </text>
    </comment>
    <comment ref="C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работ и затрат (глав, объектов)&gt;</t>
        </r>
      </text>
    </comment>
    <comment ref="D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&lt;Строительные работы&gt;</t>
        </r>
      </text>
    </comment>
    <comment ref="E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&lt;Монтажные работы&gt;</t>
        </r>
      </text>
    </comment>
    <comment ref="F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&lt;Оборудование, мебель, инвентарь&gt;</t>
        </r>
      </text>
    </comment>
    <comment ref="G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&lt;Прочее&gt;</t>
        </r>
      </text>
    </comment>
    <comment ref="H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&lt;Всего&gt;</t>
        </r>
      </text>
    </comment>
    <comment ref="D15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350 значение&gt;</t>
        </r>
      </text>
    </comment>
    <comment ref="D16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360 значение&gt;</t>
        </r>
      </text>
    </comment>
  </commentList>
</comments>
</file>

<file path=xl/sharedStrings.xml><?xml version="1.0" encoding="utf-8"?>
<sst xmlns="http://schemas.openxmlformats.org/spreadsheetml/2006/main" count="361" uniqueCount="268">
  <si>
    <t>Форма № 1</t>
  </si>
  <si>
    <t xml:space="preserve">Заказчик </t>
  </si>
  <si>
    <t>(наименование организации)</t>
  </si>
  <si>
    <t xml:space="preserve">В том числе возвратных сумм </t>
  </si>
  <si>
    <t>(ссылка на документ об утверждении)</t>
  </si>
  <si>
    <t>СВОДНЫЙ СМЕТНЫЙ РАСЧЕТ СТОИМОСТИ СТРОИТЕЛЬСТВА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</si>
  <si>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</si>
  <si>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</si>
  <si>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</si>
  <si>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</si>
  <si>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</t>
  </si>
  <si>
    <t>Общая сметная стоимость</t>
  </si>
  <si>
    <t>строительных работ</t>
  </si>
  <si>
    <t>монтажных работ</t>
  </si>
  <si>
    <t>оборудования, мебели, инвентаря</t>
  </si>
  <si>
    <t>прочих</t>
  </si>
  <si>
    <t>[подпись (инициалы, фамилия)]</t>
  </si>
  <si>
    <t>Главный инженер проекта</t>
  </si>
  <si>
    <t>А.М. Окунев</t>
  </si>
  <si>
    <t>Глава 1. Подготовка территории строительства</t>
  </si>
  <si>
    <t>Подготовительные работы</t>
  </si>
  <si>
    <t/>
  </si>
  <si>
    <t>Итого по Главе 1. "Подготовка территории строительства"</t>
  </si>
  <si>
    <t>Глава 2. Основные объекты строительства</t>
  </si>
  <si>
    <t>02-02-01</t>
  </si>
  <si>
    <t>Архитектурные решения</t>
  </si>
  <si>
    <t>02-02-01/1</t>
  </si>
  <si>
    <t>Архитектурные решения  чистых помещений</t>
  </si>
  <si>
    <t>02-02-02</t>
  </si>
  <si>
    <t>Конструктивные и объемно-планировочные решения</t>
  </si>
  <si>
    <t>02-02-03</t>
  </si>
  <si>
    <t>Водопровод</t>
  </si>
  <si>
    <t>02-02-04</t>
  </si>
  <si>
    <t>Канализация</t>
  </si>
  <si>
    <t>02-02-06</t>
  </si>
  <si>
    <t>Отопление.</t>
  </si>
  <si>
    <t>02-01-05</t>
  </si>
  <si>
    <t>Вентиляция и кондиционирование воздуха.</t>
  </si>
  <si>
    <t>02-02-07</t>
  </si>
  <si>
    <t>Технологические коммуникации. Сжатый воздух</t>
  </si>
  <si>
    <t>02-02-08</t>
  </si>
  <si>
    <t>02-01-09</t>
  </si>
  <si>
    <t>02-02-10</t>
  </si>
  <si>
    <t>Телефонизация</t>
  </si>
  <si>
    <t>02-02-11</t>
  </si>
  <si>
    <t>Система оповещения и управления эвакуацией</t>
  </si>
  <si>
    <t>02-02-12</t>
  </si>
  <si>
    <t>Система контроля и управления доступом</t>
  </si>
  <si>
    <t>02-02-13</t>
  </si>
  <si>
    <t>Радиофикация</t>
  </si>
  <si>
    <t>02-02-14</t>
  </si>
  <si>
    <t>Локальная вычислительная сеть</t>
  </si>
  <si>
    <t>02-02-15</t>
  </si>
  <si>
    <t>Видеонаблюдение</t>
  </si>
  <si>
    <t>02-02-16</t>
  </si>
  <si>
    <t>Автоматическая пожарная сигнализация</t>
  </si>
  <si>
    <t>02-02-17</t>
  </si>
  <si>
    <t>Автоматическая установка порошкового пожаротушения</t>
  </si>
  <si>
    <t>02-02-18</t>
  </si>
  <si>
    <t>Индивидуальный тепловой пункт</t>
  </si>
  <si>
    <t>02-02-19</t>
  </si>
  <si>
    <t>Электрооборудование. Электроосвещение</t>
  </si>
  <si>
    <t>02-02-20</t>
  </si>
  <si>
    <t>Автоматизация №1 СМР 30-07П-ИОС5.2</t>
  </si>
  <si>
    <t>02-02-21</t>
  </si>
  <si>
    <t>Автоматизация №3 СМР 30-07П-ИОС5.3</t>
  </si>
  <si>
    <t>02-01-01</t>
  </si>
  <si>
    <t>Конструктивные и объемно-планировочные решения. Фундамент котельной.</t>
  </si>
  <si>
    <t>02-01-02</t>
  </si>
  <si>
    <t>Конструктивные и объемно-планировочные решения. Каркас  здания.</t>
  </si>
  <si>
    <t>02-01-03</t>
  </si>
  <si>
    <t>Архитектурные решения котельной.</t>
  </si>
  <si>
    <t>02-02</t>
  </si>
  <si>
    <t>Внутреннее газоснабжение.</t>
  </si>
  <si>
    <t>02-03-01</t>
  </si>
  <si>
    <t>Тепломеханическая связь.</t>
  </si>
  <si>
    <t>02-03-02</t>
  </si>
  <si>
    <t>Дымоудаление.</t>
  </si>
  <si>
    <t>02-04</t>
  </si>
  <si>
    <t>02-05</t>
  </si>
  <si>
    <t>Водоснабжение и водоотведение.</t>
  </si>
  <si>
    <t>02-06-01</t>
  </si>
  <si>
    <t>Электроснабжение.</t>
  </si>
  <si>
    <t>02-06-02</t>
  </si>
  <si>
    <t>Сети связи.</t>
  </si>
  <si>
    <t>02-06-04</t>
  </si>
  <si>
    <t>Автоматизация.</t>
  </si>
  <si>
    <t>Итого по Главе 2. "Основные объекты строительства"</t>
  </si>
  <si>
    <t>Глава 3. Объекты подсобного и обслуживающего назначения</t>
  </si>
  <si>
    <t>03-01</t>
  </si>
  <si>
    <t>Итого по Главе 3. "Объекты подсобного и обслуживающего назначения"</t>
  </si>
  <si>
    <t>Глава 4. Объекты энергетического хозяйства</t>
  </si>
  <si>
    <t>04-01</t>
  </si>
  <si>
    <t>Трансформаторная подстанция</t>
  </si>
  <si>
    <t>Итого по Главе 4. "Объекты энергетического хозяйства"</t>
  </si>
  <si>
    <t>Глава 5. Объекты транспортного хозяйства и связи</t>
  </si>
  <si>
    <t>05-01-01</t>
  </si>
  <si>
    <t>Наружные сети связи (к лабораторному корпусу)</t>
  </si>
  <si>
    <t>05-01-02</t>
  </si>
  <si>
    <t>Наружные сети связи (к котельной)</t>
  </si>
  <si>
    <t>Итого по Главе 5. "Объекты транспортного хозяйства и связи"</t>
  </si>
  <si>
    <t>Глава 6. Наружные сети и сооружения водоснабжения, водоотведения, теплоснабжения и газоснабжения</t>
  </si>
  <si>
    <t>06-01-01</t>
  </si>
  <si>
    <t>Наружный водопровод (к лабораторному корпусу)</t>
  </si>
  <si>
    <t>06-01-02</t>
  </si>
  <si>
    <t>Наружняя канализация (к лабораторному корпусу)</t>
  </si>
  <si>
    <t>06-01-03</t>
  </si>
  <si>
    <t>Наружный водопровод (к котельной)</t>
  </si>
  <si>
    <t>06-01-04</t>
  </si>
  <si>
    <t>Наружняя канализация (к котельной)</t>
  </si>
  <si>
    <t>06-01-05</t>
  </si>
  <si>
    <t>Тепловая сеть</t>
  </si>
  <si>
    <t>Итого по Главе 6. "Наружные сети и сооружения водоснабжения, водоотведения, теплоснабжения и газоснабжения"</t>
  </si>
  <si>
    <t>Глава 7. Благоустройство и озеленение территории</t>
  </si>
  <si>
    <t>07-01-01</t>
  </si>
  <si>
    <t>07-01-02</t>
  </si>
  <si>
    <t>07-01-03</t>
  </si>
  <si>
    <t>Озеленение (лабораторный корпус)</t>
  </si>
  <si>
    <t>07-01-05</t>
  </si>
  <si>
    <t>Проезды и тротуары (лабораторный корпус)</t>
  </si>
  <si>
    <t>07-01-06</t>
  </si>
  <si>
    <t>Проезды и тротуары (котельной)</t>
  </si>
  <si>
    <t>07-01-04</t>
  </si>
  <si>
    <t>Озеленение (котельная)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</si>
  <si>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</si>
  <si>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</si>
  <si>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</si>
  <si>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Временные здания и сооружения - 1,8%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</si>
  <si>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</si>
  <si>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</si>
  <si>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</si>
  <si>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ГСН-81-05-02-2007 п.11.4 прил.1 п.34</t>
  </si>
  <si>
    <t>Письмо №НЗ-3942/07 от 18.07.02г.</t>
  </si>
  <si>
    <t>Строительный контроль 1,61%</t>
  </si>
  <si>
    <t>база пнр смета№2  30-07П-ИОС5.2</t>
  </si>
  <si>
    <t>база пнр смета№4 30-07П-ИОС5.3</t>
  </si>
  <si>
    <t>Итого по Главе 9. "Прочие работы и затраты"</t>
  </si>
  <si>
    <t>Итого по Главам 1-9</t>
  </si>
  <si>
    <t>Глава 10. Содержание службы заказчика. Строительный контроль</t>
  </si>
  <si>
    <t>Постановление Правительства РФ от 21.06.10 №468</t>
  </si>
  <si>
    <t>Итого по Главе 10. "Содержание службы заказчика. Строительный контроль"</t>
  </si>
  <si>
    <t>Глава 12. Проектные и изыскательские работы</t>
  </si>
  <si>
    <t>По закл. договору</t>
  </si>
  <si>
    <t>Постановление Правительства РФ от 05.03.2007г. №145, в ред. №970</t>
  </si>
  <si>
    <t>Итого по Главе 12. "Проектные и изыскательские работы"</t>
  </si>
  <si>
    <t>Итого по Главам 1-12</t>
  </si>
  <si>
    <t>Непредвиденные затраты</t>
  </si>
  <si>
    <t>МДС 81-35.2004 п.4.96</t>
  </si>
  <si>
    <t>Непредвиденные затраты - 2%</t>
  </si>
  <si>
    <t>Итого "Непредвиденные затраты"</t>
  </si>
  <si>
    <t>Налоги и обязательные платежи</t>
  </si>
  <si>
    <t>Всего с НДС</t>
  </si>
  <si>
    <t>Отопление и вентиляция.</t>
  </si>
  <si>
    <t>Азотно-компрессорная станция</t>
  </si>
  <si>
    <t xml:space="preserve">Сводный сметный расчет в сумме </t>
  </si>
  <si>
    <t>Прил.1</t>
  </si>
  <si>
    <t>Прил.5</t>
  </si>
  <si>
    <t>Прил.4</t>
  </si>
  <si>
    <t>Договор</t>
  </si>
  <si>
    <t>Справочно:</t>
  </si>
  <si>
    <t>тыс. руб.</t>
  </si>
  <si>
    <t xml:space="preserve">Всего по сводному расчету в базовых ценах </t>
  </si>
  <si>
    <t>Итого по котельной:</t>
  </si>
  <si>
    <t xml:space="preserve">Котельная </t>
  </si>
  <si>
    <t>Технологическое присоединение газоснабжения   1 632 370,88руб.в текущих ценах с НДС, расчет: 1632370,88/1,18/9,63</t>
  </si>
  <si>
    <t xml:space="preserve">Лабораторный корпус </t>
  </si>
  <si>
    <t>Итого по корпусу "В":</t>
  </si>
  <si>
    <t>Проектно-изыскательские работы в базовых ценах</t>
  </si>
  <si>
    <t>Проектно-изыскательские работы в текущих ценах</t>
  </si>
  <si>
    <t>Руководитель проектной организации</t>
  </si>
  <si>
    <t xml:space="preserve">                                                           А.А. Заборонок</t>
  </si>
  <si>
    <t>ПИР</t>
  </si>
  <si>
    <t>Технадзор</t>
  </si>
  <si>
    <t>экспертиза</t>
  </si>
  <si>
    <t>пнр</t>
  </si>
  <si>
    <t>техприсоединение</t>
  </si>
  <si>
    <t>прочие в ОВ</t>
  </si>
  <si>
    <t>06-01-06</t>
  </si>
  <si>
    <t>Конструктивные решения линии стоков.</t>
  </si>
  <si>
    <t>Реконструкция и техническое перевооружение цеха и инженерной инфраструктуры опытного завода Федерального государтсвенного унитарного предприятия "Государственный научный центр "НИОПИК" с целью создания производства импортозамещающих субстанций жизненнонеобходимых и важнейших лекарственных препаратов"</t>
  </si>
  <si>
    <t>ФГУП " ГНЦ "НИОПИК""</t>
  </si>
  <si>
    <t>Заказчик:                                                                                                                      Генеральный директор ФГУП " ГНЦ "НИОПИК""</t>
  </si>
  <si>
    <t>А.Ю. Ступин</t>
  </si>
  <si>
    <t>Составлена в ценах по состоянию на 01.01.2001г. с пересчетом в текущий уровень цен на 4 квартал 2016г.</t>
  </si>
  <si>
    <t>"Утвержден" « _____ »________________2017 г.</t>
  </si>
  <si>
    <t>01-02</t>
  </si>
  <si>
    <t>01-01</t>
  </si>
  <si>
    <t>Обследование конструкций</t>
  </si>
  <si>
    <t>04-02</t>
  </si>
  <si>
    <t>Внутриплощадочные сети э/снабжения. Наружное освещение</t>
  </si>
  <si>
    <t>Наружные сети газоснабжения к котельной.</t>
  </si>
  <si>
    <t>база пнр смета№09-01 для котельной</t>
  </si>
  <si>
    <t>06-01-07</t>
  </si>
  <si>
    <t>Производство работ в зимнее время - 1,5%</t>
  </si>
  <si>
    <t>Строительный контроль 1,28%</t>
  </si>
  <si>
    <t>Инженерно-геодезические, инженерно-гелогические, инженерно-экологические изыскания, обследования  (к=3,99 прил.3  к письму   от 09.12.2016г.) к=3,99 с непридвиденными затратами</t>
  </si>
  <si>
    <t>Технологическое оборудование</t>
  </si>
  <si>
    <t>Технологические коммуникации. Линия откачки аварийных стоков.</t>
  </si>
  <si>
    <t>Вертикальная планировка (котельная)</t>
  </si>
  <si>
    <t>пост. 913 от 13.09.2016г.</t>
  </si>
  <si>
    <t>Работы по вывозу и утилизации грунтов (4кл. опасности) в количестве 755м3.</t>
  </si>
  <si>
    <t>пост.193</t>
  </si>
  <si>
    <t>ОС02-02</t>
  </si>
  <si>
    <t>объектная смета</t>
  </si>
  <si>
    <t>Плата за выброс</t>
  </si>
  <si>
    <t>плата за выброс</t>
  </si>
  <si>
    <t>табл. 83 лист 99.</t>
  </si>
  <si>
    <t>договор №00/578-2648-16</t>
  </si>
  <si>
    <t>смета</t>
  </si>
  <si>
    <t>Пусконаладочные работы</t>
  </si>
  <si>
    <t>Причие</t>
  </si>
  <si>
    <t>ПНР</t>
  </si>
  <si>
    <t>Вертикальная планировка (лабораторный корпус и котельная)</t>
  </si>
  <si>
    <t>Возвратные суммы  базисный уровень цен</t>
  </si>
  <si>
    <t>Возвратные суммы  15%</t>
  </si>
  <si>
    <t>Возвратные суммы  текущий уровень цен</t>
  </si>
  <si>
    <t xml:space="preserve">Пусконаладочные работы </t>
  </si>
  <si>
    <t xml:space="preserve">Техприсоединение </t>
  </si>
  <si>
    <t>Экспертиза проектной документации - от стоимости проектных и изыскательских работ</t>
  </si>
  <si>
    <t>тыс.руб.</t>
  </si>
  <si>
    <t>Для определения затрат в текущем уровне цен на 3 квартал 2019г. используются индексы-дефляторы, согласно (Министерство строительства РФ от 09.10.2019г. №38021-ЮГ/09 прил.1 прочие работы).</t>
  </si>
  <si>
    <t>СМР ФЕР ред. 2014г. - 8,29</t>
  </si>
  <si>
    <t>Итого в текущих уровне цен 3кв.2019г.</t>
  </si>
  <si>
    <t>НДС 20%</t>
  </si>
  <si>
    <t>письмо №38021-ЮГ/09 от 09.10.2019г. К=20,73</t>
  </si>
  <si>
    <t>Технологическое оборудование - 4,03</t>
  </si>
  <si>
    <r>
      <t xml:space="preserve">Проектная документация                            </t>
    </r>
    <r>
      <rPr>
        <sz val="8"/>
        <rFont val="Arial Cyr"/>
        <charset val="204"/>
      </rPr>
      <t xml:space="preserve"> расчет: (42069,442*0,939)/4,21/1,19</t>
    </r>
  </si>
  <si>
    <r>
      <t xml:space="preserve">Рабочая документация                                 </t>
    </r>
    <r>
      <rPr>
        <sz val="8"/>
        <rFont val="Arial Cyr"/>
        <charset val="204"/>
      </rPr>
      <t>расчет: (105173,605-42069,442)/4,21/1,19</t>
    </r>
  </si>
  <si>
    <t>Инженерно-геодезические, инженерно-гелогические, инженерно-экологические изыскания, обследования  (к=4,29 прил.2  к письму   от 04.10.2019г.)</t>
  </si>
  <si>
    <t>Прочие затраты - 10,64</t>
  </si>
  <si>
    <t>Проектные работы к=4,21 с непридвиденными затратами</t>
  </si>
  <si>
    <t>Экспертиза проектной документации - 6,15%(П+И+Э) от стоимости проектных и изыскательских работ, расчет:  ((6,15%*8404,043тыс.руб+213,58 тыс.руб.*6,15%))*4,21</t>
  </si>
  <si>
    <t>Проектные работы                                                                                                                105 173,605/1,18/4,21/1,19 (к=4,21 прил.2  к письму   от 04.10.2019г.)</t>
  </si>
  <si>
    <t>ГСН-81-05-01-2001 п.4.3</t>
  </si>
  <si>
    <t>2016г.</t>
  </si>
  <si>
    <t>в ценах 2016г.</t>
  </si>
  <si>
    <t xml:space="preserve">котельная </t>
  </si>
  <si>
    <t>Строительный контроль 1,28% к=10,64</t>
  </si>
  <si>
    <t>Базовая стоимость объекта</t>
  </si>
  <si>
    <t>без котельной (гл.2), АЗС (гл.3), ТП (гл.4), наружных сетей (гл.6).</t>
  </si>
  <si>
    <t xml:space="preserve">сметная стоимость в ценах 3 кв. 2019г. </t>
  </si>
  <si>
    <t>Сметная стоимость объекта: "Корректировка проекта реконструкции цеха Т15В ("Лабораторный корпус В")                                        в ценах соответствующих лет.</t>
  </si>
  <si>
    <t>ИЦП</t>
  </si>
  <si>
    <t>дефлятор</t>
  </si>
  <si>
    <t>Индекс по видам экон деятельности Строительство</t>
  </si>
  <si>
    <t>2020 г.ск дефлятором 104,5</t>
  </si>
  <si>
    <t>2021г. ск дефлятором 104,1</t>
  </si>
  <si>
    <t>2022г. ск дефлятором 106,5</t>
  </si>
  <si>
    <t>2023г. ск дефлятором 106,7</t>
  </si>
  <si>
    <t>2022г. ск дефлятором 105,1</t>
  </si>
  <si>
    <t>2023г. ск дефлятором 104,3</t>
  </si>
  <si>
    <t>2020 г.ск дефлятором 107,3</t>
  </si>
  <si>
    <t>2021г. ск дефлятором 106,9</t>
  </si>
  <si>
    <t>2019г. ск дефлятором 107,2</t>
  </si>
  <si>
    <t>2020г. ск дефлятором 104,5</t>
  </si>
  <si>
    <t>Итого</t>
  </si>
  <si>
    <t>Индекс по видам экон деятельности: строительство</t>
  </si>
  <si>
    <t>ТП</t>
  </si>
  <si>
    <t>Наружные сети</t>
  </si>
  <si>
    <t>2018 г.ск дефлятором 1</t>
  </si>
  <si>
    <t>НДС 18%</t>
  </si>
  <si>
    <t>с НДС 20% и с лимитиро. Затратами</t>
  </si>
  <si>
    <t>в текущих ценах</t>
  </si>
  <si>
    <t>Пересчет ССР исключая котельную и АЗС, ТП, наружные сети</t>
  </si>
  <si>
    <t>Всего гл.2,3,4,6 с НДС 20%</t>
  </si>
  <si>
    <t>ндс 20%</t>
  </si>
  <si>
    <t>Лимитиров. Затраты (без НДС 35 707,89тыс.руб.)</t>
  </si>
  <si>
    <t>с лимитированными и с НДС 20%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</si>
</sst>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\ _₽_-;\-* #,##0.000\ _₽_-;_-* &quot;-&quot;??\ _₽_-;_-@_-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4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4" fillId="0" borderId="0"/>
    <xf numFmtId="0" fontId="3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0" borderId="0" xfId="11" applyFont="1"/>
    <xf numFmtId="0" fontId="3" fillId="0" borderId="0" xfId="23" applyAlignment="1">
      <alignment horizontal="left"/>
    </xf>
    <xf numFmtId="0" fontId="3" fillId="0" borderId="4" xfId="22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5" fillId="0" borderId="0" xfId="0" applyFont="1"/>
    <xf numFmtId="164" fontId="15" fillId="0" borderId="1" xfId="27" applyNumberFormat="1" applyFont="1" applyBorder="1" applyAlignment="1">
      <alignment horizontal="right" vertical="top" wrapText="1"/>
    </xf>
    <xf numFmtId="164" fontId="15" fillId="0" borderId="1" xfId="27" applyNumberFormat="1" applyFont="1" applyBorder="1" applyAlignment="1">
      <alignment vertical="top" wrapText="1"/>
    </xf>
    <xf numFmtId="49" fontId="15" fillId="3" borderId="1" xfId="0" applyNumberFormat="1" applyFont="1" applyFill="1" applyBorder="1" applyAlignment="1">
      <alignment horizontal="left" vertical="top" wrapText="1"/>
    </xf>
    <xf numFmtId="43" fontId="15" fillId="3" borderId="1" xfId="0" applyNumberFormat="1" applyFont="1" applyFill="1" applyBorder="1" applyAlignment="1">
      <alignment horizontal="left" vertical="top" wrapText="1"/>
    </xf>
    <xf numFmtId="164" fontId="15" fillId="3" borderId="1" xfId="27" applyNumberFormat="1" applyFont="1" applyFill="1" applyBorder="1" applyAlignment="1">
      <alignment vertical="top" wrapText="1"/>
    </xf>
    <xf numFmtId="43" fontId="15" fillId="0" borderId="0" xfId="0" applyNumberFormat="1" applyFont="1"/>
    <xf numFmtId="49" fontId="15" fillId="0" borderId="1" xfId="0" applyNumberFormat="1" applyFont="1" applyBorder="1" applyAlignment="1">
      <alignment horizontal="left" vertical="top"/>
    </xf>
    <xf numFmtId="43" fontId="15" fillId="0" borderId="1" xfId="0" applyNumberFormat="1" applyFont="1" applyBorder="1" applyAlignment="1">
      <alignment horizontal="right" vertical="top" wrapText="1"/>
    </xf>
    <xf numFmtId="43" fontId="15" fillId="3" borderId="0" xfId="0" applyNumberFormat="1" applyFont="1" applyFill="1"/>
    <xf numFmtId="43" fontId="3" fillId="0" borderId="0" xfId="0" applyNumberFormat="1" applyFont="1" applyAlignment="1">
      <alignment horizontal="center" vertical="center"/>
    </xf>
    <xf numFmtId="43" fontId="3" fillId="0" borderId="1" xfId="27" applyFont="1" applyBorder="1" applyAlignment="1">
      <alignment horizontal="right" vertical="top" wrapText="1"/>
    </xf>
    <xf numFmtId="43" fontId="5" fillId="0" borderId="1" xfId="27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4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16" fillId="0" borderId="0" xfId="0" applyFont="1"/>
    <xf numFmtId="0" fontId="0" fillId="0" borderId="1" xfId="0" applyBorder="1"/>
    <xf numFmtId="0" fontId="13" fillId="0" borderId="0" xfId="0" applyFont="1"/>
    <xf numFmtId="2" fontId="3" fillId="0" borderId="1" xfId="0" applyNumberFormat="1" applyFont="1" applyBorder="1" applyAlignment="1">
      <alignment horizontal="right" vertical="top" wrapText="1"/>
    </xf>
    <xf numFmtId="43" fontId="5" fillId="0" borderId="1" xfId="27" applyFont="1" applyBorder="1" applyAlignment="1">
      <alignment horizontal="center" vertical="top" wrapText="1"/>
    </xf>
    <xf numFmtId="43" fontId="5" fillId="0" borderId="1" xfId="27" applyFont="1" applyBorder="1" applyAlignment="1">
      <alignment horizontal="left" vertical="top" wrapText="1"/>
    </xf>
    <xf numFmtId="43" fontId="16" fillId="0" borderId="0" xfId="27" applyFont="1"/>
    <xf numFmtId="0" fontId="6" fillId="0" borderId="0" xfId="0" applyFont="1"/>
    <xf numFmtId="0" fontId="15" fillId="0" borderId="1" xfId="0" applyFont="1" applyBorder="1"/>
    <xf numFmtId="0" fontId="3" fillId="0" borderId="2" xfId="24" applyBorder="1" applyAlignment="1">
      <alignment horizontal="left"/>
    </xf>
    <xf numFmtId="0" fontId="0" fillId="0" borderId="2" xfId="0" applyBorder="1" applyAlignment="1"/>
    <xf numFmtId="0" fontId="2" fillId="0" borderId="0" xfId="0" applyFont="1"/>
    <xf numFmtId="43" fontId="15" fillId="0" borderId="0" xfId="27" applyFont="1"/>
    <xf numFmtId="43" fontId="15" fillId="0" borderId="1" xfId="0" applyNumberFormat="1" applyFont="1" applyBorder="1"/>
    <xf numFmtId="43" fontId="15" fillId="2" borderId="0" xfId="0" applyNumberFormat="1" applyFont="1" applyFill="1"/>
    <xf numFmtId="0" fontId="18" fillId="0" borderId="1" xfId="0" applyFont="1" applyBorder="1" applyAlignment="1">
      <alignment horizontal="left" vertical="top" wrapText="1"/>
    </xf>
    <xf numFmtId="43" fontId="16" fillId="0" borderId="0" xfId="0" applyNumberFormat="1" applyFont="1"/>
    <xf numFmtId="49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3" fontId="3" fillId="3" borderId="1" xfId="27" applyFont="1" applyFill="1" applyBorder="1" applyAlignment="1">
      <alignment horizontal="right" vertical="top" wrapText="1"/>
    </xf>
    <xf numFmtId="0" fontId="0" fillId="3" borderId="0" xfId="0" applyFill="1"/>
    <xf numFmtId="43" fontId="0" fillId="3" borderId="0" xfId="0" applyNumberFormat="1" applyFill="1"/>
    <xf numFmtId="43" fontId="3" fillId="3" borderId="1" xfId="27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left" vertical="top"/>
    </xf>
    <xf numFmtId="49" fontId="14" fillId="3" borderId="1" xfId="0" applyNumberFormat="1" applyFont="1" applyFill="1" applyBorder="1" applyAlignment="1">
      <alignment horizontal="left" vertical="top" wrapText="1"/>
    </xf>
    <xf numFmtId="43" fontId="14" fillId="3" borderId="1" xfId="0" applyNumberFormat="1" applyFont="1" applyFill="1" applyBorder="1" applyAlignment="1">
      <alignment horizontal="right" vertical="top" wrapText="1"/>
    </xf>
    <xf numFmtId="43" fontId="14" fillId="3" borderId="0" xfId="0" applyNumberFormat="1" applyFont="1" applyFill="1"/>
    <xf numFmtId="0" fontId="14" fillId="3" borderId="0" xfId="0" applyFont="1" applyFill="1"/>
    <xf numFmtId="164" fontId="15" fillId="0" borderId="0" xfId="0" applyNumberFormat="1" applyFont="1"/>
    <xf numFmtId="43" fontId="0" fillId="0" borderId="0" xfId="0" applyNumberFormat="1"/>
    <xf numFmtId="43" fontId="3" fillId="2" borderId="1" xfId="27" applyFont="1" applyFill="1" applyBorder="1" applyAlignment="1">
      <alignment horizontal="right" vertical="top" wrapText="1"/>
    </xf>
    <xf numFmtId="165" fontId="3" fillId="0" borderId="1" xfId="27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43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43" fontId="5" fillId="3" borderId="1" xfId="27" applyFont="1" applyFill="1" applyBorder="1" applyAlignment="1">
      <alignment horizontal="right" vertical="top" wrapText="1"/>
    </xf>
    <xf numFmtId="43" fontId="3" fillId="3" borderId="1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center" vertical="top"/>
    </xf>
    <xf numFmtId="49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43" fontId="0" fillId="0" borderId="0" xfId="27" applyFont="1"/>
    <xf numFmtId="43" fontId="15" fillId="0" borderId="0" xfId="0" applyNumberFormat="1" applyFont="1" applyBorder="1" applyAlignment="1">
      <alignment horizontal="right" vertical="top" wrapText="1"/>
    </xf>
    <xf numFmtId="43" fontId="14" fillId="3" borderId="0" xfId="0" applyNumberFormat="1" applyFont="1" applyFill="1" applyBorder="1" applyAlignment="1">
      <alignment horizontal="right" vertical="top" wrapText="1"/>
    </xf>
    <xf numFmtId="164" fontId="15" fillId="0" borderId="1" xfId="27" applyNumberFormat="1" applyFont="1" applyFill="1" applyBorder="1" applyAlignment="1">
      <alignment vertical="top" wrapText="1"/>
    </xf>
    <xf numFmtId="43" fontId="3" fillId="0" borderId="1" xfId="27" applyFont="1" applyFill="1" applyBorder="1" applyAlignment="1">
      <alignment horizontal="right" vertical="top" wrapText="1"/>
    </xf>
    <xf numFmtId="0" fontId="14" fillId="0" borderId="0" xfId="0" applyFont="1"/>
    <xf numFmtId="0" fontId="5" fillId="0" borderId="1" xfId="0" applyFont="1" applyFill="1" applyBorder="1" applyAlignment="1">
      <alignment horizontal="left" vertical="top" wrapText="1"/>
    </xf>
    <xf numFmtId="43" fontId="5" fillId="0" borderId="1" xfId="27" applyFont="1" applyFill="1" applyBorder="1" applyAlignment="1">
      <alignment horizontal="right" vertical="top" wrapText="1"/>
    </xf>
    <xf numFmtId="43" fontId="14" fillId="2" borderId="0" xfId="0" applyNumberFormat="1" applyFont="1" applyFill="1"/>
    <xf numFmtId="43" fontId="16" fillId="2" borderId="0" xfId="0" applyNumberFormat="1" applyFont="1" applyFill="1"/>
    <xf numFmtId="43" fontId="5" fillId="2" borderId="1" xfId="27" applyFont="1" applyFill="1" applyBorder="1" applyAlignment="1">
      <alignment horizontal="right" vertical="top" wrapText="1"/>
    </xf>
    <xf numFmtId="0" fontId="19" fillId="0" borderId="0" xfId="0" applyFont="1"/>
    <xf numFmtId="43" fontId="0" fillId="0" borderId="1" xfId="0" applyNumberFormat="1" applyBorder="1"/>
    <xf numFmtId="0" fontId="16" fillId="0" borderId="1" xfId="0" applyFont="1" applyBorder="1"/>
    <xf numFmtId="43" fontId="16" fillId="2" borderId="1" xfId="0" applyNumberFormat="1" applyFont="1" applyFill="1" applyBorder="1"/>
    <xf numFmtId="0" fontId="0" fillId="0" borderId="0" xfId="0" applyBorder="1"/>
    <xf numFmtId="0" fontId="16" fillId="0" borderId="0" xfId="0" applyFont="1" applyBorder="1"/>
    <xf numFmtId="43" fontId="16" fillId="3" borderId="0" xfId="0" applyNumberFormat="1" applyFont="1" applyFill="1" applyBorder="1"/>
    <xf numFmtId="43" fontId="0" fillId="0" borderId="1" xfId="27" applyFont="1" applyBorder="1"/>
    <xf numFmtId="0" fontId="19" fillId="0" borderId="1" xfId="0" applyFont="1" applyBorder="1"/>
    <xf numFmtId="0" fontId="0" fillId="0" borderId="10" xfId="0" applyBorder="1"/>
    <xf numFmtId="0" fontId="0" fillId="0" borderId="12" xfId="0" applyBorder="1"/>
    <xf numFmtId="0" fontId="0" fillId="0" borderId="7" xfId="0" applyBorder="1"/>
    <xf numFmtId="43" fontId="16" fillId="0" borderId="1" xfId="0" applyNumberFormat="1" applyFont="1" applyBorder="1"/>
    <xf numFmtId="0" fontId="12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3" fontId="16" fillId="0" borderId="1" xfId="27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3" fontId="16" fillId="0" borderId="0" xfId="0" applyNumberFormat="1" applyFont="1" applyBorder="1"/>
    <xf numFmtId="43" fontId="16" fillId="0" borderId="2" xfId="0" applyNumberFormat="1" applyFont="1" applyBorder="1"/>
    <xf numFmtId="43" fontId="16" fillId="0" borderId="3" xfId="0" applyNumberFormat="1" applyFont="1" applyBorder="1"/>
    <xf numFmtId="0" fontId="3" fillId="0" borderId="2" xfId="23" applyBorder="1" applyAlignment="1">
      <alignment horizontal="center" vertical="center" wrapText="1"/>
    </xf>
    <xf numFmtId="0" fontId="3" fillId="0" borderId="2" xfId="23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3" fillId="0" borderId="0" xfId="24" applyAlignment="1">
      <alignment horizontal="left" vertical="top" wrapText="1"/>
    </xf>
    <xf numFmtId="0" fontId="3" fillId="0" borderId="2" xfId="24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" fillId="0" borderId="0" xfId="0" applyFont="1" applyBorder="1"/>
    <xf numFmtId="0" fontId="21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0" fillId="0" borderId="6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43" fontId="20" fillId="0" borderId="1" xfId="0" applyNumberFormat="1" applyFont="1" applyBorder="1" applyAlignment="1">
      <alignment horizontal="left"/>
    </xf>
    <xf numFmtId="43" fontId="20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0" fillId="0" borderId="19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" fillId="0" borderId="11" xfId="0" applyFont="1" applyBorder="1"/>
    <xf numFmtId="0" fontId="20" fillId="0" borderId="15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" fillId="0" borderId="18" xfId="0" applyFont="1" applyBorder="1"/>
    <xf numFmtId="0" fontId="2" fillId="0" borderId="2" xfId="0" applyFont="1" applyBorder="1"/>
    <xf numFmtId="0" fontId="2" fillId="0" borderId="17" xfId="0" applyFont="1" applyBorder="1"/>
    <xf numFmtId="0" fontId="2" fillId="0" borderId="13" xfId="0" applyFont="1" applyBorder="1"/>
    <xf numFmtId="0" fontId="2" fillId="0" borderId="14" xfId="0" applyFont="1" applyBorder="1"/>
  </cellXfs>
  <cellStyles count="29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Финансовый" xfId="27" builtinId="3"/>
    <cellStyle name="Финансовый 2" xfId="28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3"/>
  <sheetViews>
    <sheetView showGridLines="0" tabSelected="1" topLeftCell="A186" zoomScaleNormal="100" workbookViewId="0">
      <selection activeCell="C189" sqref="C189:X223"/>
    </sheetView>
  </sheetViews>
  <sheetFormatPr defaultRowHeight="12.5"/>
  <cols>
    <col min="1" max="1" width="5.7265625" customWidth="1"/>
    <col min="2" max="2" width="16.54296875" customWidth="1"/>
    <col min="3" max="3" width="16.453125" customWidth="1"/>
    <col min="4" max="4" width="14.6328125" customWidth="1"/>
    <col min="5" max="5" width="19.26953125" customWidth="1"/>
    <col min="6" max="6" width="14.90625" customWidth="1"/>
    <col min="7" max="7" width="16.36328125" customWidth="1"/>
    <col min="8" max="8" width="15.453125" customWidth="1"/>
    <col min="9" max="9" width="14.453125" hidden="1" customWidth="1"/>
    <col min="10" max="10" width="17.453125" hidden="1" customWidth="1"/>
    <col min="11" max="11" width="14.453125" hidden="1" customWidth="1"/>
    <col min="12" max="13" width="8.7265625" hidden="1" customWidth="1"/>
    <col min="14" max="14" width="18.26953125" hidden="1" customWidth="1"/>
    <col min="15" max="15" width="18" hidden="1" customWidth="1"/>
    <col min="16" max="16" width="14.54296875" hidden="1" customWidth="1"/>
    <col min="17" max="17" width="14.453125" hidden="1" customWidth="1"/>
    <col min="18" max="18" width="10.81640625" hidden="1" customWidth="1"/>
    <col min="19" max="19" width="13.453125" hidden="1" customWidth="1"/>
    <col min="20" max="20" width="12.7265625" hidden="1" customWidth="1"/>
    <col min="21" max="23" width="0" hidden="1" customWidth="1"/>
    <col min="24" max="24" width="17.6328125" customWidth="1"/>
    <col min="25" max="25" width="14.36328125" customWidth="1"/>
    <col min="26" max="26" width="13.08984375" bestFit="1" customWidth="1"/>
  </cols>
  <sheetData>
    <row r="1" spans="1:10" ht="13" hidden="1">
      <c r="A1" s="1"/>
      <c r="B1" s="2"/>
      <c r="C1" s="3"/>
      <c r="D1" s="4"/>
      <c r="E1" s="4"/>
      <c r="F1" s="4"/>
      <c r="G1" s="4"/>
      <c r="H1" s="5" t="s">
        <v>0</v>
      </c>
    </row>
    <row r="2" spans="1:10" ht="13" hidden="1">
      <c r="A2" s="1"/>
      <c r="B2" s="2" t="s">
        <v>1</v>
      </c>
      <c r="C2" s="112" t="s">
        <v>180</v>
      </c>
      <c r="D2" s="112"/>
      <c r="E2" s="112"/>
      <c r="F2" s="112"/>
      <c r="G2" s="112"/>
      <c r="H2" s="4"/>
    </row>
    <row r="3" spans="1:10" ht="13" hidden="1">
      <c r="A3" s="1"/>
      <c r="B3" s="2"/>
      <c r="C3" s="113" t="s">
        <v>2</v>
      </c>
      <c r="D3" s="113"/>
      <c r="E3" s="113"/>
      <c r="F3" s="113"/>
      <c r="G3" s="113"/>
      <c r="H3" s="4"/>
    </row>
    <row r="4" spans="1:10" ht="13" hidden="1">
      <c r="A4" s="1"/>
      <c r="B4" s="2" t="s">
        <v>184</v>
      </c>
      <c r="C4" s="8"/>
      <c r="D4" s="4"/>
      <c r="E4" s="6"/>
      <c r="F4" s="4"/>
      <c r="G4" s="4"/>
      <c r="H4" s="4"/>
    </row>
    <row r="5" spans="1:10" ht="13" hidden="1">
      <c r="A5" s="1"/>
      <c r="B5" s="2"/>
      <c r="C5" s="3"/>
      <c r="D5" s="4"/>
      <c r="E5" s="6"/>
      <c r="F5" s="4"/>
      <c r="G5" s="4"/>
      <c r="H5" s="4"/>
      <c r="J5" s="76">
        <f>1000*1984753.05</f>
        <v>1984753050</v>
      </c>
    </row>
    <row r="6" spans="1:10" ht="13" hidden="1">
      <c r="A6" s="1"/>
      <c r="B6" s="10" t="s">
        <v>154</v>
      </c>
      <c r="C6" s="3"/>
      <c r="D6" s="27">
        <f>H151</f>
        <v>2015579.06</v>
      </c>
      <c r="E6" s="6" t="s">
        <v>160</v>
      </c>
      <c r="F6" s="4"/>
      <c r="G6" s="4"/>
      <c r="H6" s="4"/>
      <c r="J6" s="76">
        <f>1000*1987546.75</f>
        <v>1987546750</v>
      </c>
    </row>
    <row r="7" spans="1:10" s="46" customFormat="1" hidden="1">
      <c r="A7" s="72"/>
      <c r="B7" s="73" t="s">
        <v>3</v>
      </c>
      <c r="C7" s="74"/>
      <c r="D7" s="75">
        <f>H100*0.15</f>
        <v>101.712</v>
      </c>
      <c r="E7" s="75" t="str">
        <f>E6</f>
        <v>тыс. руб.</v>
      </c>
      <c r="F7" s="75"/>
      <c r="G7" s="75"/>
      <c r="H7" s="75"/>
      <c r="J7" s="64">
        <f>J6-J5</f>
        <v>2793700</v>
      </c>
    </row>
    <row r="8" spans="1:10" ht="13" hidden="1">
      <c r="A8" s="1"/>
      <c r="B8" s="2"/>
      <c r="C8" s="111"/>
      <c r="D8" s="111"/>
      <c r="E8" s="111"/>
      <c r="F8" s="111"/>
      <c r="G8" s="111"/>
      <c r="H8" s="4"/>
    </row>
    <row r="9" spans="1:10" ht="13" hidden="1">
      <c r="A9" s="1"/>
      <c r="B9" s="2"/>
      <c r="C9" s="113" t="s">
        <v>4</v>
      </c>
      <c r="D9" s="113"/>
      <c r="E9" s="113"/>
      <c r="F9" s="113"/>
      <c r="G9" s="113"/>
      <c r="H9" s="4"/>
    </row>
    <row r="10" spans="1:10" ht="13" hidden="1">
      <c r="A10" s="1"/>
      <c r="B10" s="2"/>
      <c r="C10" s="3"/>
      <c r="D10" s="4"/>
      <c r="E10" s="6"/>
      <c r="F10" s="4"/>
      <c r="G10" s="4"/>
      <c r="H10" s="4"/>
    </row>
    <row r="11" spans="1:10" ht="13" hidden="1">
      <c r="A11" s="1"/>
      <c r="B11" s="2"/>
      <c r="C11" s="3"/>
      <c r="D11" s="7"/>
      <c r="E11" s="7"/>
      <c r="F11" s="7"/>
      <c r="G11" s="7"/>
      <c r="H11" s="4"/>
    </row>
    <row r="12" spans="1:10" ht="13" hidden="1">
      <c r="A12" s="1"/>
      <c r="B12" s="2"/>
      <c r="C12" s="3"/>
      <c r="D12" s="7"/>
      <c r="E12" s="7"/>
      <c r="F12" s="7"/>
      <c r="G12" s="4"/>
      <c r="H12" s="4"/>
    </row>
    <row r="13" spans="1:10" ht="13" hidden="1">
      <c r="A13" s="1"/>
      <c r="B13" s="2"/>
      <c r="C13" s="114" t="s">
        <v>5</v>
      </c>
      <c r="D13" s="114"/>
      <c r="E13" s="114"/>
      <c r="F13" s="114"/>
      <c r="G13" s="114"/>
      <c r="H13" s="4"/>
    </row>
    <row r="14" spans="1:10" ht="13" hidden="1">
      <c r="A14" s="1"/>
      <c r="B14" s="2"/>
      <c r="C14" s="3"/>
      <c r="D14" s="9"/>
      <c r="E14" s="7"/>
      <c r="F14" s="4"/>
      <c r="G14" s="4"/>
      <c r="H14" s="4"/>
    </row>
    <row r="15" spans="1:10" ht="45" hidden="1" customHeight="1">
      <c r="A15" s="1"/>
      <c r="B15" s="2"/>
      <c r="C15" s="111" t="s">
        <v>179</v>
      </c>
      <c r="D15" s="111"/>
      <c r="E15" s="111"/>
      <c r="F15" s="111"/>
      <c r="G15" s="111"/>
      <c r="H15" s="4"/>
    </row>
    <row r="16" spans="1:10" ht="13" hidden="1">
      <c r="A16" s="1"/>
      <c r="B16" s="2"/>
      <c r="C16" s="117" t="s">
        <v>6</v>
      </c>
      <c r="D16" s="117"/>
      <c r="E16" s="117"/>
      <c r="F16" s="117"/>
      <c r="G16" s="117"/>
      <c r="H16" s="4"/>
    </row>
    <row r="17" spans="1:17" ht="13" hidden="1">
      <c r="A17" s="1"/>
      <c r="B17" s="2"/>
      <c r="C17" s="3"/>
      <c r="D17" s="7"/>
      <c r="E17" s="7"/>
      <c r="F17" s="7"/>
      <c r="G17" s="7"/>
      <c r="H17" s="4"/>
    </row>
    <row r="18" spans="1:17" ht="13" hidden="1">
      <c r="A18" s="1"/>
      <c r="B18" s="11" t="s">
        <v>183</v>
      </c>
      <c r="C18" s="3"/>
      <c r="D18" s="9"/>
      <c r="E18" s="4"/>
      <c r="F18" s="4"/>
      <c r="G18" s="4"/>
      <c r="H18" s="4"/>
    </row>
    <row r="19" spans="1:17" ht="13" hidden="1">
      <c r="A19" s="1"/>
      <c r="B19" s="2"/>
      <c r="C19" s="3"/>
      <c r="D19" s="9"/>
      <c r="E19" s="4"/>
      <c r="F19" s="4"/>
      <c r="G19" s="4"/>
      <c r="H19" s="4"/>
    </row>
    <row r="20" spans="1:17" ht="13" hidden="1">
      <c r="A20" s="1"/>
      <c r="B20" s="2"/>
      <c r="C20" s="3"/>
      <c r="D20" s="4"/>
      <c r="E20" s="4"/>
      <c r="F20" s="4"/>
      <c r="G20" s="4"/>
      <c r="H20" s="4"/>
    </row>
    <row r="21" spans="1:17" ht="13" hidden="1">
      <c r="A21" s="118" t="s">
        <v>7</v>
      </c>
      <c r="B21" s="119" t="s">
        <v>8</v>
      </c>
      <c r="C21" s="118" t="s">
        <v>9</v>
      </c>
      <c r="D21" s="120" t="s">
        <v>10</v>
      </c>
      <c r="E21" s="120"/>
      <c r="F21" s="120"/>
      <c r="G21" s="120"/>
      <c r="H21" s="118" t="s">
        <v>11</v>
      </c>
    </row>
    <row r="22" spans="1:17" hidden="1">
      <c r="A22" s="118"/>
      <c r="B22" s="119"/>
      <c r="C22" s="118"/>
      <c r="D22" s="118" t="s">
        <v>12</v>
      </c>
      <c r="E22" s="118" t="s">
        <v>13</v>
      </c>
      <c r="F22" s="118" t="s">
        <v>14</v>
      </c>
      <c r="G22" s="118" t="s">
        <v>15</v>
      </c>
      <c r="H22" s="118"/>
    </row>
    <row r="23" spans="1:17" hidden="1">
      <c r="A23" s="118"/>
      <c r="B23" s="119"/>
      <c r="C23" s="118"/>
      <c r="D23" s="118"/>
      <c r="E23" s="118"/>
      <c r="F23" s="118"/>
      <c r="G23" s="118"/>
      <c r="H23" s="118"/>
    </row>
    <row r="24" spans="1:17" hidden="1">
      <c r="A24" s="118"/>
      <c r="B24" s="119"/>
      <c r="C24" s="118"/>
      <c r="D24" s="118"/>
      <c r="E24" s="118"/>
      <c r="F24" s="118"/>
      <c r="G24" s="118"/>
      <c r="H24" s="118"/>
    </row>
    <row r="25" spans="1:17" ht="13" hidden="1">
      <c r="A25" s="12">
        <v>1</v>
      </c>
      <c r="B25" s="12">
        <v>2</v>
      </c>
      <c r="C25" s="12">
        <v>3</v>
      </c>
      <c r="D25" s="12">
        <v>4</v>
      </c>
      <c r="E25" s="12">
        <v>5</v>
      </c>
      <c r="F25" s="12">
        <v>6</v>
      </c>
      <c r="G25" s="12">
        <v>7</v>
      </c>
      <c r="H25" s="12">
        <v>8</v>
      </c>
    </row>
    <row r="26" spans="1:17" ht="19.75" hidden="1" customHeight="1">
      <c r="A26" s="115" t="s">
        <v>19</v>
      </c>
      <c r="B26" s="116"/>
      <c r="C26" s="116"/>
      <c r="D26" s="116"/>
      <c r="E26" s="116"/>
      <c r="F26" s="116"/>
      <c r="G26" s="116"/>
      <c r="H26" s="116"/>
    </row>
    <row r="27" spans="1:17" ht="26" hidden="1">
      <c r="A27" s="13">
        <v>1</v>
      </c>
      <c r="B27" s="14" t="s">
        <v>186</v>
      </c>
      <c r="C27" s="15" t="s">
        <v>20</v>
      </c>
      <c r="D27" s="67">
        <f>3237.12</f>
        <v>3237.12</v>
      </c>
      <c r="E27" s="65">
        <v>0</v>
      </c>
      <c r="F27" s="65">
        <v>0</v>
      </c>
      <c r="G27" s="65">
        <v>0</v>
      </c>
      <c r="H27" s="68">
        <f>D27+E27+F27+G27</f>
        <v>3237.12</v>
      </c>
    </row>
    <row r="28" spans="1:17" ht="26" hidden="1">
      <c r="A28" s="13">
        <v>2</v>
      </c>
      <c r="B28" s="14" t="s">
        <v>185</v>
      </c>
      <c r="C28" s="15" t="s">
        <v>187</v>
      </c>
      <c r="D28" s="54">
        <v>0</v>
      </c>
      <c r="E28" s="54"/>
      <c r="F28" s="54"/>
      <c r="G28" s="54">
        <f>43.7</f>
        <v>43.7</v>
      </c>
      <c r="H28" s="71">
        <f>D28+E28+F28+G28</f>
        <v>43.7</v>
      </c>
    </row>
    <row r="29" spans="1:17" s="35" customFormat="1" ht="52" hidden="1">
      <c r="A29" s="32"/>
      <c r="B29" s="33" t="s">
        <v>21</v>
      </c>
      <c r="C29" s="30" t="s">
        <v>22</v>
      </c>
      <c r="D29" s="29">
        <f>D28+D27</f>
        <v>3237.12</v>
      </c>
      <c r="E29" s="31">
        <f>E28+E27</f>
        <v>0</v>
      </c>
      <c r="F29" s="31">
        <f t="shared" ref="F29:G29" si="0">F28+F27</f>
        <v>0</v>
      </c>
      <c r="G29" s="31">
        <f t="shared" si="0"/>
        <v>43.7</v>
      </c>
      <c r="H29" s="31">
        <f>ROUND(H28+H27,2)</f>
        <v>3280.82</v>
      </c>
      <c r="Q29" s="51">
        <f>D29+E29+F29+G29</f>
        <v>3280.8199999999997</v>
      </c>
    </row>
    <row r="30" spans="1:17" ht="19.75" hidden="1" customHeight="1">
      <c r="A30" s="115" t="s">
        <v>23</v>
      </c>
      <c r="B30" s="116"/>
      <c r="C30" s="116"/>
      <c r="D30" s="116"/>
      <c r="E30" s="116"/>
      <c r="F30" s="116"/>
      <c r="G30" s="116"/>
      <c r="H30" s="116"/>
    </row>
    <row r="31" spans="1:17" ht="18.25" hidden="1" customHeight="1">
      <c r="A31" s="121" t="s">
        <v>165</v>
      </c>
      <c r="B31" s="122"/>
      <c r="C31" s="122"/>
      <c r="D31" s="122"/>
      <c r="E31" s="122"/>
      <c r="F31" s="122"/>
      <c r="G31" s="122"/>
      <c r="H31" s="122"/>
    </row>
    <row r="32" spans="1:17" ht="26" hidden="1">
      <c r="A32" s="13">
        <v>3</v>
      </c>
      <c r="B32" s="14" t="s">
        <v>24</v>
      </c>
      <c r="C32" s="15" t="s">
        <v>25</v>
      </c>
      <c r="D32" s="54">
        <v>6912.5439999999999</v>
      </c>
      <c r="E32" s="54"/>
      <c r="F32" s="54"/>
      <c r="G32" s="54"/>
      <c r="H32" s="54">
        <f>D32+E32+F32+G32</f>
        <v>6912.5439999999999</v>
      </c>
    </row>
    <row r="33" spans="1:24" ht="39" hidden="1">
      <c r="A33" s="13">
        <f>1+A32</f>
        <v>4</v>
      </c>
      <c r="B33" s="14" t="s">
        <v>26</v>
      </c>
      <c r="C33" s="15" t="s">
        <v>27</v>
      </c>
      <c r="D33" s="54">
        <v>1597.223</v>
      </c>
      <c r="E33" s="54"/>
      <c r="F33" s="54"/>
      <c r="G33" s="54"/>
      <c r="H33" s="54">
        <f t="shared" ref="H33:H53" si="1">D33+E33+F33+G33</f>
        <v>1597.223</v>
      </c>
    </row>
    <row r="34" spans="1:24" ht="52" hidden="1">
      <c r="A34" s="13">
        <f t="shared" ref="A34:A52" si="2">1+A33</f>
        <v>5</v>
      </c>
      <c r="B34" s="14" t="s">
        <v>28</v>
      </c>
      <c r="C34" s="15" t="s">
        <v>29</v>
      </c>
      <c r="D34" s="54">
        <v>5886.69</v>
      </c>
      <c r="E34" s="54">
        <v>13.698</v>
      </c>
      <c r="F34" s="54"/>
      <c r="G34" s="54"/>
      <c r="H34" s="54">
        <f t="shared" si="1"/>
        <v>5900.3879999999999</v>
      </c>
    </row>
    <row r="35" spans="1:24" ht="13" hidden="1">
      <c r="A35" s="13">
        <f t="shared" si="2"/>
        <v>6</v>
      </c>
      <c r="B35" s="14" t="s">
        <v>30</v>
      </c>
      <c r="C35" s="15" t="s">
        <v>31</v>
      </c>
      <c r="D35" s="54">
        <v>392.38</v>
      </c>
      <c r="E35" s="54">
        <v>29.56</v>
      </c>
      <c r="F35" s="54">
        <v>549.79999999999995</v>
      </c>
      <c r="G35" s="54"/>
      <c r="H35" s="54">
        <f t="shared" si="1"/>
        <v>971.74</v>
      </c>
    </row>
    <row r="36" spans="1:24" ht="13" hidden="1">
      <c r="A36" s="13">
        <f t="shared" si="2"/>
        <v>7</v>
      </c>
      <c r="B36" s="14" t="s">
        <v>32</v>
      </c>
      <c r="C36" s="15" t="s">
        <v>33</v>
      </c>
      <c r="D36" s="54">
        <v>602.19000000000005</v>
      </c>
      <c r="E36" s="54">
        <v>7.5970000000000004</v>
      </c>
      <c r="F36" s="54">
        <v>41.368000000000002</v>
      </c>
      <c r="G36" s="54"/>
      <c r="H36" s="54">
        <f t="shared" si="1"/>
        <v>651.15500000000009</v>
      </c>
    </row>
    <row r="37" spans="1:24" ht="13" hidden="1">
      <c r="A37" s="13">
        <f t="shared" si="2"/>
        <v>8</v>
      </c>
      <c r="B37" s="14" t="s">
        <v>34</v>
      </c>
      <c r="C37" s="15" t="s">
        <v>35</v>
      </c>
      <c r="D37" s="54">
        <v>378.39</v>
      </c>
      <c r="E37" s="54"/>
      <c r="F37" s="54"/>
      <c r="G37" s="54"/>
      <c r="H37" s="54">
        <f t="shared" si="1"/>
        <v>378.39</v>
      </c>
    </row>
    <row r="38" spans="1:24" ht="39" hidden="1">
      <c r="A38" s="13">
        <f t="shared" si="2"/>
        <v>9</v>
      </c>
      <c r="B38" s="14" t="s">
        <v>36</v>
      </c>
      <c r="C38" s="15" t="s">
        <v>37</v>
      </c>
      <c r="D38" s="54">
        <v>9568.3150000000005</v>
      </c>
      <c r="E38" s="54">
        <v>395.83</v>
      </c>
      <c r="F38" s="54">
        <v>61784.160000000003</v>
      </c>
      <c r="G38" s="54">
        <f>0*14.34</f>
        <v>0</v>
      </c>
      <c r="H38" s="54">
        <f t="shared" si="1"/>
        <v>71748.305000000008</v>
      </c>
      <c r="X38" s="64"/>
    </row>
    <row r="39" spans="1:24" ht="39" hidden="1">
      <c r="A39" s="13">
        <f t="shared" si="2"/>
        <v>10</v>
      </c>
      <c r="B39" s="14" t="s">
        <v>38</v>
      </c>
      <c r="C39" s="15" t="s">
        <v>39</v>
      </c>
      <c r="D39" s="54">
        <v>1040.22</v>
      </c>
      <c r="E39" s="54">
        <v>567.65</v>
      </c>
      <c r="F39" s="54"/>
      <c r="G39" s="54"/>
      <c r="H39" s="54">
        <f t="shared" si="1"/>
        <v>1607.87</v>
      </c>
      <c r="X39" s="64"/>
    </row>
    <row r="40" spans="1:24" ht="52" hidden="1">
      <c r="A40" s="13">
        <f t="shared" si="2"/>
        <v>11</v>
      </c>
      <c r="B40" s="14" t="s">
        <v>40</v>
      </c>
      <c r="C40" s="15" t="s">
        <v>197</v>
      </c>
      <c r="D40" s="54">
        <v>45.29</v>
      </c>
      <c r="E40" s="54">
        <v>460.47</v>
      </c>
      <c r="F40" s="54"/>
      <c r="G40" s="54"/>
      <c r="H40" s="54">
        <f t="shared" si="1"/>
        <v>505.76000000000005</v>
      </c>
      <c r="O40" s="64"/>
      <c r="X40" s="64"/>
    </row>
    <row r="41" spans="1:24" s="55" customFormat="1" ht="26" hidden="1">
      <c r="A41" s="13">
        <f t="shared" si="2"/>
        <v>12</v>
      </c>
      <c r="B41" s="52" t="s">
        <v>41</v>
      </c>
      <c r="C41" s="53" t="s">
        <v>196</v>
      </c>
      <c r="D41" s="54"/>
      <c r="E41" s="54">
        <v>292.52100000000002</v>
      </c>
      <c r="F41" s="54">
        <v>216951.21</v>
      </c>
      <c r="G41" s="54"/>
      <c r="H41" s="54">
        <f t="shared" si="1"/>
        <v>217243.731</v>
      </c>
      <c r="K41" s="56"/>
      <c r="O41" s="56"/>
      <c r="X41" s="56"/>
    </row>
    <row r="42" spans="1:24" ht="13" hidden="1">
      <c r="A42" s="13">
        <f t="shared" si="2"/>
        <v>13</v>
      </c>
      <c r="B42" s="14" t="s">
        <v>42</v>
      </c>
      <c r="C42" s="15" t="s">
        <v>43</v>
      </c>
      <c r="D42" s="54"/>
      <c r="E42" s="54">
        <v>121.55</v>
      </c>
      <c r="F42" s="54"/>
      <c r="G42" s="54"/>
      <c r="H42" s="54">
        <f t="shared" si="1"/>
        <v>121.55</v>
      </c>
      <c r="Q42" s="64"/>
    </row>
    <row r="43" spans="1:24" ht="52" hidden="1">
      <c r="A43" s="13">
        <f t="shared" si="2"/>
        <v>14</v>
      </c>
      <c r="B43" s="14" t="s">
        <v>44</v>
      </c>
      <c r="C43" s="15" t="s">
        <v>45</v>
      </c>
      <c r="D43" s="28"/>
      <c r="E43" s="28">
        <v>72.599999999999994</v>
      </c>
      <c r="F43" s="28"/>
      <c r="G43" s="28"/>
      <c r="H43" s="28">
        <f t="shared" si="1"/>
        <v>72.599999999999994</v>
      </c>
    </row>
    <row r="44" spans="1:24" ht="39" hidden="1">
      <c r="A44" s="13">
        <f t="shared" si="2"/>
        <v>15</v>
      </c>
      <c r="B44" s="14" t="s">
        <v>46</v>
      </c>
      <c r="C44" s="15" t="s">
        <v>47</v>
      </c>
      <c r="D44" s="28"/>
      <c r="E44" s="28">
        <v>739.09</v>
      </c>
      <c r="F44" s="28"/>
      <c r="G44" s="28"/>
      <c r="H44" s="28">
        <f t="shared" si="1"/>
        <v>739.09</v>
      </c>
    </row>
    <row r="45" spans="1:24" ht="13" hidden="1">
      <c r="A45" s="13">
        <f>1+A44</f>
        <v>16</v>
      </c>
      <c r="B45" s="14" t="s">
        <v>48</v>
      </c>
      <c r="C45" s="15" t="s">
        <v>49</v>
      </c>
      <c r="D45" s="28"/>
      <c r="E45" s="28">
        <v>7.22</v>
      </c>
      <c r="F45" s="28"/>
      <c r="G45" s="28"/>
      <c r="H45" s="28">
        <f t="shared" si="1"/>
        <v>7.22</v>
      </c>
    </row>
    <row r="46" spans="1:24" ht="39" hidden="1">
      <c r="A46" s="13">
        <f t="shared" si="2"/>
        <v>17</v>
      </c>
      <c r="B46" s="14" t="s">
        <v>50</v>
      </c>
      <c r="C46" s="15" t="s">
        <v>51</v>
      </c>
      <c r="D46" s="28"/>
      <c r="E46" s="28">
        <v>63.63</v>
      </c>
      <c r="F46" s="28">
        <v>103.39</v>
      </c>
      <c r="G46" s="28"/>
      <c r="H46" s="28">
        <f t="shared" si="1"/>
        <v>167.02</v>
      </c>
    </row>
    <row r="47" spans="1:24" ht="13" hidden="1">
      <c r="A47" s="13">
        <f t="shared" si="2"/>
        <v>18</v>
      </c>
      <c r="B47" s="14" t="s">
        <v>52</v>
      </c>
      <c r="C47" s="15" t="s">
        <v>53</v>
      </c>
      <c r="D47" s="28"/>
      <c r="E47" s="28">
        <v>219.74</v>
      </c>
      <c r="F47" s="28">
        <v>274.52999999999997</v>
      </c>
      <c r="G47" s="28"/>
      <c r="H47" s="28">
        <f t="shared" si="1"/>
        <v>494.27</v>
      </c>
    </row>
    <row r="48" spans="1:24" ht="39" hidden="1">
      <c r="A48" s="13">
        <f t="shared" si="2"/>
        <v>19</v>
      </c>
      <c r="B48" s="14" t="s">
        <v>54</v>
      </c>
      <c r="C48" s="15" t="s">
        <v>55</v>
      </c>
      <c r="D48" s="28"/>
      <c r="E48" s="28">
        <v>137.85</v>
      </c>
      <c r="F48" s="28">
        <v>13.08</v>
      </c>
      <c r="G48" s="28"/>
      <c r="H48" s="28">
        <f t="shared" si="1"/>
        <v>150.93</v>
      </c>
    </row>
    <row r="49" spans="1:17" ht="52" hidden="1">
      <c r="A49" s="13">
        <f t="shared" si="2"/>
        <v>20</v>
      </c>
      <c r="B49" s="14" t="s">
        <v>56</v>
      </c>
      <c r="C49" s="15" t="s">
        <v>57</v>
      </c>
      <c r="D49" s="28"/>
      <c r="E49" s="28">
        <v>266.14</v>
      </c>
      <c r="F49" s="28">
        <v>338.16</v>
      </c>
      <c r="G49" s="28"/>
      <c r="H49" s="28">
        <f t="shared" si="1"/>
        <v>604.29999999999995</v>
      </c>
    </row>
    <row r="50" spans="1:17" ht="26" hidden="1">
      <c r="A50" s="13">
        <f t="shared" si="2"/>
        <v>21</v>
      </c>
      <c r="B50" s="14" t="s">
        <v>58</v>
      </c>
      <c r="C50" s="15" t="s">
        <v>59</v>
      </c>
      <c r="D50" s="28">
        <v>144.97999999999999</v>
      </c>
      <c r="E50" s="28">
        <v>59.98</v>
      </c>
      <c r="F50" s="28">
        <v>67.31</v>
      </c>
      <c r="G50" s="28"/>
      <c r="H50" s="28">
        <f t="shared" si="1"/>
        <v>272.27</v>
      </c>
    </row>
    <row r="51" spans="1:17" ht="39" hidden="1">
      <c r="A51" s="13">
        <f t="shared" si="2"/>
        <v>22</v>
      </c>
      <c r="B51" s="14" t="s">
        <v>60</v>
      </c>
      <c r="C51" s="15" t="s">
        <v>61</v>
      </c>
      <c r="D51" s="28"/>
      <c r="E51" s="28">
        <v>3250.53</v>
      </c>
      <c r="F51" s="28">
        <v>4127.87</v>
      </c>
      <c r="G51" s="28"/>
      <c r="H51" s="28">
        <f t="shared" si="1"/>
        <v>7378.4</v>
      </c>
    </row>
    <row r="52" spans="1:17" ht="39" hidden="1">
      <c r="A52" s="13">
        <f t="shared" si="2"/>
        <v>23</v>
      </c>
      <c r="B52" s="14" t="s">
        <v>62</v>
      </c>
      <c r="C52" s="15" t="s">
        <v>63</v>
      </c>
      <c r="D52" s="54"/>
      <c r="E52" s="54">
        <v>315.64</v>
      </c>
      <c r="F52" s="54">
        <v>1440.44</v>
      </c>
      <c r="G52" s="54"/>
      <c r="H52" s="54">
        <f t="shared" si="1"/>
        <v>1756.08</v>
      </c>
    </row>
    <row r="53" spans="1:17" ht="39" hidden="1">
      <c r="A53" s="13">
        <f>1+A52</f>
        <v>24</v>
      </c>
      <c r="B53" s="14" t="s">
        <v>64</v>
      </c>
      <c r="C53" s="15" t="s">
        <v>65</v>
      </c>
      <c r="D53" s="54"/>
      <c r="E53" s="54">
        <v>169.65</v>
      </c>
      <c r="F53" s="54">
        <v>3354.54</v>
      </c>
      <c r="G53" s="54"/>
      <c r="H53" s="54">
        <f t="shared" si="1"/>
        <v>3524.19</v>
      </c>
    </row>
    <row r="54" spans="1:17" ht="26" hidden="1">
      <c r="A54" s="13"/>
      <c r="B54" s="14"/>
      <c r="C54" s="30" t="s">
        <v>166</v>
      </c>
      <c r="D54" s="29">
        <f>SUM(D32:D53)</f>
        <v>26568.221999999998</v>
      </c>
      <c r="E54" s="29">
        <f>SUM(E32:E53)</f>
        <v>7190.9459999999999</v>
      </c>
      <c r="F54" s="29">
        <f>SUM(F32:F53)</f>
        <v>289045.85800000001</v>
      </c>
      <c r="G54" s="29">
        <f>SUM(G32:G53)</f>
        <v>0</v>
      </c>
      <c r="H54" s="29">
        <f>SUM(H32:H53)</f>
        <v>322805.02600000007</v>
      </c>
      <c r="I54" s="64">
        <f>D54+E54+F54+G54</f>
        <v>322805.02600000001</v>
      </c>
      <c r="K54" s="64">
        <f>D54*7.39</f>
        <v>196339.16057999997</v>
      </c>
      <c r="O54" s="64"/>
      <c r="Q54" s="51">
        <f>D54+E54+F54+G54</f>
        <v>322805.02600000001</v>
      </c>
    </row>
    <row r="55" spans="1:17" ht="16.5" hidden="1" customHeight="1">
      <c r="A55" s="42" t="s">
        <v>163</v>
      </c>
      <c r="B55" s="37"/>
      <c r="C55" s="37"/>
      <c r="D55" s="36"/>
      <c r="E55" s="36"/>
      <c r="F55" s="36"/>
      <c r="G55" s="36"/>
      <c r="H55" s="36"/>
      <c r="K55" s="64">
        <f>E54*7.39</f>
        <v>53141.090939999995</v>
      </c>
    </row>
    <row r="56" spans="1:17" ht="78" hidden="1">
      <c r="A56" s="13">
        <v>25</v>
      </c>
      <c r="B56" s="14" t="s">
        <v>66</v>
      </c>
      <c r="C56" s="15" t="s">
        <v>67</v>
      </c>
      <c r="D56" s="69">
        <v>125.51</v>
      </c>
      <c r="E56" s="69"/>
      <c r="F56" s="69"/>
      <c r="G56" s="69"/>
      <c r="H56" s="54">
        <f>ROUND(D56+E56+F56+G56,2)</f>
        <v>125.51</v>
      </c>
      <c r="K56" s="64">
        <f>F54*3.67</f>
        <v>1060798.29886</v>
      </c>
    </row>
    <row r="57" spans="1:17" ht="65" hidden="1">
      <c r="A57" s="13">
        <f>1+A56</f>
        <v>26</v>
      </c>
      <c r="B57" s="14" t="s">
        <v>68</v>
      </c>
      <c r="C57" s="15" t="s">
        <v>69</v>
      </c>
      <c r="D57" s="69">
        <v>597.67999999999995</v>
      </c>
      <c r="E57" s="69"/>
      <c r="F57" s="69"/>
      <c r="G57" s="69"/>
      <c r="H57" s="54">
        <f t="shared" ref="H57:H65" si="3">ROUND(D57+E57+F57+G57,2)</f>
        <v>597.67999999999995</v>
      </c>
    </row>
    <row r="58" spans="1:17" ht="39" hidden="1">
      <c r="A58" s="13">
        <f t="shared" ref="A58:A66" si="4">1+A57</f>
        <v>27</v>
      </c>
      <c r="B58" s="14" t="s">
        <v>70</v>
      </c>
      <c r="C58" s="15" t="s">
        <v>71</v>
      </c>
      <c r="D58" s="69">
        <v>765.6</v>
      </c>
      <c r="E58" s="69"/>
      <c r="F58" s="69"/>
      <c r="G58" s="69"/>
      <c r="H58" s="54">
        <f t="shared" si="3"/>
        <v>765.6</v>
      </c>
    </row>
    <row r="59" spans="1:17" ht="26" hidden="1">
      <c r="A59" s="13">
        <f t="shared" si="4"/>
        <v>28</v>
      </c>
      <c r="B59" s="14" t="s">
        <v>72</v>
      </c>
      <c r="C59" s="15" t="s">
        <v>73</v>
      </c>
      <c r="D59" s="69">
        <v>45.02</v>
      </c>
      <c r="E59" s="69">
        <v>31.8</v>
      </c>
      <c r="F59" s="69">
        <v>3057.86</v>
      </c>
      <c r="G59" s="69"/>
      <c r="H59" s="54">
        <f t="shared" si="3"/>
        <v>3134.68</v>
      </c>
    </row>
    <row r="60" spans="1:17" ht="26" hidden="1">
      <c r="A60" s="13">
        <f t="shared" si="4"/>
        <v>29</v>
      </c>
      <c r="B60" s="14" t="s">
        <v>74</v>
      </c>
      <c r="C60" s="15" t="s">
        <v>75</v>
      </c>
      <c r="D60" s="69">
        <v>733.87</v>
      </c>
      <c r="E60" s="69">
        <v>329.62</v>
      </c>
      <c r="F60" s="69">
        <v>6973.21</v>
      </c>
      <c r="G60" s="69"/>
      <c r="H60" s="54">
        <f t="shared" si="3"/>
        <v>8036.7</v>
      </c>
    </row>
    <row r="61" spans="1:17" ht="13" hidden="1">
      <c r="A61" s="13">
        <f t="shared" si="4"/>
        <v>30</v>
      </c>
      <c r="B61" s="14" t="s">
        <v>76</v>
      </c>
      <c r="C61" s="15" t="s">
        <v>77</v>
      </c>
      <c r="D61" s="69">
        <v>450.13</v>
      </c>
      <c r="E61" s="69"/>
      <c r="F61" s="69"/>
      <c r="G61" s="69"/>
      <c r="H61" s="54">
        <f t="shared" si="3"/>
        <v>450.13</v>
      </c>
    </row>
    <row r="62" spans="1:17" ht="26" hidden="1">
      <c r="A62" s="13">
        <f t="shared" si="4"/>
        <v>31</v>
      </c>
      <c r="B62" s="14" t="s">
        <v>78</v>
      </c>
      <c r="C62" s="15" t="s">
        <v>152</v>
      </c>
      <c r="D62" s="69">
        <v>46.76</v>
      </c>
      <c r="E62" s="69">
        <v>1.1000000000000001</v>
      </c>
      <c r="F62" s="69"/>
      <c r="G62" s="69"/>
      <c r="H62" s="54">
        <f t="shared" si="3"/>
        <v>47.86</v>
      </c>
    </row>
    <row r="63" spans="1:17" ht="26" hidden="1">
      <c r="A63" s="13">
        <f t="shared" si="4"/>
        <v>32</v>
      </c>
      <c r="B63" s="14" t="s">
        <v>79</v>
      </c>
      <c r="C63" s="15" t="s">
        <v>80</v>
      </c>
      <c r="D63" s="69">
        <v>339.79</v>
      </c>
      <c r="E63" s="69">
        <v>54.41</v>
      </c>
      <c r="F63" s="69">
        <v>138.59</v>
      </c>
      <c r="G63" s="69"/>
      <c r="H63" s="54">
        <f t="shared" si="3"/>
        <v>532.79</v>
      </c>
    </row>
    <row r="64" spans="1:17" ht="13" hidden="1">
      <c r="A64" s="13">
        <f t="shared" si="4"/>
        <v>33</v>
      </c>
      <c r="B64" s="14" t="s">
        <v>81</v>
      </c>
      <c r="C64" s="15" t="s">
        <v>82</v>
      </c>
      <c r="D64" s="69">
        <v>12.26</v>
      </c>
      <c r="E64" s="69">
        <v>99.27</v>
      </c>
      <c r="F64" s="69">
        <v>2211.1</v>
      </c>
      <c r="G64" s="69"/>
      <c r="H64" s="54">
        <f>ROUND(D64+E64+F64+G64,2)+0.01</f>
        <v>2322.6400000000003</v>
      </c>
    </row>
    <row r="65" spans="1:24" ht="13" hidden="1">
      <c r="A65" s="13">
        <f t="shared" si="4"/>
        <v>34</v>
      </c>
      <c r="B65" s="14" t="s">
        <v>83</v>
      </c>
      <c r="C65" s="15" t="s">
        <v>84</v>
      </c>
      <c r="D65" s="69">
        <v>98.13</v>
      </c>
      <c r="E65" s="69">
        <v>61.49</v>
      </c>
      <c r="F65" s="69"/>
      <c r="G65" s="69"/>
      <c r="H65" s="54">
        <f t="shared" si="3"/>
        <v>159.62</v>
      </c>
      <c r="O65" s="64">
        <f>D68*7.39*1000</f>
        <v>0</v>
      </c>
    </row>
    <row r="66" spans="1:24" ht="13" hidden="1">
      <c r="A66" s="13">
        <f t="shared" si="4"/>
        <v>35</v>
      </c>
      <c r="B66" s="14" t="s">
        <v>85</v>
      </c>
      <c r="C66" s="15" t="s">
        <v>86</v>
      </c>
      <c r="D66" s="69">
        <v>159.80000000000001</v>
      </c>
      <c r="E66" s="69">
        <v>39.53</v>
      </c>
      <c r="F66" s="69">
        <v>10.72</v>
      </c>
      <c r="G66" s="69"/>
      <c r="H66" s="54">
        <f>ROUND(D66+E66+F66+G66,2)-0.01</f>
        <v>210.04000000000002</v>
      </c>
      <c r="O66" s="64">
        <f>E68*7.39*1000</f>
        <v>0</v>
      </c>
    </row>
    <row r="67" spans="1:24" ht="13" hidden="1">
      <c r="A67" s="13"/>
      <c r="B67" s="14" t="s">
        <v>202</v>
      </c>
      <c r="C67" s="15" t="s">
        <v>203</v>
      </c>
      <c r="D67" s="69">
        <f>0*3376.76</f>
        <v>0</v>
      </c>
      <c r="E67" s="69">
        <f>0*617.26</f>
        <v>0</v>
      </c>
      <c r="F67" s="69">
        <f>0*12552.07</f>
        <v>0</v>
      </c>
      <c r="G67" s="69"/>
      <c r="H67" s="54">
        <f>ROUND(D67+E67+F67,2)</f>
        <v>0</v>
      </c>
      <c r="O67" s="64">
        <f>F68*3.67*1000</f>
        <v>0</v>
      </c>
      <c r="X67">
        <f>((D67+E67)*7.39)+(F67*3.67)</f>
        <v>0</v>
      </c>
    </row>
    <row r="68" spans="1:24" s="35" customFormat="1" ht="26" hidden="1">
      <c r="A68" s="32"/>
      <c r="B68" s="33"/>
      <c r="C68" s="30" t="s">
        <v>162</v>
      </c>
      <c r="D68" s="70">
        <f>D67</f>
        <v>0</v>
      </c>
      <c r="E68" s="70">
        <f t="shared" ref="E68:H68" si="5">E67</f>
        <v>0</v>
      </c>
      <c r="F68" s="70">
        <f t="shared" si="5"/>
        <v>0</v>
      </c>
      <c r="G68" s="70">
        <f t="shared" si="5"/>
        <v>0</v>
      </c>
      <c r="H68" s="70">
        <f t="shared" si="5"/>
        <v>0</v>
      </c>
      <c r="I68" s="51">
        <f>D68+E68+F68+G68</f>
        <v>0</v>
      </c>
      <c r="O68" s="51">
        <f>O65+O66+O67</f>
        <v>0</v>
      </c>
      <c r="Q68" s="51">
        <f>D68+E68+F68+G68</f>
        <v>0</v>
      </c>
      <c r="X68" s="64">
        <f>((D68+E68)*8.29)+(F68*4.03)</f>
        <v>0</v>
      </c>
    </row>
    <row r="69" spans="1:24" ht="52" hidden="1">
      <c r="A69" s="13"/>
      <c r="B69" s="14" t="s">
        <v>21</v>
      </c>
      <c r="C69" s="30" t="s">
        <v>87</v>
      </c>
      <c r="D69" s="31">
        <f>ROUND(D68+D54,2)</f>
        <v>26568.22</v>
      </c>
      <c r="E69" s="31">
        <f>ROUND(E54+E68,2)</f>
        <v>7190.95</v>
      </c>
      <c r="F69" s="31">
        <f>ROUND(F54+F68,2)</f>
        <v>289045.86</v>
      </c>
      <c r="G69" s="31">
        <f>G54+G68</f>
        <v>0</v>
      </c>
      <c r="H69" s="31">
        <f>ROUND(H54+H68,2)</f>
        <v>322805.03000000003</v>
      </c>
      <c r="I69" s="64">
        <f>D69+E69+F69+G69</f>
        <v>322805.02999999997</v>
      </c>
      <c r="Q69" s="51">
        <f>D69+E69+F69+G69</f>
        <v>322805.02999999997</v>
      </c>
    </row>
    <row r="70" spans="1:24" ht="19.75" hidden="1" customHeight="1">
      <c r="A70" s="115" t="s">
        <v>88</v>
      </c>
      <c r="B70" s="116"/>
      <c r="C70" s="116"/>
      <c r="D70" s="116"/>
      <c r="E70" s="116"/>
      <c r="F70" s="116"/>
      <c r="G70" s="116"/>
      <c r="H70" s="116"/>
    </row>
    <row r="71" spans="1:24" ht="39" hidden="1">
      <c r="A71" s="13">
        <v>36</v>
      </c>
      <c r="B71" s="14" t="s">
        <v>89</v>
      </c>
      <c r="C71" s="15" t="s">
        <v>153</v>
      </c>
      <c r="D71" s="54">
        <f>0*167.63</f>
        <v>0</v>
      </c>
      <c r="E71" s="54">
        <f>0*61.2</f>
        <v>0</v>
      </c>
      <c r="F71" s="54">
        <f>0*8790.3</f>
        <v>0</v>
      </c>
      <c r="G71" s="54">
        <v>0</v>
      </c>
      <c r="H71" s="54">
        <f>(D71+E71+F71+G71)</f>
        <v>0</v>
      </c>
      <c r="X71" s="64">
        <f>((D71+E71)*7.39)+(F71*3.67)</f>
        <v>0</v>
      </c>
    </row>
    <row r="72" spans="1:24" s="35" customFormat="1" ht="65" hidden="1">
      <c r="A72" s="32"/>
      <c r="B72" s="33" t="s">
        <v>21</v>
      </c>
      <c r="C72" s="30" t="s">
        <v>90</v>
      </c>
      <c r="D72" s="29">
        <f>D71</f>
        <v>0</v>
      </c>
      <c r="E72" s="29">
        <f t="shared" ref="E72:F72" si="6">E71</f>
        <v>0</v>
      </c>
      <c r="F72" s="29">
        <f t="shared" si="6"/>
        <v>0</v>
      </c>
      <c r="G72" s="29">
        <f>G71</f>
        <v>0</v>
      </c>
      <c r="H72" s="29">
        <f>H71</f>
        <v>0</v>
      </c>
      <c r="Q72" s="51">
        <f>D72+E72+F72+G72</f>
        <v>0</v>
      </c>
      <c r="X72" s="64">
        <f>((D72+E72)*8.29)+(F72*4.03)</f>
        <v>0</v>
      </c>
    </row>
    <row r="73" spans="1:24" ht="19.75" hidden="1" customHeight="1">
      <c r="A73" s="115" t="s">
        <v>91</v>
      </c>
      <c r="B73" s="116"/>
      <c r="C73" s="116"/>
      <c r="D73" s="116"/>
      <c r="E73" s="116"/>
      <c r="F73" s="116"/>
      <c r="G73" s="116"/>
      <c r="H73" s="116"/>
    </row>
    <row r="74" spans="1:24" ht="26" hidden="1">
      <c r="A74" s="13">
        <v>37</v>
      </c>
      <c r="B74" s="14" t="s">
        <v>92</v>
      </c>
      <c r="C74" s="15" t="s">
        <v>93</v>
      </c>
      <c r="D74" s="28">
        <f>0*22.72</f>
        <v>0</v>
      </c>
      <c r="E74" s="28">
        <f>0*2.2</f>
        <v>0</v>
      </c>
      <c r="F74" s="28">
        <f>0*1722.86</f>
        <v>0</v>
      </c>
      <c r="G74" s="28">
        <v>0</v>
      </c>
      <c r="H74" s="28">
        <f>(D74+E74+F74+G74)</f>
        <v>0</v>
      </c>
    </row>
    <row r="75" spans="1:24" ht="52" hidden="1">
      <c r="A75" s="13">
        <f>1+A74</f>
        <v>38</v>
      </c>
      <c r="B75" s="14" t="s">
        <v>188</v>
      </c>
      <c r="C75" s="15" t="s">
        <v>189</v>
      </c>
      <c r="D75" s="28">
        <f>0*62.24</f>
        <v>0</v>
      </c>
      <c r="E75" s="28">
        <f>0*2079.32</f>
        <v>0</v>
      </c>
      <c r="F75" s="28">
        <v>0</v>
      </c>
      <c r="G75" s="28">
        <v>0</v>
      </c>
      <c r="H75" s="28">
        <f>(D75+E75+F75+G75)</f>
        <v>0</v>
      </c>
    </row>
    <row r="76" spans="1:24" s="35" customFormat="1" ht="52" hidden="1">
      <c r="A76" s="32"/>
      <c r="B76" s="33" t="s">
        <v>21</v>
      </c>
      <c r="C76" s="30" t="s">
        <v>94</v>
      </c>
      <c r="D76" s="29">
        <f>ROUND(D74+D75,2)</f>
        <v>0</v>
      </c>
      <c r="E76" s="29">
        <f>ROUND(E74+E75,2)</f>
        <v>0</v>
      </c>
      <c r="F76" s="29">
        <f>ROUND(F74+F75,2)</f>
        <v>0</v>
      </c>
      <c r="G76" s="29">
        <f>G74</f>
        <v>0</v>
      </c>
      <c r="H76" s="29">
        <f>ROUND(H74+H75,2)</f>
        <v>0</v>
      </c>
      <c r="I76" s="51">
        <f>D76+E76+F76+G76</f>
        <v>0</v>
      </c>
      <c r="Q76" s="51">
        <f>D76+E76+F76+G76</f>
        <v>0</v>
      </c>
    </row>
    <row r="77" spans="1:24" ht="19.75" hidden="1" customHeight="1">
      <c r="A77" s="115" t="s">
        <v>95</v>
      </c>
      <c r="B77" s="116"/>
      <c r="C77" s="116"/>
      <c r="D77" s="116"/>
      <c r="E77" s="116"/>
      <c r="F77" s="116"/>
      <c r="G77" s="116"/>
      <c r="H77" s="116"/>
    </row>
    <row r="78" spans="1:24" ht="52" hidden="1">
      <c r="A78" s="13">
        <v>39</v>
      </c>
      <c r="B78" s="14" t="s">
        <v>96</v>
      </c>
      <c r="C78" s="15" t="s">
        <v>97</v>
      </c>
      <c r="D78" s="28">
        <v>8.8000000000000007</v>
      </c>
      <c r="E78" s="28">
        <v>11.46</v>
      </c>
      <c r="F78" s="28">
        <v>0</v>
      </c>
      <c r="G78" s="28">
        <v>0</v>
      </c>
      <c r="H78" s="28">
        <f>D78+E78+F78+G78</f>
        <v>20.260000000000002</v>
      </c>
    </row>
    <row r="79" spans="1:24" ht="26" hidden="1">
      <c r="A79" s="13">
        <f>1+A78</f>
        <v>40</v>
      </c>
      <c r="B79" s="14" t="s">
        <v>98</v>
      </c>
      <c r="C79" s="15" t="s">
        <v>99</v>
      </c>
      <c r="D79" s="28">
        <v>21.26</v>
      </c>
      <c r="E79" s="28">
        <v>26.03</v>
      </c>
      <c r="F79" s="28">
        <v>0</v>
      </c>
      <c r="G79" s="28">
        <v>0</v>
      </c>
      <c r="H79" s="28">
        <f>D79+E79+F79+G79</f>
        <v>47.290000000000006</v>
      </c>
    </row>
    <row r="80" spans="1:24" s="35" customFormat="1" ht="65" hidden="1">
      <c r="A80" s="32"/>
      <c r="B80" s="33" t="s">
        <v>21</v>
      </c>
      <c r="C80" s="30" t="s">
        <v>100</v>
      </c>
      <c r="D80" s="29">
        <f>ROUND(D78+D79,2)</f>
        <v>30.06</v>
      </c>
      <c r="E80" s="29">
        <f>ROUND(E78+E79,2)</f>
        <v>37.49</v>
      </c>
      <c r="F80" s="29">
        <f t="shared" ref="F80:G80" si="7">F78+F79</f>
        <v>0</v>
      </c>
      <c r="G80" s="29">
        <f t="shared" si="7"/>
        <v>0</v>
      </c>
      <c r="H80" s="29">
        <f>ROUND(H78+H79,2)</f>
        <v>67.55</v>
      </c>
      <c r="Q80" s="51">
        <f>D80+E80+F80+G80</f>
        <v>67.55</v>
      </c>
    </row>
    <row r="81" spans="1:17" ht="19.75" hidden="1" customHeight="1">
      <c r="A81" s="115" t="s">
        <v>101</v>
      </c>
      <c r="B81" s="116"/>
      <c r="C81" s="116"/>
      <c r="D81" s="116"/>
      <c r="E81" s="116"/>
      <c r="F81" s="116"/>
      <c r="G81" s="116"/>
      <c r="H81" s="116"/>
    </row>
    <row r="82" spans="1:17" ht="52" hidden="1">
      <c r="A82" s="13">
        <v>41</v>
      </c>
      <c r="B82" s="14" t="s">
        <v>102</v>
      </c>
      <c r="C82" s="15" t="s">
        <v>103</v>
      </c>
      <c r="D82" s="28">
        <v>24.96</v>
      </c>
      <c r="E82" s="28"/>
      <c r="F82" s="28"/>
      <c r="G82" s="28"/>
      <c r="H82" s="28">
        <f>ROUND(D82+E82+F82+G82,2)</f>
        <v>24.96</v>
      </c>
    </row>
    <row r="83" spans="1:17" ht="52" hidden="1">
      <c r="A83" s="13">
        <f>1+A82</f>
        <v>42</v>
      </c>
      <c r="B83" s="14" t="s">
        <v>104</v>
      </c>
      <c r="C83" s="15" t="s">
        <v>105</v>
      </c>
      <c r="D83" s="28">
        <v>455.11</v>
      </c>
      <c r="E83" s="28">
        <v>4.4400000000000004</v>
      </c>
      <c r="F83" s="28">
        <v>197.49</v>
      </c>
      <c r="G83" s="28"/>
      <c r="H83" s="28">
        <f t="shared" ref="H83:H88" si="8">ROUND(D83+E83+F83+G83,2)</f>
        <v>657.04</v>
      </c>
    </row>
    <row r="84" spans="1:17" ht="39" hidden="1">
      <c r="A84" s="13">
        <f t="shared" ref="A84:A88" si="9">1+A83</f>
        <v>43</v>
      </c>
      <c r="B84" s="14" t="s">
        <v>106</v>
      </c>
      <c r="C84" s="15" t="s">
        <v>107</v>
      </c>
      <c r="D84" s="28">
        <v>69.34</v>
      </c>
      <c r="E84" s="28"/>
      <c r="F84" s="28"/>
      <c r="G84" s="28"/>
      <c r="H84" s="28">
        <f t="shared" si="8"/>
        <v>69.34</v>
      </c>
    </row>
    <row r="85" spans="1:17" ht="39" hidden="1">
      <c r="A85" s="13">
        <f t="shared" si="9"/>
        <v>44</v>
      </c>
      <c r="B85" s="14" t="s">
        <v>108</v>
      </c>
      <c r="C85" s="15" t="s">
        <v>109</v>
      </c>
      <c r="D85" s="28">
        <v>26.77</v>
      </c>
      <c r="E85" s="28"/>
      <c r="F85" s="28"/>
      <c r="G85" s="28"/>
      <c r="H85" s="28">
        <f t="shared" si="8"/>
        <v>26.77</v>
      </c>
    </row>
    <row r="86" spans="1:17" ht="13" hidden="1">
      <c r="A86" s="13">
        <f t="shared" si="9"/>
        <v>45</v>
      </c>
      <c r="B86" s="14" t="s">
        <v>110</v>
      </c>
      <c r="C86" s="15" t="s">
        <v>111</v>
      </c>
      <c r="D86" s="54">
        <v>583.77</v>
      </c>
      <c r="E86" s="54"/>
      <c r="F86" s="54"/>
      <c r="G86" s="54"/>
      <c r="H86" s="28">
        <f t="shared" si="8"/>
        <v>583.77</v>
      </c>
    </row>
    <row r="87" spans="1:17" ht="39" hidden="1">
      <c r="A87" s="13">
        <f t="shared" si="9"/>
        <v>46</v>
      </c>
      <c r="B87" s="14" t="s">
        <v>177</v>
      </c>
      <c r="C87" s="15" t="s">
        <v>178</v>
      </c>
      <c r="D87" s="28">
        <v>52.37</v>
      </c>
      <c r="E87" s="28"/>
      <c r="F87" s="28"/>
      <c r="G87" s="28"/>
      <c r="H87" s="28">
        <f t="shared" si="8"/>
        <v>52.37</v>
      </c>
    </row>
    <row r="88" spans="1:17" ht="39" hidden="1">
      <c r="A88" s="13">
        <f t="shared" si="9"/>
        <v>47</v>
      </c>
      <c r="B88" s="14" t="s">
        <v>192</v>
      </c>
      <c r="C88" s="15" t="s">
        <v>190</v>
      </c>
      <c r="D88" s="28">
        <v>380.72</v>
      </c>
      <c r="E88" s="28">
        <v>9.4700000000000006</v>
      </c>
      <c r="F88" s="28"/>
      <c r="G88" s="28"/>
      <c r="H88" s="28">
        <f t="shared" si="8"/>
        <v>390.19</v>
      </c>
    </row>
    <row r="89" spans="1:17" s="35" customFormat="1" ht="91" hidden="1">
      <c r="A89" s="32"/>
      <c r="B89" s="33" t="s">
        <v>21</v>
      </c>
      <c r="C89" s="30" t="s">
        <v>112</v>
      </c>
      <c r="D89" s="29">
        <f>SUM(D82:D88)*0</f>
        <v>0</v>
      </c>
      <c r="E89" s="29">
        <f>SUM(E82:E88)*0</f>
        <v>0</v>
      </c>
      <c r="F89" s="29">
        <f>SUM(F82:F88)*0</f>
        <v>0</v>
      </c>
      <c r="G89" s="29">
        <f t="shared" ref="G89" si="10">SUM(G82:G88)</f>
        <v>0</v>
      </c>
      <c r="H89" s="29">
        <f>SUM(H82:H88)*0</f>
        <v>0</v>
      </c>
      <c r="I89" s="51">
        <f>D89+E89+F89+G89</f>
        <v>0</v>
      </c>
      <c r="Q89" s="51">
        <f>D89+E89+F89+G89</f>
        <v>0</v>
      </c>
    </row>
    <row r="90" spans="1:17" ht="19.75" hidden="1" customHeight="1">
      <c r="A90" s="115" t="s">
        <v>113</v>
      </c>
      <c r="B90" s="116"/>
      <c r="C90" s="116"/>
      <c r="D90" s="116"/>
      <c r="E90" s="116"/>
      <c r="F90" s="116"/>
      <c r="G90" s="116"/>
      <c r="H90" s="116"/>
    </row>
    <row r="91" spans="1:17" ht="65" hidden="1">
      <c r="A91" s="13">
        <v>48</v>
      </c>
      <c r="B91" s="14" t="s">
        <v>114</v>
      </c>
      <c r="C91" s="15" t="s">
        <v>212</v>
      </c>
      <c r="D91" s="16">
        <v>16.317</v>
      </c>
      <c r="E91" s="28">
        <v>0</v>
      </c>
      <c r="F91" s="28">
        <v>0</v>
      </c>
      <c r="G91" s="28">
        <v>0</v>
      </c>
      <c r="H91" s="28">
        <f t="shared" ref="H91:H96" si="11">D91+E91+F91+G91</f>
        <v>16.317</v>
      </c>
    </row>
    <row r="92" spans="1:17" ht="39" hidden="1">
      <c r="A92" s="13">
        <f>1+A91</f>
        <v>49</v>
      </c>
      <c r="B92" s="14" t="s">
        <v>115</v>
      </c>
      <c r="C92" s="15" t="s">
        <v>198</v>
      </c>
      <c r="D92" s="16">
        <f>68.51*0</f>
        <v>0</v>
      </c>
      <c r="E92" s="28">
        <v>0</v>
      </c>
      <c r="F92" s="28">
        <v>0</v>
      </c>
      <c r="G92" s="28">
        <v>0</v>
      </c>
      <c r="H92" s="28">
        <f t="shared" si="11"/>
        <v>0</v>
      </c>
    </row>
    <row r="93" spans="1:17" ht="39" hidden="1">
      <c r="A93" s="13">
        <v>49</v>
      </c>
      <c r="B93" s="14" t="s">
        <v>116</v>
      </c>
      <c r="C93" s="15" t="s">
        <v>117</v>
      </c>
      <c r="D93" s="16">
        <v>22.56</v>
      </c>
      <c r="E93" s="28">
        <v>0</v>
      </c>
      <c r="F93" s="28">
        <v>0</v>
      </c>
      <c r="G93" s="28">
        <v>0</v>
      </c>
      <c r="H93" s="28">
        <f t="shared" si="11"/>
        <v>22.56</v>
      </c>
    </row>
    <row r="94" spans="1:17" ht="52" hidden="1">
      <c r="A94" s="13">
        <f t="shared" ref="A94:A96" si="12">1+A93</f>
        <v>50</v>
      </c>
      <c r="B94" s="14" t="s">
        <v>118</v>
      </c>
      <c r="C94" s="15" t="s">
        <v>119</v>
      </c>
      <c r="D94" s="16">
        <v>497.5</v>
      </c>
      <c r="E94" s="28">
        <v>0</v>
      </c>
      <c r="F94" s="28">
        <v>0</v>
      </c>
      <c r="G94" s="28">
        <v>0</v>
      </c>
      <c r="H94" s="28">
        <f t="shared" si="11"/>
        <v>497.5</v>
      </c>
    </row>
    <row r="95" spans="1:17" ht="39" hidden="1">
      <c r="A95" s="13">
        <f t="shared" si="12"/>
        <v>51</v>
      </c>
      <c r="B95" s="14" t="s">
        <v>120</v>
      </c>
      <c r="C95" s="15" t="s">
        <v>121</v>
      </c>
      <c r="D95" s="16">
        <v>63.64</v>
      </c>
      <c r="E95" s="28">
        <v>0</v>
      </c>
      <c r="F95" s="28">
        <v>0</v>
      </c>
      <c r="G95" s="28">
        <v>0</v>
      </c>
      <c r="H95" s="28">
        <f t="shared" si="11"/>
        <v>63.64</v>
      </c>
    </row>
    <row r="96" spans="1:17" ht="26" hidden="1">
      <c r="A96" s="13">
        <f t="shared" si="12"/>
        <v>52</v>
      </c>
      <c r="B96" s="14" t="s">
        <v>122</v>
      </c>
      <c r="C96" s="15" t="s">
        <v>123</v>
      </c>
      <c r="D96" s="16">
        <v>7.53</v>
      </c>
      <c r="E96" s="28">
        <v>0</v>
      </c>
      <c r="F96" s="28">
        <v>0</v>
      </c>
      <c r="G96" s="28">
        <v>0</v>
      </c>
      <c r="H96" s="28">
        <f t="shared" si="11"/>
        <v>7.53</v>
      </c>
    </row>
    <row r="97" spans="1:17" s="35" customFormat="1" ht="52" hidden="1">
      <c r="A97" s="32"/>
      <c r="B97" s="33" t="s">
        <v>21</v>
      </c>
      <c r="C97" s="30" t="s">
        <v>124</v>
      </c>
      <c r="D97" s="34">
        <f>SUM(D91:D96)</f>
        <v>607.54699999999991</v>
      </c>
      <c r="E97" s="29">
        <f t="shared" ref="E97:G97" si="13">SUM(E91:E96)</f>
        <v>0</v>
      </c>
      <c r="F97" s="29">
        <f>SUM(F91:F96)</f>
        <v>0</v>
      </c>
      <c r="G97" s="29">
        <f t="shared" si="13"/>
        <v>0</v>
      </c>
      <c r="H97" s="31">
        <f>SUM(H91:H96)</f>
        <v>607.54699999999991</v>
      </c>
    </row>
    <row r="98" spans="1:17" s="35" customFormat="1" ht="26" hidden="1">
      <c r="A98" s="32"/>
      <c r="B98" s="33" t="s">
        <v>21</v>
      </c>
      <c r="C98" s="30" t="s">
        <v>125</v>
      </c>
      <c r="D98" s="31">
        <f>ROUND(D29+D69+D72+D76+D80+D89+D97,2)</f>
        <v>30442.95</v>
      </c>
      <c r="E98" s="31">
        <f>ROUND(E29+E69+E72+E76+E80+E89+E97,2)</f>
        <v>7228.44</v>
      </c>
      <c r="F98" s="31">
        <f>ROUND(F29+F69+F72+F76+F80+F89+F97,2)</f>
        <v>289045.86</v>
      </c>
      <c r="G98" s="31">
        <f>ROUND(G29+G69+G72+G76+G80+G89+G97,2)</f>
        <v>43.7</v>
      </c>
      <c r="H98" s="31">
        <f>ROUND(H29+H69+H72+H76+H80+H89+H97,2)</f>
        <v>326760.95</v>
      </c>
      <c r="I98" s="51">
        <f>D98+E98+F98+G98</f>
        <v>326760.95</v>
      </c>
      <c r="Q98" s="51">
        <f>D98+E98+F98+G98</f>
        <v>326760.95</v>
      </c>
    </row>
    <row r="99" spans="1:17" ht="19.75" hidden="1" customHeight="1">
      <c r="A99" s="115" t="s">
        <v>126</v>
      </c>
      <c r="B99" s="116"/>
      <c r="C99" s="116"/>
      <c r="D99" s="116"/>
      <c r="E99" s="116"/>
      <c r="F99" s="116"/>
      <c r="G99" s="116"/>
      <c r="H99" s="116"/>
    </row>
    <row r="100" spans="1:17" ht="39" hidden="1">
      <c r="A100" s="13">
        <v>53</v>
      </c>
      <c r="B100" s="14" t="s">
        <v>233</v>
      </c>
      <c r="C100" s="15" t="s">
        <v>127</v>
      </c>
      <c r="D100" s="16">
        <f>ROUND(D98*0.018,2)</f>
        <v>547.97</v>
      </c>
      <c r="E100" s="16">
        <f>ROUND(E98*0.018,2)</f>
        <v>130.11000000000001</v>
      </c>
      <c r="F100" s="16"/>
      <c r="G100" s="16"/>
      <c r="H100" s="16">
        <f>D100+E100</f>
        <v>678.08</v>
      </c>
    </row>
    <row r="101" spans="1:17" ht="26" hidden="1">
      <c r="A101" s="13"/>
      <c r="B101" s="14"/>
      <c r="C101" s="15" t="s">
        <v>214</v>
      </c>
      <c r="D101" s="16"/>
      <c r="E101" s="16"/>
      <c r="F101" s="16"/>
      <c r="G101" s="16"/>
      <c r="H101" s="16">
        <f>H100*15%</f>
        <v>101.712</v>
      </c>
    </row>
    <row r="102" spans="1:17" s="35" customFormat="1" ht="52" hidden="1">
      <c r="A102" s="32"/>
      <c r="B102" s="33" t="s">
        <v>21</v>
      </c>
      <c r="C102" s="30" t="s">
        <v>128</v>
      </c>
      <c r="D102" s="34">
        <f>D100</f>
        <v>547.97</v>
      </c>
      <c r="E102" s="34">
        <f>E100</f>
        <v>130.11000000000001</v>
      </c>
      <c r="F102" s="34"/>
      <c r="G102" s="34"/>
      <c r="H102" s="34">
        <f>H100</f>
        <v>678.08</v>
      </c>
      <c r="Q102" s="51">
        <f>D102+E102+F102+G102</f>
        <v>678.08</v>
      </c>
    </row>
    <row r="103" spans="1:17" s="35" customFormat="1" ht="26" hidden="1">
      <c r="A103" s="32"/>
      <c r="B103" s="33" t="s">
        <v>21</v>
      </c>
      <c r="C103" s="30" t="s">
        <v>129</v>
      </c>
      <c r="D103" s="31">
        <f>ROUND(D98+D102,2)</f>
        <v>30990.92</v>
      </c>
      <c r="E103" s="31">
        <f>ROUND(E98+E102,2)</f>
        <v>7358.55</v>
      </c>
      <c r="F103" s="31">
        <f>ROUND(F98+F102,2)</f>
        <v>289045.86</v>
      </c>
      <c r="G103" s="31">
        <f>ROUND(G98+G102,2)</f>
        <v>43.7</v>
      </c>
      <c r="H103" s="31">
        <f>ROUND(H98+H102,2)</f>
        <v>327439.03000000003</v>
      </c>
      <c r="I103" s="51">
        <f>D103+E103+F103+G103</f>
        <v>327439.02999999997</v>
      </c>
      <c r="Q103" s="51">
        <f>D103+E103+F103+G103</f>
        <v>327439.02999999997</v>
      </c>
    </row>
    <row r="104" spans="1:17" ht="19.75" hidden="1" customHeight="1">
      <c r="A104" s="115" t="s">
        <v>130</v>
      </c>
      <c r="B104" s="116"/>
      <c r="C104" s="116"/>
      <c r="D104" s="116"/>
      <c r="E104" s="116"/>
      <c r="F104" s="116"/>
      <c r="G104" s="116"/>
      <c r="H104" s="116"/>
    </row>
    <row r="105" spans="1:17" ht="39" hidden="1">
      <c r="A105" s="13">
        <v>54</v>
      </c>
      <c r="B105" s="14" t="s">
        <v>131</v>
      </c>
      <c r="C105" s="15" t="s">
        <v>193</v>
      </c>
      <c r="D105" s="16">
        <f>ROUND(D103*0.015,2)</f>
        <v>464.86</v>
      </c>
      <c r="E105" s="16">
        <f>ROUND(E103*0.015,2)</f>
        <v>110.38</v>
      </c>
      <c r="F105" s="16"/>
      <c r="G105" s="16"/>
      <c r="H105" s="16">
        <f>D105+E105+F105+G105</f>
        <v>575.24</v>
      </c>
    </row>
    <row r="106" spans="1:17" ht="39" hidden="1">
      <c r="A106" s="13">
        <v>55</v>
      </c>
      <c r="B106" s="14" t="s">
        <v>132</v>
      </c>
      <c r="C106" s="15" t="s">
        <v>133</v>
      </c>
      <c r="D106" s="16"/>
      <c r="E106" s="16"/>
      <c r="F106" s="16"/>
      <c r="G106" s="38">
        <f>ROUND((D103+E103)*1.61/100,2)*0</f>
        <v>0</v>
      </c>
      <c r="H106" s="16">
        <f t="shared" ref="H106" si="14">D106+E106+F106+G106</f>
        <v>0</v>
      </c>
    </row>
    <row r="107" spans="1:17" ht="26" hidden="1">
      <c r="A107" s="13">
        <v>56</v>
      </c>
      <c r="B107" s="14" t="s">
        <v>208</v>
      </c>
      <c r="C107" s="15" t="s">
        <v>209</v>
      </c>
      <c r="D107" s="16"/>
      <c r="E107" s="16"/>
      <c r="F107" s="16"/>
      <c r="G107" s="38">
        <f>G108+G109+G110+G111</f>
        <v>870.74</v>
      </c>
      <c r="H107" s="16"/>
    </row>
    <row r="108" spans="1:17" ht="26" hidden="1">
      <c r="A108" s="13">
        <v>57</v>
      </c>
      <c r="B108" s="14"/>
      <c r="C108" s="15" t="s">
        <v>209</v>
      </c>
      <c r="D108" s="16"/>
      <c r="E108" s="16"/>
      <c r="F108" s="16"/>
      <c r="G108" s="16">
        <f>ROUND((E54-E52-E53)*0.02,2)</f>
        <v>134.11000000000001</v>
      </c>
      <c r="H108" s="16">
        <f t="shared" ref="H108:H114" si="15">D108+E108+F108+G108</f>
        <v>134.11000000000001</v>
      </c>
    </row>
    <row r="109" spans="1:17" ht="26" hidden="1">
      <c r="A109" s="13">
        <v>58</v>
      </c>
      <c r="B109" s="14" t="s">
        <v>208</v>
      </c>
      <c r="C109" s="15" t="s">
        <v>134</v>
      </c>
      <c r="D109" s="16"/>
      <c r="E109" s="16"/>
      <c r="F109" s="16"/>
      <c r="G109" s="16">
        <v>294.23</v>
      </c>
      <c r="H109" s="16">
        <f t="shared" si="15"/>
        <v>294.23</v>
      </c>
    </row>
    <row r="110" spans="1:17" ht="26" hidden="1">
      <c r="A110" s="13">
        <v>59</v>
      </c>
      <c r="B110" s="14" t="s">
        <v>208</v>
      </c>
      <c r="C110" s="15" t="s">
        <v>135</v>
      </c>
      <c r="D110" s="16"/>
      <c r="E110" s="16"/>
      <c r="F110" s="16"/>
      <c r="G110" s="16">
        <v>200.94</v>
      </c>
      <c r="H110" s="16">
        <f t="shared" si="15"/>
        <v>200.94</v>
      </c>
    </row>
    <row r="111" spans="1:17" ht="26" hidden="1">
      <c r="A111" s="13">
        <v>60</v>
      </c>
      <c r="B111" s="14" t="s">
        <v>208</v>
      </c>
      <c r="C111" s="15" t="s">
        <v>191</v>
      </c>
      <c r="D111" s="16"/>
      <c r="E111" s="16"/>
      <c r="F111" s="16"/>
      <c r="G111" s="16">
        <v>241.46</v>
      </c>
      <c r="H111" s="16">
        <f t="shared" si="15"/>
        <v>241.46</v>
      </c>
    </row>
    <row r="112" spans="1:17" ht="104" hidden="1">
      <c r="A112" s="13">
        <v>61</v>
      </c>
      <c r="B112" s="14" t="s">
        <v>207</v>
      </c>
      <c r="C112" s="15" t="s">
        <v>164</v>
      </c>
      <c r="D112" s="16"/>
      <c r="E112" s="16"/>
      <c r="F112" s="16"/>
      <c r="G112" s="16">
        <f>ROUND(1632.37088/1.18/10.64,2)</f>
        <v>130.02000000000001</v>
      </c>
      <c r="H112" s="16">
        <f t="shared" si="15"/>
        <v>130.02000000000001</v>
      </c>
    </row>
    <row r="113" spans="1:18" ht="52" hidden="1">
      <c r="A113" s="13"/>
      <c r="B113" s="14" t="s">
        <v>199</v>
      </c>
      <c r="C113" s="15" t="s">
        <v>200</v>
      </c>
      <c r="D113" s="16"/>
      <c r="E113" s="16"/>
      <c r="F113" s="16"/>
      <c r="G113" s="28">
        <f>1113624/1000/9.63/1.18*0</f>
        <v>0</v>
      </c>
      <c r="H113" s="28">
        <f t="shared" si="15"/>
        <v>0</v>
      </c>
    </row>
    <row r="114" spans="1:18" ht="13" hidden="1">
      <c r="A114" s="13">
        <v>62</v>
      </c>
      <c r="B114" s="14" t="s">
        <v>206</v>
      </c>
      <c r="C114" s="15" t="s">
        <v>205</v>
      </c>
      <c r="D114" s="16"/>
      <c r="E114" s="16"/>
      <c r="F114" s="16"/>
      <c r="G114" s="28">
        <f>1950.3/9.63</f>
        <v>202.52336448598129</v>
      </c>
      <c r="H114" s="28">
        <f t="shared" si="15"/>
        <v>202.52336448598129</v>
      </c>
    </row>
    <row r="115" spans="1:18" ht="26" hidden="1">
      <c r="A115" s="13"/>
      <c r="B115" s="14" t="s">
        <v>185</v>
      </c>
      <c r="C115" s="15" t="s">
        <v>187</v>
      </c>
      <c r="D115" s="54">
        <f>43701.49/1000*0</f>
        <v>0</v>
      </c>
      <c r="E115" s="54"/>
      <c r="F115" s="54"/>
      <c r="G115" s="54"/>
      <c r="H115" s="71">
        <f>D115+E115+F115+G115</f>
        <v>0</v>
      </c>
    </row>
    <row r="116" spans="1:18" ht="39" hidden="1">
      <c r="A116" s="13"/>
      <c r="B116" s="14"/>
      <c r="C116" s="15" t="s">
        <v>136</v>
      </c>
      <c r="D116" s="28">
        <f>SUM(D105:D115)</f>
        <v>464.86</v>
      </c>
      <c r="E116" s="28">
        <f>SUM(E105:E115)</f>
        <v>110.38</v>
      </c>
      <c r="F116" s="28">
        <f>SUM(F105:F115)</f>
        <v>0</v>
      </c>
      <c r="G116" s="28">
        <f>ROUND(G107+G112+G114+G115,2)</f>
        <v>1203.28</v>
      </c>
      <c r="H116" s="28">
        <f>SUM(H105:H115)</f>
        <v>1778.5233644859813</v>
      </c>
      <c r="I116" s="64">
        <f>D116+E116+F116+G116</f>
        <v>1778.52</v>
      </c>
      <c r="Q116" s="51">
        <f>D116+E116+F116+G116</f>
        <v>1778.52</v>
      </c>
    </row>
    <row r="117" spans="1:18" s="41" customFormat="1" ht="26" hidden="1">
      <c r="A117" s="39"/>
      <c r="B117" s="40" t="s">
        <v>21</v>
      </c>
      <c r="C117" s="40" t="s">
        <v>137</v>
      </c>
      <c r="D117" s="29">
        <f>D103+D116</f>
        <v>31455.78</v>
      </c>
      <c r="E117" s="29">
        <f>E103+E116</f>
        <v>7468.93</v>
      </c>
      <c r="F117" s="29">
        <f>F103+F116</f>
        <v>289045.86</v>
      </c>
      <c r="G117" s="29">
        <f>G103+G116</f>
        <v>1246.98</v>
      </c>
      <c r="H117" s="29">
        <f>ROUND(H103+H116,2)</f>
        <v>329217.55</v>
      </c>
      <c r="I117" s="41">
        <f>D117+E117+F117+G117</f>
        <v>329217.55</v>
      </c>
      <c r="Q117" s="51">
        <f>D117+E117+F117+G117</f>
        <v>329217.55</v>
      </c>
    </row>
    <row r="118" spans="1:18" ht="19.75" hidden="1" customHeight="1">
      <c r="A118" s="115" t="s">
        <v>138</v>
      </c>
      <c r="B118" s="116"/>
      <c r="C118" s="116"/>
      <c r="D118" s="116"/>
      <c r="E118" s="116"/>
      <c r="F118" s="116"/>
      <c r="G118" s="116"/>
      <c r="H118" s="116"/>
    </row>
    <row r="119" spans="1:18" ht="39" hidden="1">
      <c r="A119" s="13">
        <v>63</v>
      </c>
      <c r="B119" s="14" t="s">
        <v>139</v>
      </c>
      <c r="C119" s="15" t="s">
        <v>194</v>
      </c>
      <c r="D119" s="16"/>
      <c r="E119" s="16"/>
      <c r="F119" s="16"/>
      <c r="G119" s="16">
        <f>ROUND(H117*0.0128,2)</f>
        <v>4213.9799999999996</v>
      </c>
      <c r="H119" s="16">
        <f>G119</f>
        <v>4213.9799999999996</v>
      </c>
    </row>
    <row r="120" spans="1:18" s="35" customFormat="1" ht="78" hidden="1">
      <c r="A120" s="32"/>
      <c r="B120" s="33" t="s">
        <v>21</v>
      </c>
      <c r="C120" s="30" t="s">
        <v>140</v>
      </c>
      <c r="D120" s="34"/>
      <c r="E120" s="34"/>
      <c r="F120" s="34"/>
      <c r="G120" s="34">
        <f>G119</f>
        <v>4213.9799999999996</v>
      </c>
      <c r="H120" s="34">
        <f>H119</f>
        <v>4213.9799999999996</v>
      </c>
      <c r="Q120" s="51">
        <f>D120+E120+F120+G120</f>
        <v>4213.9799999999996</v>
      </c>
    </row>
    <row r="121" spans="1:18" ht="19.75" hidden="1" customHeight="1">
      <c r="A121" s="115" t="s">
        <v>141</v>
      </c>
      <c r="B121" s="116"/>
      <c r="C121" s="116"/>
      <c r="D121" s="116"/>
      <c r="E121" s="116"/>
      <c r="F121" s="116"/>
      <c r="G121" s="116"/>
      <c r="H121" s="116"/>
    </row>
    <row r="122" spans="1:18" ht="31.5" hidden="1" customHeight="1">
      <c r="A122" s="13">
        <v>64</v>
      </c>
      <c r="B122" s="100"/>
      <c r="C122" s="50" t="s">
        <v>226</v>
      </c>
      <c r="D122" s="100"/>
      <c r="E122" s="100"/>
      <c r="F122" s="100"/>
      <c r="G122" s="66">
        <f>(39503.206)/(4.21*1.19)</f>
        <v>7885.0288428910753</v>
      </c>
      <c r="H122" s="100"/>
    </row>
    <row r="123" spans="1:18" ht="33.65" hidden="1" customHeight="1">
      <c r="A123" s="13">
        <v>65</v>
      </c>
      <c r="B123" s="100"/>
      <c r="C123" s="50" t="s">
        <v>227</v>
      </c>
      <c r="D123" s="100"/>
      <c r="E123" s="100"/>
      <c r="F123" s="100"/>
      <c r="G123" s="28">
        <f>G124-G122</f>
        <v>9905.781157108926</v>
      </c>
      <c r="H123" s="100"/>
      <c r="R123" s="28">
        <f>(105173.605-G122)/(3.95*1.19)</f>
        <v>20697.495193513227</v>
      </c>
    </row>
    <row r="124" spans="1:18" ht="78" hidden="1">
      <c r="A124" s="13">
        <v>66</v>
      </c>
      <c r="B124" s="14" t="s">
        <v>208</v>
      </c>
      <c r="C124" s="15" t="s">
        <v>232</v>
      </c>
      <c r="D124" s="16"/>
      <c r="E124" s="16"/>
      <c r="F124" s="16"/>
      <c r="G124" s="28">
        <f>ROUND(105173.605/1.18/(4.21*1.19),2)</f>
        <v>17790.810000000001</v>
      </c>
      <c r="H124" s="28">
        <f>G124</f>
        <v>17790.810000000001</v>
      </c>
    </row>
    <row r="125" spans="1:18" ht="143" hidden="1">
      <c r="A125" s="13">
        <f>1+A124</f>
        <v>67</v>
      </c>
      <c r="B125" s="14" t="s">
        <v>208</v>
      </c>
      <c r="C125" s="15" t="s">
        <v>228</v>
      </c>
      <c r="D125" s="16"/>
      <c r="E125" s="16"/>
      <c r="F125" s="16"/>
      <c r="G125" s="54">
        <f>ROUND((74.051+311.22543+81.024+51.661+389.801+171.113)/(4.29*1.266),2)</f>
        <v>198.65</v>
      </c>
      <c r="H125" s="28">
        <f t="shared" ref="H125:H126" si="16">G125</f>
        <v>198.65</v>
      </c>
      <c r="P125" s="64"/>
    </row>
    <row r="126" spans="1:18" ht="91" hidden="1">
      <c r="A126" s="13">
        <f t="shared" ref="A126:A127" si="17">1+A125</f>
        <v>68</v>
      </c>
      <c r="B126" s="14" t="s">
        <v>143</v>
      </c>
      <c r="C126" s="15" t="s">
        <v>218</v>
      </c>
      <c r="D126" s="16"/>
      <c r="E126" s="16"/>
      <c r="F126" s="16"/>
      <c r="G126" s="80">
        <f>2470.255/4.21/1.18</f>
        <v>497.25331132493261</v>
      </c>
      <c r="H126" s="28">
        <f t="shared" si="16"/>
        <v>497.25331132493261</v>
      </c>
    </row>
    <row r="127" spans="1:18" s="35" customFormat="1" ht="52" hidden="1">
      <c r="A127" s="13">
        <f t="shared" si="17"/>
        <v>69</v>
      </c>
      <c r="B127" s="33" t="s">
        <v>21</v>
      </c>
      <c r="C127" s="30" t="s">
        <v>144</v>
      </c>
      <c r="D127" s="34"/>
      <c r="E127" s="34"/>
      <c r="F127" s="34"/>
      <c r="G127" s="29">
        <f>SUM(G124:G126)</f>
        <v>18486.713311324937</v>
      </c>
      <c r="H127" s="29">
        <f>SUM(H124:H126)</f>
        <v>18486.713311324937</v>
      </c>
      <c r="Q127" s="51">
        <f>D127+E127+F127+G127</f>
        <v>18486.713311324937</v>
      </c>
    </row>
    <row r="128" spans="1:18" s="35" customFormat="1" ht="26" hidden="1">
      <c r="A128" s="32"/>
      <c r="B128" s="33" t="s">
        <v>21</v>
      </c>
      <c r="C128" s="82" t="s">
        <v>145</v>
      </c>
      <c r="D128" s="83">
        <f>ROUND(D117+D120+D127,2)</f>
        <v>31455.78</v>
      </c>
      <c r="E128" s="83">
        <f>ROUND(E117+E120+E127,2)</f>
        <v>7468.93</v>
      </c>
      <c r="F128" s="83">
        <f>ROUND(F117+F120+F127,2)</f>
        <v>289045.86</v>
      </c>
      <c r="G128" s="83">
        <f>ROUND(G117+G120+G127,2)</f>
        <v>23947.67</v>
      </c>
      <c r="H128" s="83">
        <f>ROUND(H117+H120+H127,2)</f>
        <v>351918.24</v>
      </c>
      <c r="I128" s="51">
        <f>D128+E128+F128+G128</f>
        <v>351918.24</v>
      </c>
      <c r="J128" s="51">
        <f>H127+H120+H117</f>
        <v>351918.24331132491</v>
      </c>
      <c r="Q128" s="51">
        <f>D128+E128+F128+G128</f>
        <v>351918.24</v>
      </c>
    </row>
    <row r="129" spans="1:24" ht="19.75" hidden="1" customHeight="1">
      <c r="A129" s="115" t="s">
        <v>146</v>
      </c>
      <c r="B129" s="116"/>
      <c r="C129" s="116"/>
      <c r="D129" s="116"/>
      <c r="E129" s="116"/>
      <c r="F129" s="116"/>
      <c r="G129" s="116"/>
      <c r="H129" s="116"/>
    </row>
    <row r="130" spans="1:24" ht="26" hidden="1">
      <c r="A130" s="13">
        <v>70</v>
      </c>
      <c r="B130" s="14" t="s">
        <v>147</v>
      </c>
      <c r="C130" s="15" t="s">
        <v>148</v>
      </c>
      <c r="D130" s="28">
        <f>ROUND(D128*0.02,2)</f>
        <v>629.12</v>
      </c>
      <c r="E130" s="28">
        <f t="shared" ref="E130:G130" si="18">ROUND(E128*0.02,2)</f>
        <v>149.38</v>
      </c>
      <c r="F130" s="28">
        <f t="shared" si="18"/>
        <v>5780.92</v>
      </c>
      <c r="G130" s="28">
        <f t="shared" si="18"/>
        <v>478.95</v>
      </c>
      <c r="H130" s="28">
        <f>ROUND(H128*0.02,2)-0.01</f>
        <v>7038.3499999999995</v>
      </c>
    </row>
    <row r="131" spans="1:24" s="35" customFormat="1" ht="39" hidden="1">
      <c r="A131" s="32"/>
      <c r="B131" s="33" t="s">
        <v>21</v>
      </c>
      <c r="C131" s="30" t="s">
        <v>149</v>
      </c>
      <c r="D131" s="29">
        <f>D130</f>
        <v>629.12</v>
      </c>
      <c r="E131" s="29">
        <f>E130</f>
        <v>149.38</v>
      </c>
      <c r="F131" s="29">
        <f>F130</f>
        <v>5780.92</v>
      </c>
      <c r="G131" s="29">
        <f>G130</f>
        <v>478.95</v>
      </c>
      <c r="H131" s="86">
        <f>H130</f>
        <v>7038.3499999999995</v>
      </c>
      <c r="Q131" s="51">
        <f>D131+E131+F131+G131</f>
        <v>7038.37</v>
      </c>
    </row>
    <row r="132" spans="1:24" ht="19.75" hidden="1" customHeight="1">
      <c r="A132" s="115" t="s">
        <v>150</v>
      </c>
      <c r="B132" s="116"/>
      <c r="C132" s="116"/>
      <c r="D132" s="116"/>
      <c r="E132" s="116"/>
      <c r="F132" s="116"/>
      <c r="G132" s="116"/>
      <c r="H132" s="116"/>
    </row>
    <row r="133" spans="1:24" s="55" customFormat="1" ht="39" hidden="1">
      <c r="A133" s="13">
        <v>71</v>
      </c>
      <c r="B133" s="57" t="s">
        <v>21</v>
      </c>
      <c r="C133" s="57" t="s">
        <v>161</v>
      </c>
      <c r="D133" s="83">
        <f>ROUND(D128+D131,2)</f>
        <v>32084.9</v>
      </c>
      <c r="E133" s="83">
        <f>ROUND(E128+E131,2)</f>
        <v>7618.31</v>
      </c>
      <c r="F133" s="83">
        <f>ROUND(F128+F131,2)</f>
        <v>294826.78000000003</v>
      </c>
      <c r="G133" s="83">
        <f>ROUND(G128+G131,2)</f>
        <v>24426.62</v>
      </c>
      <c r="H133" s="86">
        <f>ROUND(H128+H131,2)</f>
        <v>358956.59</v>
      </c>
      <c r="K133" s="26"/>
      <c r="P133" s="56"/>
      <c r="Q133" s="85">
        <f>ROUND(D133+E133+F133+G133,2)</f>
        <v>358956.61</v>
      </c>
    </row>
    <row r="134" spans="1:24" s="17" customFormat="1" ht="29.5" hidden="1" customHeight="1">
      <c r="A134" s="124" t="s">
        <v>220</v>
      </c>
      <c r="B134" s="125"/>
      <c r="C134" s="125"/>
      <c r="D134" s="126"/>
      <c r="E134" s="126"/>
      <c r="F134" s="126"/>
      <c r="G134" s="126"/>
      <c r="H134" s="126"/>
      <c r="J134" s="49">
        <f>K134*3.92*1.02</f>
        <v>71929.056864000013</v>
      </c>
      <c r="K134" s="47">
        <f>G124+G125</f>
        <v>17989.460000000003</v>
      </c>
      <c r="L134" s="17" t="s">
        <v>171</v>
      </c>
      <c r="X134" s="81"/>
    </row>
    <row r="135" spans="1:24" s="17" customFormat="1" ht="25" hidden="1">
      <c r="A135" s="13">
        <v>72</v>
      </c>
      <c r="B135" s="101" t="s">
        <v>155</v>
      </c>
      <c r="C135" s="101" t="s">
        <v>221</v>
      </c>
      <c r="D135" s="18">
        <f>ROUND(D133*8.29,2)</f>
        <v>265983.82</v>
      </c>
      <c r="E135" s="18">
        <f>ROUND(E133*8.29,2)</f>
        <v>63155.79</v>
      </c>
      <c r="F135" s="18"/>
      <c r="G135" s="19"/>
      <c r="H135" s="18">
        <f>ROUND(D135+E135+F135+G135,2)</f>
        <v>329139.61</v>
      </c>
      <c r="J135" s="49">
        <f>K135*7.39*1.02</f>
        <v>31764.138443999997</v>
      </c>
      <c r="K135" s="47">
        <f>G120</f>
        <v>4213.9799999999996</v>
      </c>
      <c r="L135" s="17" t="s">
        <v>172</v>
      </c>
      <c r="N135" s="63"/>
      <c r="P135" s="63"/>
      <c r="Q135" s="51"/>
    </row>
    <row r="136" spans="1:24" s="17" customFormat="1" ht="37.5" hidden="1">
      <c r="A136" s="13">
        <f>1+A135</f>
        <v>73</v>
      </c>
      <c r="B136" s="101" t="s">
        <v>156</v>
      </c>
      <c r="C136" s="101" t="s">
        <v>225</v>
      </c>
      <c r="D136" s="102"/>
      <c r="E136" s="18"/>
      <c r="F136" s="18">
        <f>ROUND(F133*4.03,2)</f>
        <v>1188151.92</v>
      </c>
      <c r="G136" s="19"/>
      <c r="H136" s="18">
        <f t="shared" ref="H136:H147" si="19">ROUND(D136+E136+F136+G136,2)</f>
        <v>1188151.92</v>
      </c>
      <c r="J136" s="49">
        <f>K136*3.95*1.02</f>
        <v>2003.4335913281536</v>
      </c>
      <c r="K136" s="47">
        <f>G126</f>
        <v>497.25331132493261</v>
      </c>
      <c r="L136" s="17" t="s">
        <v>173</v>
      </c>
      <c r="N136" s="63"/>
      <c r="P136" s="23"/>
      <c r="Q136" s="51"/>
    </row>
    <row r="137" spans="1:24" s="17" customFormat="1" ht="25" hidden="1">
      <c r="A137" s="13">
        <f t="shared" ref="A137:A147" si="20">1+A136</f>
        <v>74</v>
      </c>
      <c r="B137" s="101" t="s">
        <v>157</v>
      </c>
      <c r="C137" s="101" t="s">
        <v>229</v>
      </c>
      <c r="D137" s="102"/>
      <c r="E137" s="102"/>
      <c r="F137" s="102"/>
      <c r="G137" s="19"/>
      <c r="H137" s="18">
        <f t="shared" si="19"/>
        <v>0</v>
      </c>
      <c r="I137" s="23"/>
      <c r="J137" s="49">
        <f>(K137+K139)*18.4*1.02</f>
        <v>16342.048319999998</v>
      </c>
      <c r="K137" s="47">
        <f>G108+G109+G110+G111</f>
        <v>870.74</v>
      </c>
      <c r="L137" s="17" t="s">
        <v>174</v>
      </c>
      <c r="Q137" s="51"/>
    </row>
    <row r="138" spans="1:24" s="17" customFormat="1" ht="28.5" hidden="1" customHeight="1">
      <c r="A138" s="13">
        <f t="shared" si="20"/>
        <v>75</v>
      </c>
      <c r="B138" s="14"/>
      <c r="C138" s="101"/>
      <c r="D138" s="102"/>
      <c r="E138" s="102"/>
      <c r="F138" s="102"/>
      <c r="G138" s="19">
        <f>521.57*7.39*1.02*0</f>
        <v>0</v>
      </c>
      <c r="H138" s="18">
        <f t="shared" si="19"/>
        <v>0</v>
      </c>
      <c r="J138" s="49">
        <f>K138*9.63</f>
        <v>1252.0926000000002</v>
      </c>
      <c r="K138" s="47">
        <f>G112</f>
        <v>130.02000000000001</v>
      </c>
      <c r="L138" s="17" t="s">
        <v>175</v>
      </c>
      <c r="Q138" s="51"/>
    </row>
    <row r="139" spans="1:24" s="17" customFormat="1" ht="26.5" hidden="1" customHeight="1">
      <c r="A139" s="13">
        <v>75</v>
      </c>
      <c r="B139" s="14" t="s">
        <v>158</v>
      </c>
      <c r="C139" s="101" t="s">
        <v>217</v>
      </c>
      <c r="D139" s="102"/>
      <c r="E139" s="102"/>
      <c r="F139" s="102"/>
      <c r="G139" s="22">
        <v>1411.02</v>
      </c>
      <c r="H139" s="18">
        <f t="shared" si="19"/>
        <v>1411.02</v>
      </c>
      <c r="J139" s="23"/>
      <c r="K139" s="47">
        <f>0*14.34</f>
        <v>0</v>
      </c>
      <c r="L139" s="17" t="s">
        <v>176</v>
      </c>
      <c r="Q139" s="51"/>
    </row>
    <row r="140" spans="1:24" s="17" customFormat="1" ht="39" hidden="1">
      <c r="A140" s="13">
        <f t="shared" si="20"/>
        <v>76</v>
      </c>
      <c r="B140" s="14" t="s">
        <v>139</v>
      </c>
      <c r="C140" s="101" t="s">
        <v>237</v>
      </c>
      <c r="D140" s="102"/>
      <c r="E140" s="102"/>
      <c r="F140" s="102"/>
      <c r="G140" s="22">
        <f>ROUND(G119*10.64*1.02,2)</f>
        <v>45733.48</v>
      </c>
      <c r="H140" s="18">
        <f t="shared" si="19"/>
        <v>45733.48</v>
      </c>
      <c r="Q140" s="51"/>
    </row>
    <row r="141" spans="1:24" s="17" customFormat="1" ht="50" hidden="1">
      <c r="A141" s="13">
        <f t="shared" si="20"/>
        <v>77</v>
      </c>
      <c r="B141" s="14" t="s">
        <v>142</v>
      </c>
      <c r="C141" s="101" t="s">
        <v>230</v>
      </c>
      <c r="D141" s="102"/>
      <c r="E141" s="102"/>
      <c r="F141" s="102"/>
      <c r="G141" s="79">
        <f>((G124)/1)*1.02*4.21*1.19</f>
        <v>90912.782599379992</v>
      </c>
      <c r="H141" s="18">
        <f t="shared" si="19"/>
        <v>90912.78</v>
      </c>
      <c r="I141" s="23">
        <f>J141-J136</f>
        <v>121287.33622800001</v>
      </c>
      <c r="J141" s="23">
        <f>SUM(J134:J140)</f>
        <v>123290.76981932817</v>
      </c>
      <c r="K141" s="23">
        <f>SUM(K134:K140)</f>
        <v>23701.453311324938</v>
      </c>
      <c r="Q141" s="51"/>
    </row>
    <row r="142" spans="1:24" s="17" customFormat="1" ht="175" hidden="1">
      <c r="A142" s="13">
        <f t="shared" si="20"/>
        <v>78</v>
      </c>
      <c r="B142" s="14" t="s">
        <v>142</v>
      </c>
      <c r="C142" s="101" t="s">
        <v>195</v>
      </c>
      <c r="D142" s="102"/>
      <c r="E142" s="102"/>
      <c r="F142" s="102"/>
      <c r="G142" s="79">
        <f>ROUND(((G125)/1)*1.02*4.29*1.266,2)</f>
        <v>1100.47</v>
      </c>
      <c r="H142" s="18">
        <f t="shared" si="19"/>
        <v>1100.47</v>
      </c>
      <c r="I142" s="23">
        <f>J142-J137</f>
        <v>158310.43445465632</v>
      </c>
      <c r="J142" s="23">
        <f>SUM(J135:J141)</f>
        <v>174652.48277465632</v>
      </c>
      <c r="K142" s="23">
        <f>SUM(K135:K141)</f>
        <v>29413.44662264987</v>
      </c>
      <c r="Q142" s="51"/>
    </row>
    <row r="143" spans="1:24" s="17" customFormat="1" ht="150" hidden="1">
      <c r="A143" s="13">
        <f t="shared" si="20"/>
        <v>79</v>
      </c>
      <c r="B143" s="14"/>
      <c r="C143" s="101" t="s">
        <v>231</v>
      </c>
      <c r="D143" s="102"/>
      <c r="E143" s="102"/>
      <c r="F143" s="102"/>
      <c r="G143" s="79">
        <f>ROUND(631.68*4.21*1.02,2)</f>
        <v>2712.56</v>
      </c>
      <c r="H143" s="18">
        <f>ROUND(D143+E143+F143+G143,2)</f>
        <v>2712.56</v>
      </c>
      <c r="I143" s="23"/>
      <c r="J143" s="23"/>
      <c r="K143" s="23"/>
      <c r="Q143" s="51"/>
    </row>
    <row r="144" spans="1:24" s="17" customFormat="1" ht="25" hidden="1">
      <c r="A144" s="13">
        <f t="shared" si="20"/>
        <v>80</v>
      </c>
      <c r="B144" s="14"/>
      <c r="C144" s="101" t="s">
        <v>187</v>
      </c>
      <c r="D144" s="102"/>
      <c r="E144" s="102"/>
      <c r="F144" s="102"/>
      <c r="G144" s="79">
        <v>209.52</v>
      </c>
      <c r="H144" s="18">
        <f t="shared" si="19"/>
        <v>209.52</v>
      </c>
      <c r="J144" s="23">
        <f>J141*1.18</f>
        <v>145483.10838680723</v>
      </c>
      <c r="K144" s="23">
        <f>K141*1.02</f>
        <v>24175.482377551438</v>
      </c>
      <c r="Q144" s="51"/>
    </row>
    <row r="145" spans="1:24" s="17" customFormat="1" ht="13" hidden="1">
      <c r="A145" s="13">
        <f t="shared" si="20"/>
        <v>81</v>
      </c>
      <c r="B145" s="101"/>
      <c r="C145" s="101"/>
      <c r="D145" s="102"/>
      <c r="E145" s="102"/>
      <c r="F145" s="102"/>
      <c r="G145" s="79"/>
      <c r="H145" s="18">
        <f t="shared" si="19"/>
        <v>0</v>
      </c>
      <c r="Q145" s="51"/>
    </row>
    <row r="146" spans="1:24" s="17" customFormat="1" ht="50" hidden="1">
      <c r="A146" s="13">
        <v>81</v>
      </c>
      <c r="B146" s="101" t="s">
        <v>224</v>
      </c>
      <c r="C146" s="101" t="s">
        <v>216</v>
      </c>
      <c r="D146" s="102"/>
      <c r="E146" s="102"/>
      <c r="F146" s="102"/>
      <c r="G146" s="79">
        <f>ROUND((G108+G109+G110+G111+G69)*20.73*1.02,2)</f>
        <v>18411.45</v>
      </c>
      <c r="H146" s="18">
        <f t="shared" si="19"/>
        <v>18411.45</v>
      </c>
      <c r="K146" s="23"/>
    </row>
    <row r="147" spans="1:24" s="17" customFormat="1" ht="75" hidden="1">
      <c r="A147" s="13">
        <f t="shared" si="20"/>
        <v>82</v>
      </c>
      <c r="B147" s="101" t="s">
        <v>201</v>
      </c>
      <c r="C147" s="101" t="s">
        <v>200</v>
      </c>
      <c r="D147" s="102"/>
      <c r="E147" s="102"/>
      <c r="F147" s="102"/>
      <c r="G147" s="79">
        <f>(G112)*9.63*0</f>
        <v>0</v>
      </c>
      <c r="H147" s="18">
        <f t="shared" si="19"/>
        <v>0</v>
      </c>
      <c r="K147" s="23"/>
      <c r="Q147" s="51"/>
    </row>
    <row r="148" spans="1:24" s="17" customFormat="1" ht="13" hidden="1">
      <c r="A148" s="13">
        <v>82</v>
      </c>
      <c r="B148" s="101"/>
      <c r="C148" s="101" t="s">
        <v>204</v>
      </c>
      <c r="D148" s="102"/>
      <c r="E148" s="102"/>
      <c r="F148" s="102"/>
      <c r="G148" s="79">
        <f>ROUND((G114)*10.64*1.02,2)</f>
        <v>2197.9499999999998</v>
      </c>
      <c r="H148" s="18">
        <f>ROUND(D148+E148+F148+G148,2)</f>
        <v>2197.9499999999998</v>
      </c>
      <c r="K148" s="23"/>
      <c r="Q148" s="51"/>
    </row>
    <row r="149" spans="1:24" s="17" customFormat="1" ht="37.5" hidden="1">
      <c r="A149" s="13">
        <v>83</v>
      </c>
      <c r="B149" s="20"/>
      <c r="C149" s="20" t="s">
        <v>222</v>
      </c>
      <c r="D149" s="21">
        <f>ROUND(D135+D136+D137+D138+D139+D145+D146+D140+D141+D142+D143+D148,2)</f>
        <v>265983.82</v>
      </c>
      <c r="E149" s="21">
        <f>ROUND(E135+E136+E137+E138+E139+E145+E146+E140+E141+E142+E143+E148,2)</f>
        <v>63155.79</v>
      </c>
      <c r="F149" s="21">
        <f>ROUND(F135+F136+F137+F138+F139+F145+F146+F140+F141+F142+F143+F148,2)</f>
        <v>1188151.92</v>
      </c>
      <c r="G149" s="21">
        <f>SUM(G135:G148)</f>
        <v>162689.23259938002</v>
      </c>
      <c r="H149" s="18">
        <f>SUM(H135:H148)</f>
        <v>1679980.7599999998</v>
      </c>
      <c r="I149" s="23">
        <f>D149+E149+F149+G149</f>
        <v>1679980.7625993798</v>
      </c>
      <c r="J149" s="23"/>
      <c r="N149" s="23" t="s">
        <v>210</v>
      </c>
      <c r="Q149" s="26">
        <f>ROUND(H135+H136+H139+H140+H141+H142+H143+H144+H146+H148,2)</f>
        <v>1679980.76</v>
      </c>
    </row>
    <row r="150" spans="1:24" s="17" customFormat="1" ht="13" hidden="1">
      <c r="A150" s="13"/>
      <c r="B150" s="24"/>
      <c r="C150" s="101" t="s">
        <v>223</v>
      </c>
      <c r="D150" s="25">
        <f>ROUND(D149*0.2,2)</f>
        <v>53196.76</v>
      </c>
      <c r="E150" s="25">
        <f>E149*0.2</f>
        <v>12631.158000000001</v>
      </c>
      <c r="F150" s="25">
        <f>ROUND(F149*0.2,2)</f>
        <v>237630.38</v>
      </c>
      <c r="G150" s="25">
        <f>ROUND((G149-G148)*0.2,2)</f>
        <v>32098.26</v>
      </c>
      <c r="H150" s="25">
        <f>ROUND((H149*0.2)- (1989.31*0.2),2)+0.01</f>
        <v>335598.3</v>
      </c>
      <c r="N150" s="77">
        <f>G119+G114+G112</f>
        <v>4546.5233644859809</v>
      </c>
    </row>
    <row r="151" spans="1:24" s="62" customFormat="1" ht="13" hidden="1">
      <c r="A151" s="13"/>
      <c r="B151" s="58"/>
      <c r="C151" s="59" t="s">
        <v>151</v>
      </c>
      <c r="D151" s="60">
        <f>ROUND(D149+D150,2)</f>
        <v>319180.58</v>
      </c>
      <c r="E151" s="60">
        <f>ROUND(E149+E150,2)</f>
        <v>75786.95</v>
      </c>
      <c r="F151" s="60">
        <f>ROUND(F149+F150,2)</f>
        <v>1425782.3</v>
      </c>
      <c r="G151" s="60">
        <f>ROUND(G149+G150,2)</f>
        <v>194787.49</v>
      </c>
      <c r="H151" s="60">
        <f>ROUND(H149+H150,2)</f>
        <v>2015579.06</v>
      </c>
      <c r="I151" s="61"/>
      <c r="J151" s="61"/>
      <c r="N151" s="78">
        <f>N150*9.63*1.02</f>
        <v>44658.680399999997</v>
      </c>
      <c r="P151" s="61"/>
      <c r="Q151" s="84">
        <f>ROUND(D151+E151+F151+G151,2)</f>
        <v>2015537.32</v>
      </c>
      <c r="X151" s="61"/>
    </row>
    <row r="152" spans="1:24" ht="19.75" hidden="1" customHeight="1">
      <c r="A152" s="115" t="s">
        <v>159</v>
      </c>
      <c r="B152" s="116"/>
      <c r="C152" s="116"/>
      <c r="D152" s="116"/>
      <c r="E152" s="116"/>
      <c r="F152" s="116"/>
      <c r="G152" s="116"/>
      <c r="H152" s="116"/>
      <c r="N152" t="s">
        <v>211</v>
      </c>
      <c r="S152" s="64"/>
    </row>
    <row r="153" spans="1:24" ht="39" hidden="1">
      <c r="A153" s="13">
        <v>84</v>
      </c>
      <c r="B153" s="14"/>
      <c r="C153" s="15" t="s">
        <v>213</v>
      </c>
      <c r="D153" s="16"/>
      <c r="E153" s="16"/>
      <c r="F153" s="16"/>
      <c r="G153" s="16"/>
      <c r="H153" s="28">
        <v>123.3</v>
      </c>
      <c r="N153">
        <f>G107*18.4*1.02</f>
        <v>16342.048319999998</v>
      </c>
      <c r="S153" s="51">
        <v>159726.03</v>
      </c>
      <c r="T153" s="64">
        <f>S153-G148</f>
        <v>157528.07999999999</v>
      </c>
    </row>
    <row r="154" spans="1:24" ht="39" hidden="1">
      <c r="A154" s="13">
        <v>85</v>
      </c>
      <c r="B154" s="14"/>
      <c r="C154" s="15" t="s">
        <v>215</v>
      </c>
      <c r="D154" s="16"/>
      <c r="E154" s="16"/>
      <c r="F154" s="16"/>
      <c r="G154" s="16"/>
      <c r="H154" s="28">
        <f>ROUND(H153*8.29*1.2,2)</f>
        <v>1226.5899999999999</v>
      </c>
      <c r="S154" s="64">
        <f>S153*0.18</f>
        <v>28750.685399999998</v>
      </c>
    </row>
    <row r="155" spans="1:24" s="17" customFormat="1" ht="13" hidden="1">
      <c r="A155" s="13">
        <v>86</v>
      </c>
      <c r="B155" s="36"/>
      <c r="C155" s="43" t="s">
        <v>167</v>
      </c>
      <c r="D155" s="43"/>
      <c r="E155" s="43"/>
      <c r="F155" s="43"/>
      <c r="G155" s="48"/>
      <c r="H155" s="28">
        <f>ROUND((H124+H125),2)</f>
        <v>17989.46</v>
      </c>
      <c r="I155"/>
      <c r="J155"/>
      <c r="S155" s="23">
        <f>S153+S154</f>
        <v>188476.71539999999</v>
      </c>
    </row>
    <row r="156" spans="1:24" s="17" customFormat="1" ht="13" hidden="1">
      <c r="A156" s="13">
        <v>87</v>
      </c>
      <c r="B156" s="36"/>
      <c r="C156" s="43" t="s">
        <v>168</v>
      </c>
      <c r="D156" s="43"/>
      <c r="E156" s="43"/>
      <c r="F156" s="43"/>
      <c r="G156" s="48"/>
      <c r="H156" s="28">
        <f>ROUND((H141+H142)/1.02*1.2,2)</f>
        <v>108250.88</v>
      </c>
      <c r="I156"/>
      <c r="J156"/>
      <c r="Q156" s="23"/>
      <c r="S156" s="23">
        <f>S155+G148</f>
        <v>190674.6654</v>
      </c>
    </row>
    <row r="157" spans="1:24" s="17" customFormat="1" hidden="1">
      <c r="A157"/>
      <c r="B157"/>
      <c r="F157"/>
      <c r="G157" s="64"/>
      <c r="H157"/>
      <c r="I157"/>
      <c r="J157"/>
    </row>
    <row r="158" spans="1:24" ht="27" hidden="1" customHeight="1">
      <c r="B158" s="127" t="s">
        <v>169</v>
      </c>
      <c r="C158" s="127"/>
      <c r="D158" s="44" t="s">
        <v>170</v>
      </c>
      <c r="E158" s="45"/>
      <c r="F158" s="45"/>
      <c r="G158" s="45"/>
    </row>
    <row r="159" spans="1:24" s="46" customFormat="1" ht="10.5" hidden="1">
      <c r="D159" s="123" t="s">
        <v>16</v>
      </c>
      <c r="E159" s="123"/>
      <c r="F159" s="123"/>
      <c r="G159" s="123"/>
    </row>
    <row r="160" spans="1:24" ht="26.15" hidden="1" customHeight="1">
      <c r="B160" s="127" t="s">
        <v>17</v>
      </c>
      <c r="C160" s="127"/>
      <c r="D160" s="128" t="s">
        <v>18</v>
      </c>
      <c r="E160" s="128"/>
      <c r="F160" s="128"/>
      <c r="G160" s="128"/>
    </row>
    <row r="161" spans="2:25" ht="25" hidden="1" customHeight="1">
      <c r="B161" s="127" t="s">
        <v>181</v>
      </c>
      <c r="C161" s="127"/>
      <c r="D161" s="129" t="s">
        <v>182</v>
      </c>
      <c r="E161" s="129"/>
      <c r="F161" s="129"/>
      <c r="G161" s="129"/>
    </row>
    <row r="162" spans="2:25" hidden="1"/>
    <row r="163" spans="2:25" hidden="1"/>
    <row r="164" spans="2:25" ht="15.5" hidden="1">
      <c r="C164" s="87" t="s">
        <v>263</v>
      </c>
      <c r="H164" t="s">
        <v>234</v>
      </c>
    </row>
    <row r="165" spans="2:25" ht="38.5" hidden="1">
      <c r="B165" s="36"/>
      <c r="C165" s="95"/>
      <c r="D165" s="36"/>
      <c r="E165" s="36"/>
      <c r="F165" s="36"/>
      <c r="G165" s="36"/>
      <c r="H165" s="104" t="s">
        <v>262</v>
      </c>
      <c r="X165" s="106" t="s">
        <v>266</v>
      </c>
      <c r="Y165" s="106" t="s">
        <v>267</v>
      </c>
    </row>
    <row r="166" spans="2:25" hidden="1">
      <c r="B166" s="36" t="s">
        <v>235</v>
      </c>
      <c r="C166" s="36" t="s">
        <v>258</v>
      </c>
      <c r="D166" s="36"/>
      <c r="E166" s="36"/>
      <c r="F166" s="36"/>
      <c r="G166" s="36"/>
      <c r="H166" s="88">
        <f>((1593.04+13.91)*7.39)+(197.4*3.67)</f>
        <v>12599.818500000001</v>
      </c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88">
        <f>H166*0.21</f>
        <v>2645.9618850000002</v>
      </c>
      <c r="Y166" s="88">
        <f>(H166+X166)*1.2</f>
        <v>18294.936462000001</v>
      </c>
    </row>
    <row r="167" spans="2:25" hidden="1">
      <c r="B167" s="36" t="s">
        <v>235</v>
      </c>
      <c r="C167" s="36" t="s">
        <v>257</v>
      </c>
      <c r="D167" s="36"/>
      <c r="E167" s="36"/>
      <c r="F167" s="36"/>
      <c r="G167" s="36"/>
      <c r="H167" s="88">
        <f>((84.96+2081.52)*7.39)+(1722.86*3.67)</f>
        <v>22333.183399999998</v>
      </c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88">
        <f t="shared" ref="X167:X170" si="21">H167*0.21</f>
        <v>4689.9685139999992</v>
      </c>
      <c r="Y167" s="88">
        <f t="shared" ref="Y167:Y170" si="22">(H167+X167)*1.2</f>
        <v>32427.782296799996</v>
      </c>
    </row>
    <row r="168" spans="2:25" hidden="1">
      <c r="B168" s="36" t="s">
        <v>235</v>
      </c>
      <c r="C168" s="36" t="s">
        <v>236</v>
      </c>
      <c r="D168" s="36"/>
      <c r="E168" s="36"/>
      <c r="F168" s="36"/>
      <c r="G168" s="36"/>
      <c r="H168" s="88">
        <v>75581.899999999994</v>
      </c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88">
        <f t="shared" si="21"/>
        <v>15872.198999999999</v>
      </c>
      <c r="Y168" s="88">
        <f t="shared" si="22"/>
        <v>109744.91879999998</v>
      </c>
    </row>
    <row r="169" spans="2:25" hidden="1">
      <c r="B169" s="36" t="s">
        <v>235</v>
      </c>
      <c r="C169" s="36" t="s">
        <v>153</v>
      </c>
      <c r="D169" s="36"/>
      <c r="E169" s="36"/>
      <c r="F169" s="36"/>
      <c r="G169" s="36"/>
      <c r="H169" s="88">
        <v>33951.449999999997</v>
      </c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88">
        <f t="shared" si="21"/>
        <v>7129.8044999999993</v>
      </c>
      <c r="Y169" s="88">
        <f t="shared" si="22"/>
        <v>49297.505399999995</v>
      </c>
    </row>
    <row r="170" spans="2:25" ht="13" hidden="1">
      <c r="B170" s="36" t="s">
        <v>262</v>
      </c>
      <c r="C170" s="36" t="s">
        <v>255</v>
      </c>
      <c r="D170" s="36"/>
      <c r="E170" s="36"/>
      <c r="F170" s="36"/>
      <c r="G170" s="36"/>
      <c r="H170" s="103">
        <f>SUM(H166:H169)</f>
        <v>144466.35190000001</v>
      </c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99">
        <f t="shared" si="21"/>
        <v>30337.933899</v>
      </c>
      <c r="Y170" s="99">
        <f t="shared" si="22"/>
        <v>209765.14295879999</v>
      </c>
    </row>
    <row r="171" spans="2:25" s="35" customFormat="1" ht="13" hidden="1">
      <c r="B171" s="36"/>
      <c r="C171" s="36" t="s">
        <v>265</v>
      </c>
      <c r="D171" s="36"/>
      <c r="E171" s="36"/>
      <c r="F171" s="36"/>
      <c r="G171" s="36"/>
      <c r="H171" s="94">
        <f>H170*0.2</f>
        <v>28893.270380000002</v>
      </c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88">
        <f>X170*0.2</f>
        <v>6067.5867797999999</v>
      </c>
      <c r="Y171" s="88"/>
    </row>
    <row r="172" spans="2:25" s="35" customFormat="1" ht="13" hidden="1">
      <c r="B172" s="36" t="s">
        <v>262</v>
      </c>
      <c r="C172" s="89" t="s">
        <v>264</v>
      </c>
      <c r="D172" s="130" t="s">
        <v>261</v>
      </c>
      <c r="E172" s="131"/>
      <c r="F172" s="131"/>
      <c r="G172" s="132"/>
      <c r="H172" s="90">
        <f>H170+H171</f>
        <v>173359.62228000001</v>
      </c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99">
        <f>X170+X171</f>
        <v>36405.5206788</v>
      </c>
      <c r="Y172" s="99">
        <f>H172+X172</f>
        <v>209765.14295880002</v>
      </c>
    </row>
    <row r="173" spans="2:25" s="35" customFormat="1" ht="13" hidden="1">
      <c r="B173" s="91"/>
      <c r="C173" s="92"/>
      <c r="D173" s="92"/>
      <c r="E173" s="92"/>
      <c r="F173" s="92"/>
      <c r="G173" s="92"/>
      <c r="H173" s="93"/>
      <c r="X173" s="110"/>
      <c r="Y173" s="110"/>
    </row>
    <row r="174" spans="2:25" s="35" customFormat="1" ht="13" hidden="1">
      <c r="B174" s="91"/>
      <c r="C174" s="92"/>
      <c r="D174" s="92"/>
      <c r="E174" s="92"/>
      <c r="F174" s="92"/>
      <c r="G174" s="92"/>
      <c r="H174" s="93"/>
      <c r="X174" s="108"/>
      <c r="Y174" s="108"/>
    </row>
    <row r="175" spans="2:25" s="35" customFormat="1" ht="13" hidden="1">
      <c r="B175" s="91"/>
      <c r="C175" s="92"/>
      <c r="D175" s="92"/>
      <c r="E175" s="92"/>
      <c r="F175" s="92"/>
      <c r="G175" s="92"/>
      <c r="H175" s="93"/>
      <c r="X175" s="109"/>
      <c r="Y175" s="109"/>
    </row>
    <row r="176" spans="2:25" ht="38.5" hidden="1">
      <c r="B176" s="36"/>
      <c r="C176" s="95" t="s">
        <v>263</v>
      </c>
      <c r="D176" s="36"/>
      <c r="E176" s="36"/>
      <c r="F176" s="36"/>
      <c r="G176" s="36"/>
      <c r="H176" s="104" t="s">
        <v>262</v>
      </c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7" t="s">
        <v>266</v>
      </c>
      <c r="Y176" s="107" t="s">
        <v>267</v>
      </c>
    </row>
    <row r="177" spans="2:26" hidden="1">
      <c r="B177" s="36" t="s">
        <v>262</v>
      </c>
      <c r="C177" s="36" t="s">
        <v>258</v>
      </c>
      <c r="D177" s="36"/>
      <c r="E177" s="36"/>
      <c r="F177" s="36"/>
      <c r="G177" s="36"/>
      <c r="H177" s="88">
        <f>((1593.04+13.91)*8.29)+(197.4*4.03)</f>
        <v>14117.137500000001</v>
      </c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88">
        <f>H177*0.21</f>
        <v>2964.5988750000001</v>
      </c>
      <c r="Y177" s="88">
        <f>(H177+X177)*1.2</f>
        <v>20498.08365</v>
      </c>
    </row>
    <row r="178" spans="2:26" hidden="1">
      <c r="B178" s="36" t="s">
        <v>262</v>
      </c>
      <c r="C178" s="36" t="s">
        <v>257</v>
      </c>
      <c r="D178" s="36"/>
      <c r="E178" s="36"/>
      <c r="F178" s="36"/>
      <c r="G178" s="36"/>
      <c r="H178" s="88">
        <f>((84.96+2081.52)*8.29)+(1722.86*4.03)</f>
        <v>24903.244999999995</v>
      </c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88">
        <f t="shared" ref="X178:X180" si="23">H178*0.21</f>
        <v>5229.6814499999991</v>
      </c>
      <c r="Y178" s="88">
        <f t="shared" ref="Y178:Y180" si="24">(H178+X178)*1.2</f>
        <v>36159.511739999994</v>
      </c>
    </row>
    <row r="179" spans="2:26" hidden="1">
      <c r="B179" s="36" t="s">
        <v>262</v>
      </c>
      <c r="C179" s="36" t="s">
        <v>236</v>
      </c>
      <c r="D179" s="36"/>
      <c r="E179" s="36"/>
      <c r="F179" s="36"/>
      <c r="G179" s="36"/>
      <c r="H179" s="94">
        <v>93695.27</v>
      </c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88">
        <f t="shared" si="23"/>
        <v>19676.006700000002</v>
      </c>
      <c r="Y179" s="88">
        <f t="shared" si="24"/>
        <v>136045.53203999999</v>
      </c>
    </row>
    <row r="180" spans="2:26" hidden="1">
      <c r="B180" s="36" t="s">
        <v>262</v>
      </c>
      <c r="C180" s="36" t="s">
        <v>153</v>
      </c>
      <c r="D180" s="36"/>
      <c r="E180" s="36"/>
      <c r="F180" s="36"/>
      <c r="G180" s="36"/>
      <c r="H180" s="94">
        <v>37321.910000000003</v>
      </c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88">
        <f t="shared" si="23"/>
        <v>7837.6011000000008</v>
      </c>
      <c r="Y180" s="88">
        <f t="shared" si="24"/>
        <v>54191.41332</v>
      </c>
    </row>
    <row r="181" spans="2:26" ht="13" hidden="1">
      <c r="B181" s="36" t="s">
        <v>262</v>
      </c>
      <c r="C181" s="36" t="s">
        <v>255</v>
      </c>
      <c r="D181" s="36"/>
      <c r="E181" s="36"/>
      <c r="F181" s="36"/>
      <c r="G181" s="36"/>
      <c r="H181" s="103">
        <f>SUM(H177:H180)</f>
        <v>170037.5625</v>
      </c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99">
        <f>SUM(X177:X180)</f>
        <v>35707.888125000005</v>
      </c>
      <c r="Y181" s="99"/>
      <c r="Z181" s="64"/>
    </row>
    <row r="182" spans="2:26" hidden="1">
      <c r="B182" s="36"/>
      <c r="C182" s="36" t="s">
        <v>265</v>
      </c>
      <c r="D182" s="36"/>
      <c r="E182" s="36"/>
      <c r="F182" s="36"/>
      <c r="G182" s="36"/>
      <c r="H182" s="94">
        <f>H181*0.2</f>
        <v>34007.512500000004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88">
        <f>X181*0.2</f>
        <v>7141.5776250000017</v>
      </c>
      <c r="Y182" s="88"/>
      <c r="Z182" s="64">
        <f>Y181-Y182</f>
        <v>0</v>
      </c>
    </row>
    <row r="183" spans="2:26" s="35" customFormat="1" ht="13" hidden="1">
      <c r="B183" s="36" t="s">
        <v>262</v>
      </c>
      <c r="C183" s="89" t="s">
        <v>264</v>
      </c>
      <c r="D183" s="130" t="s">
        <v>261</v>
      </c>
      <c r="E183" s="131"/>
      <c r="F183" s="131"/>
      <c r="G183" s="132"/>
      <c r="H183" s="90">
        <f>H181+H182</f>
        <v>204045.07500000001</v>
      </c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99">
        <f>X181+X182</f>
        <v>42849.465750000003</v>
      </c>
      <c r="Y183" s="99">
        <f>H183+X183</f>
        <v>246894.54075000001</v>
      </c>
      <c r="Z183" s="51"/>
    </row>
    <row r="184" spans="2:26" hidden="1"/>
    <row r="185" spans="2:26" hidden="1"/>
    <row r="189" spans="2:26" ht="33" customHeight="1">
      <c r="B189" s="91"/>
      <c r="C189" s="133" t="s">
        <v>241</v>
      </c>
      <c r="D189" s="133"/>
      <c r="E189" s="133"/>
      <c r="F189" s="133"/>
      <c r="G189" s="133"/>
      <c r="H189" s="133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</row>
    <row r="190" spans="2:26">
      <c r="B190" s="91"/>
      <c r="C190" s="135" t="s">
        <v>239</v>
      </c>
      <c r="D190" s="135"/>
      <c r="E190" s="135"/>
      <c r="F190" s="135"/>
      <c r="G190" s="135"/>
      <c r="H190" s="135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</row>
    <row r="191" spans="2:26" ht="29.5" customHeight="1">
      <c r="B191" s="91"/>
      <c r="C191" s="136"/>
      <c r="D191" s="136"/>
      <c r="E191" s="136"/>
      <c r="F191" s="137" t="s">
        <v>243</v>
      </c>
      <c r="G191" s="138" t="s">
        <v>256</v>
      </c>
      <c r="H191" s="138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</row>
    <row r="192" spans="2:26" ht="31.5">
      <c r="B192" s="91"/>
      <c r="C192" s="139" t="s">
        <v>238</v>
      </c>
      <c r="D192" s="139" t="s">
        <v>240</v>
      </c>
      <c r="E192" s="139" t="s">
        <v>259</v>
      </c>
      <c r="F192" s="139" t="s">
        <v>253</v>
      </c>
      <c r="G192" s="139" t="s">
        <v>254</v>
      </c>
      <c r="H192" s="139" t="s">
        <v>246</v>
      </c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40" t="s">
        <v>249</v>
      </c>
    </row>
    <row r="193" spans="2:24">
      <c r="B193" s="91"/>
      <c r="C193" s="141" t="s">
        <v>219</v>
      </c>
      <c r="D193" s="141" t="s">
        <v>160</v>
      </c>
      <c r="E193" s="141" t="s">
        <v>160</v>
      </c>
      <c r="F193" s="141" t="s">
        <v>160</v>
      </c>
      <c r="G193" s="141" t="s">
        <v>160</v>
      </c>
      <c r="H193" s="141" t="s">
        <v>160</v>
      </c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41" t="s">
        <v>160</v>
      </c>
    </row>
    <row r="194" spans="2:24">
      <c r="B194" s="91"/>
      <c r="C194" s="142">
        <f>H133</f>
        <v>358956.59</v>
      </c>
      <c r="D194" s="143">
        <f>H149</f>
        <v>1679980.7599999998</v>
      </c>
      <c r="E194" s="143">
        <f>D194*1</f>
        <v>1679980.7599999998</v>
      </c>
      <c r="F194" s="143">
        <f>E194*1.072</f>
        <v>1800939.37472</v>
      </c>
      <c r="G194" s="143">
        <f>F194*1.045</f>
        <v>1881981.6465823997</v>
      </c>
      <c r="H194" s="143">
        <f>G194*1.041</f>
        <v>1959142.8940922781</v>
      </c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43">
        <f>H194*1.051</f>
        <v>2059059.1816909842</v>
      </c>
    </row>
    <row r="195" spans="2:24">
      <c r="B195" s="91"/>
      <c r="C195" s="144" t="s">
        <v>223</v>
      </c>
      <c r="D195" s="143">
        <f>D194*0.2</f>
        <v>335996.152</v>
      </c>
      <c r="E195" s="143">
        <f t="shared" ref="E195:H195" si="25">E194*0.2</f>
        <v>335996.152</v>
      </c>
      <c r="F195" s="143">
        <f t="shared" si="25"/>
        <v>360187.87494400004</v>
      </c>
      <c r="G195" s="143">
        <f t="shared" si="25"/>
        <v>376396.32931647997</v>
      </c>
      <c r="H195" s="143">
        <f t="shared" si="25"/>
        <v>391828.57881845563</v>
      </c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43">
        <f t="shared" ref="X195" si="26">X194*0.2</f>
        <v>411811.83633819688</v>
      </c>
    </row>
    <row r="196" spans="2:24">
      <c r="B196" s="91"/>
      <c r="C196" s="144" t="s">
        <v>151</v>
      </c>
      <c r="D196" s="143">
        <f>D194+D195</f>
        <v>2015976.9119999998</v>
      </c>
      <c r="E196" s="143">
        <f>E194+E195</f>
        <v>2015976.9119999998</v>
      </c>
      <c r="F196" s="143">
        <f t="shared" ref="F196:H196" si="27">F194+F195</f>
        <v>2161127.2496640002</v>
      </c>
      <c r="G196" s="143">
        <f t="shared" si="27"/>
        <v>2258377.9758988796</v>
      </c>
      <c r="H196" s="143">
        <f t="shared" si="27"/>
        <v>2350971.4729107339</v>
      </c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43">
        <f t="shared" ref="X196" si="28">X194+X195</f>
        <v>2470871.0180291813</v>
      </c>
    </row>
    <row r="197" spans="2:24">
      <c r="B197" s="91"/>
      <c r="C197" s="144"/>
      <c r="D197" s="144"/>
      <c r="E197" s="144" t="s">
        <v>260</v>
      </c>
      <c r="F197" s="144" t="s">
        <v>223</v>
      </c>
      <c r="G197" s="144" t="s">
        <v>223</v>
      </c>
      <c r="H197" s="144" t="s">
        <v>223</v>
      </c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44" t="s">
        <v>223</v>
      </c>
    </row>
    <row r="198" spans="2:24">
      <c r="B198" s="91"/>
      <c r="C198" s="134"/>
      <c r="D198" s="134"/>
      <c r="E198" s="144" t="s">
        <v>151</v>
      </c>
      <c r="F198" s="144" t="s">
        <v>151</v>
      </c>
      <c r="G198" s="144" t="s">
        <v>151</v>
      </c>
      <c r="H198" s="144" t="s">
        <v>151</v>
      </c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44" t="s">
        <v>151</v>
      </c>
    </row>
    <row r="199" spans="2:24" hidden="1">
      <c r="C199" s="46"/>
      <c r="D199" s="46"/>
      <c r="E199" s="46"/>
      <c r="F199" s="46"/>
      <c r="G199" s="46"/>
      <c r="H199" s="144" t="s">
        <v>151</v>
      </c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spans="2:24" hidden="1">
      <c r="B200" s="98"/>
      <c r="C200" s="145" t="s">
        <v>241</v>
      </c>
      <c r="D200" s="146"/>
      <c r="E200" s="146"/>
      <c r="F200" s="146"/>
      <c r="G200" s="146"/>
      <c r="H200" s="147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9"/>
    </row>
    <row r="201" spans="2:24" hidden="1">
      <c r="B201" s="96"/>
      <c r="C201" s="150" t="s">
        <v>239</v>
      </c>
      <c r="D201" s="135"/>
      <c r="E201" s="135"/>
      <c r="F201" s="135"/>
      <c r="G201" s="135"/>
      <c r="H201" s="151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52"/>
    </row>
    <row r="202" spans="2:24" ht="32" hidden="1" customHeight="1">
      <c r="B202" s="96"/>
      <c r="C202" s="153"/>
      <c r="D202" s="154"/>
      <c r="E202" s="154"/>
      <c r="F202" s="155" t="s">
        <v>243</v>
      </c>
      <c r="G202" s="138" t="s">
        <v>244</v>
      </c>
      <c r="H202" s="156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52"/>
    </row>
    <row r="203" spans="2:24" ht="31.5" hidden="1">
      <c r="B203" s="96"/>
      <c r="C203" s="140" t="s">
        <v>238</v>
      </c>
      <c r="D203" s="140" t="s">
        <v>240</v>
      </c>
      <c r="E203" s="140" t="s">
        <v>245</v>
      </c>
      <c r="F203" s="140" t="s">
        <v>246</v>
      </c>
      <c r="G203" s="140" t="s">
        <v>249</v>
      </c>
      <c r="H203" s="140" t="s">
        <v>250</v>
      </c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52"/>
    </row>
    <row r="204" spans="2:24" hidden="1">
      <c r="B204" s="96"/>
      <c r="C204" s="141" t="s">
        <v>219</v>
      </c>
      <c r="D204" s="141" t="s">
        <v>160</v>
      </c>
      <c r="E204" s="141" t="s">
        <v>160</v>
      </c>
      <c r="F204" s="141" t="s">
        <v>160</v>
      </c>
      <c r="G204" s="141" t="s">
        <v>160</v>
      </c>
      <c r="H204" s="141" t="s">
        <v>160</v>
      </c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52"/>
    </row>
    <row r="205" spans="2:24" hidden="1">
      <c r="B205" s="96"/>
      <c r="C205" s="157">
        <f>C194</f>
        <v>358956.59</v>
      </c>
      <c r="D205" s="143">
        <f>D194</f>
        <v>1679980.7599999998</v>
      </c>
      <c r="E205" s="143">
        <f>D205*1.045</f>
        <v>1755579.8941999997</v>
      </c>
      <c r="F205" s="143">
        <f>E205*1.041</f>
        <v>1827558.6698621996</v>
      </c>
      <c r="G205" s="143">
        <f>F205*1.051</f>
        <v>1920764.1620251716</v>
      </c>
      <c r="H205" s="143">
        <f>G205*1.043</f>
        <v>2003357.0209922539</v>
      </c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52"/>
    </row>
    <row r="206" spans="2:24" hidden="1">
      <c r="B206" s="96"/>
      <c r="C206" s="158"/>
      <c r="D206" s="143">
        <f>D205*0.2</f>
        <v>335996.152</v>
      </c>
      <c r="E206" s="143">
        <f t="shared" ref="E206:H206" si="29">E205*0.2</f>
        <v>351115.97884</v>
      </c>
      <c r="F206" s="143">
        <f t="shared" si="29"/>
        <v>365511.73397243995</v>
      </c>
      <c r="G206" s="143">
        <f t="shared" si="29"/>
        <v>384152.83240503434</v>
      </c>
      <c r="H206" s="143">
        <f t="shared" si="29"/>
        <v>400671.40419845079</v>
      </c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52"/>
    </row>
    <row r="207" spans="2:24" hidden="1">
      <c r="B207" s="96"/>
      <c r="C207" s="159"/>
      <c r="D207" s="143">
        <f>D205+D206</f>
        <v>2015976.9119999998</v>
      </c>
      <c r="E207" s="143">
        <f>E205+E206</f>
        <v>2106695.87304</v>
      </c>
      <c r="F207" s="143">
        <f t="shared" ref="F207:H207" si="30">F205+F206</f>
        <v>2193070.4038346396</v>
      </c>
      <c r="G207" s="143">
        <f t="shared" si="30"/>
        <v>2304916.9944302058</v>
      </c>
      <c r="H207" s="143">
        <f t="shared" si="30"/>
        <v>2404028.4251907049</v>
      </c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52"/>
    </row>
    <row r="208" spans="2:24" hidden="1">
      <c r="B208" s="96"/>
      <c r="C208" s="160"/>
      <c r="D208" s="134"/>
      <c r="E208" s="134"/>
      <c r="F208" s="134"/>
      <c r="G208" s="134"/>
      <c r="H208" s="161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52"/>
    </row>
    <row r="209" spans="2:24" hidden="1">
      <c r="B209" s="96"/>
      <c r="C209" s="160"/>
      <c r="D209" s="134"/>
      <c r="E209" s="134"/>
      <c r="F209" s="134"/>
      <c r="G209" s="134"/>
      <c r="H209" s="161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52"/>
    </row>
    <row r="210" spans="2:24" hidden="1">
      <c r="B210" s="96"/>
      <c r="C210" s="162" t="s">
        <v>241</v>
      </c>
      <c r="D210" s="133"/>
      <c r="E210" s="133"/>
      <c r="F210" s="133"/>
      <c r="G210" s="133"/>
      <c r="H210" s="163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52"/>
    </row>
    <row r="211" spans="2:24" hidden="1">
      <c r="B211" s="96"/>
      <c r="C211" s="150" t="s">
        <v>239</v>
      </c>
      <c r="D211" s="135"/>
      <c r="E211" s="135"/>
      <c r="F211" s="135"/>
      <c r="G211" s="135"/>
      <c r="H211" s="151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52"/>
    </row>
    <row r="212" spans="2:24" ht="33.5" hidden="1" customHeight="1">
      <c r="B212" s="96"/>
      <c r="C212" s="153"/>
      <c r="D212" s="154"/>
      <c r="E212" s="154"/>
      <c r="F212" s="155" t="s">
        <v>242</v>
      </c>
      <c r="G212" s="138" t="s">
        <v>244</v>
      </c>
      <c r="H212" s="156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52"/>
    </row>
    <row r="213" spans="2:24" ht="31.5" hidden="1">
      <c r="B213" s="96"/>
      <c r="C213" s="140" t="s">
        <v>238</v>
      </c>
      <c r="D213" s="140" t="s">
        <v>240</v>
      </c>
      <c r="E213" s="140" t="s">
        <v>251</v>
      </c>
      <c r="F213" s="140" t="s">
        <v>252</v>
      </c>
      <c r="G213" s="140" t="s">
        <v>247</v>
      </c>
      <c r="H213" s="140" t="s">
        <v>248</v>
      </c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52"/>
    </row>
    <row r="214" spans="2:24" hidden="1">
      <c r="B214" s="96"/>
      <c r="C214" s="141" t="s">
        <v>219</v>
      </c>
      <c r="D214" s="141" t="s">
        <v>160</v>
      </c>
      <c r="E214" s="141" t="s">
        <v>160</v>
      </c>
      <c r="F214" s="141" t="s">
        <v>160</v>
      </c>
      <c r="G214" s="141" t="s">
        <v>160</v>
      </c>
      <c r="H214" s="141" t="s">
        <v>160</v>
      </c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52"/>
    </row>
    <row r="215" spans="2:24" hidden="1">
      <c r="B215" s="96"/>
      <c r="C215" s="157">
        <f>C205</f>
        <v>358956.59</v>
      </c>
      <c r="D215" s="143">
        <f>D205</f>
        <v>1679980.7599999998</v>
      </c>
      <c r="E215" s="143">
        <f>D215*1.073</f>
        <v>1802619.3554799997</v>
      </c>
      <c r="F215" s="143">
        <f>E215*1.069</f>
        <v>1927000.0910081195</v>
      </c>
      <c r="G215" s="143">
        <f>F215*1.065</f>
        <v>2052255.0969236472</v>
      </c>
      <c r="H215" s="143">
        <f>G215*1.067</f>
        <v>2189756.1884175315</v>
      </c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52"/>
    </row>
    <row r="216" spans="2:24" hidden="1">
      <c r="B216" s="96"/>
      <c r="C216" s="158"/>
      <c r="D216" s="143">
        <f>D215*0.2</f>
        <v>335996.152</v>
      </c>
      <c r="E216" s="143">
        <f t="shared" ref="E216:H216" si="31">E215*0.2</f>
        <v>360523.87109599996</v>
      </c>
      <c r="F216" s="143">
        <f t="shared" si="31"/>
        <v>385400.01820162393</v>
      </c>
      <c r="G216" s="143">
        <f t="shared" si="31"/>
        <v>410451.01938472944</v>
      </c>
      <c r="H216" s="143">
        <f t="shared" si="31"/>
        <v>437951.23768350633</v>
      </c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52"/>
    </row>
    <row r="217" spans="2:24" hidden="1">
      <c r="B217" s="96"/>
      <c r="C217" s="159"/>
      <c r="D217" s="143">
        <f>D215+D216</f>
        <v>2015976.9119999998</v>
      </c>
      <c r="E217" s="143">
        <f>E215+E216</f>
        <v>2163143.2265759995</v>
      </c>
      <c r="F217" s="143">
        <f t="shared" ref="F217:H217" si="32">F215+F216</f>
        <v>2312400.1092097433</v>
      </c>
      <c r="G217" s="143">
        <f t="shared" si="32"/>
        <v>2462706.1163083767</v>
      </c>
      <c r="H217" s="143">
        <f t="shared" si="32"/>
        <v>2627707.4261010378</v>
      </c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52"/>
    </row>
    <row r="218" spans="2:24" hidden="1">
      <c r="B218" s="96"/>
      <c r="C218" s="164"/>
      <c r="D218" s="165"/>
      <c r="E218" s="165"/>
      <c r="F218" s="165"/>
      <c r="G218" s="165"/>
      <c r="H218" s="166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52"/>
    </row>
    <row r="219" spans="2:24" hidden="1">
      <c r="B219" s="96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52"/>
    </row>
    <row r="220" spans="2:24" ht="13" hidden="1" thickBot="1">
      <c r="B220" s="9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8"/>
    </row>
    <row r="221" spans="2:24" hidden="1"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</row>
    <row r="222" spans="2:24" hidden="1"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</row>
    <row r="223" spans="2:24"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</row>
  </sheetData>
  <mergeCells count="51">
    <mergeCell ref="C205:C207"/>
    <mergeCell ref="C210:H210"/>
    <mergeCell ref="C211:H211"/>
    <mergeCell ref="G212:H212"/>
    <mergeCell ref="C215:C217"/>
    <mergeCell ref="G202:H202"/>
    <mergeCell ref="B160:C160"/>
    <mergeCell ref="D160:G160"/>
    <mergeCell ref="B161:C161"/>
    <mergeCell ref="D161:G161"/>
    <mergeCell ref="D172:G172"/>
    <mergeCell ref="D183:G183"/>
    <mergeCell ref="C189:H189"/>
    <mergeCell ref="C190:H190"/>
    <mergeCell ref="G191:H191"/>
    <mergeCell ref="C200:H200"/>
    <mergeCell ref="C201:H201"/>
    <mergeCell ref="D159:G159"/>
    <mergeCell ref="A81:H81"/>
    <mergeCell ref="A90:H90"/>
    <mergeCell ref="A99:H99"/>
    <mergeCell ref="A104:H104"/>
    <mergeCell ref="A118:H118"/>
    <mergeCell ref="A121:H121"/>
    <mergeCell ref="A129:H129"/>
    <mergeCell ref="A132:H132"/>
    <mergeCell ref="A134:H134"/>
    <mergeCell ref="A152:H152"/>
    <mergeCell ref="B158:C158"/>
    <mergeCell ref="A77:H77"/>
    <mergeCell ref="C16:G16"/>
    <mergeCell ref="A21:A24"/>
    <mergeCell ref="B21:B24"/>
    <mergeCell ref="C21:C24"/>
    <mergeCell ref="D21:G21"/>
    <mergeCell ref="H21:H24"/>
    <mergeCell ref="D22:D24"/>
    <mergeCell ref="E22:E24"/>
    <mergeCell ref="F22:F24"/>
    <mergeCell ref="G22:G24"/>
    <mergeCell ref="A26:H26"/>
    <mergeCell ref="A30:H30"/>
    <mergeCell ref="A31:H31"/>
    <mergeCell ref="A70:H70"/>
    <mergeCell ref="A73:H73"/>
    <mergeCell ref="C15:G15"/>
    <mergeCell ref="C2:G2"/>
    <mergeCell ref="C3:G3"/>
    <mergeCell ref="C8:G8"/>
    <mergeCell ref="C9:G9"/>
    <mergeCell ref="C13:G13"/>
  </mergeCells>
  <pageMargins left="0.82677165354330717" right="0.23622047244094491" top="1.3779527559055118" bottom="0.19685039370078741" header="0.31496062992125984" footer="0.31496062992125984"/>
  <pageSetup paperSize="9" scale="79" orientation="landscape" r:id="rId1"/>
  <headerFooter alignWithMargins="0"/>
  <rowBreaks count="2" manualBreakCount="2">
    <brk id="122" max="24" man="1"/>
    <brk id="143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главы 2,3,4,6</vt:lpstr>
      <vt:lpstr>'главы 2,3,4,6'!Область_печати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Kopytova_EV</dc:creator>
  <cp:lastModifiedBy>Kopytova_EV</cp:lastModifiedBy>
  <cp:lastPrinted>2019-11-27T07:33:17Z</cp:lastPrinted>
  <dcterms:created xsi:type="dcterms:W3CDTF">2003-01-28T12:33:10Z</dcterms:created>
  <dcterms:modified xsi:type="dcterms:W3CDTF">2019-11-27T11:04:39Z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