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105" windowWidth="19320" windowHeight="10335"/>
  </bookViews>
  <sheets>
    <sheet name="ССР полн" sheetId="14" r:id="rId1"/>
    <sheet name="ССР полн баз" sheetId="15" r:id="rId2"/>
    <sheet name="ОСтек" sheetId="16" r:id="rId3"/>
    <sheet name="ОСбаз" sheetId="17" r:id="rId4"/>
  </sheets>
  <definedNames>
    <definedName name="_xlnm.Print_Area" localSheetId="3">ОСбаз!$A$1:$J$47</definedName>
    <definedName name="_xlnm.Print_Area" localSheetId="2">ОСтек!$A$1:$J$49</definedName>
  </definedNames>
  <calcPr calcId="144525"/>
</workbook>
</file>

<file path=xl/calcChain.xml><?xml version="1.0" encoding="utf-8"?>
<calcChain xmlns="http://schemas.openxmlformats.org/spreadsheetml/2006/main">
  <c r="E61" i="14" l="1"/>
  <c r="F61" i="14"/>
  <c r="G61" i="14"/>
  <c r="H61" i="14"/>
  <c r="I61" i="14"/>
  <c r="J61" i="14"/>
  <c r="K61" i="14"/>
  <c r="L61" i="14"/>
  <c r="M61" i="14"/>
  <c r="D61" i="14"/>
  <c r="E59" i="14"/>
  <c r="F59" i="14"/>
  <c r="G59" i="14"/>
  <c r="H59" i="14"/>
  <c r="D59" i="14"/>
  <c r="E60" i="15" l="1"/>
  <c r="F60" i="15"/>
  <c r="G60" i="15"/>
  <c r="H60" i="15"/>
  <c r="D60" i="15"/>
  <c r="E58" i="15"/>
  <c r="F58" i="15"/>
  <c r="G58" i="15"/>
  <c r="H58" i="15"/>
  <c r="I58" i="15"/>
  <c r="J58" i="15"/>
  <c r="K58" i="15"/>
  <c r="L58" i="15"/>
  <c r="M58" i="15"/>
  <c r="D58" i="15"/>
  <c r="D22" i="17" l="1"/>
  <c r="I22" i="17"/>
  <c r="D23" i="17"/>
  <c r="H23" i="17" s="1"/>
  <c r="I23" i="17"/>
  <c r="D24" i="17"/>
  <c r="H24" i="17" s="1"/>
  <c r="I24" i="17"/>
  <c r="E25" i="17"/>
  <c r="F25" i="17"/>
  <c r="I25" i="17"/>
  <c r="D26" i="17"/>
  <c r="E26" i="17"/>
  <c r="I26" i="17"/>
  <c r="D27" i="17"/>
  <c r="E27" i="17"/>
  <c r="F27" i="17"/>
  <c r="I27" i="17"/>
  <c r="D28" i="17"/>
  <c r="E28" i="17"/>
  <c r="F28" i="17"/>
  <c r="I28" i="17"/>
  <c r="D29" i="17"/>
  <c r="E29" i="17"/>
  <c r="F29" i="17"/>
  <c r="I29" i="17"/>
  <c r="D30" i="17"/>
  <c r="E30" i="17"/>
  <c r="F30" i="17"/>
  <c r="I30" i="17"/>
  <c r="D31" i="17"/>
  <c r="E31" i="17"/>
  <c r="F31" i="17"/>
  <c r="H31" i="17" s="1"/>
  <c r="I31" i="17"/>
  <c r="D32" i="17"/>
  <c r="E32" i="17"/>
  <c r="F32" i="17"/>
  <c r="I32" i="17"/>
  <c r="D33" i="17"/>
  <c r="E33" i="17"/>
  <c r="F33" i="17"/>
  <c r="I33" i="17"/>
  <c r="D34" i="17"/>
  <c r="E34" i="17"/>
  <c r="F34" i="17"/>
  <c r="I34" i="17"/>
  <c r="E35" i="17"/>
  <c r="F35" i="17"/>
  <c r="I35" i="17"/>
  <c r="D36" i="17"/>
  <c r="E36" i="17"/>
  <c r="F36" i="17"/>
  <c r="I36" i="17"/>
  <c r="D37" i="17"/>
  <c r="E37" i="17"/>
  <c r="F37" i="17"/>
  <c r="I37" i="17"/>
  <c r="D38" i="17"/>
  <c r="E38" i="17"/>
  <c r="F38" i="17"/>
  <c r="I38" i="17"/>
  <c r="G39" i="17"/>
  <c r="G34" i="15" s="1"/>
  <c r="G35" i="15" s="1"/>
  <c r="D22" i="16"/>
  <c r="H22" i="16" s="1"/>
  <c r="I22" i="16"/>
  <c r="D23" i="16"/>
  <c r="H23" i="16" s="1"/>
  <c r="I23" i="16"/>
  <c r="D24" i="16"/>
  <c r="H24" i="16" s="1"/>
  <c r="I24" i="16"/>
  <c r="E25" i="16"/>
  <c r="F25" i="16"/>
  <c r="I25" i="16"/>
  <c r="D26" i="16"/>
  <c r="H26" i="16" s="1"/>
  <c r="E26" i="16"/>
  <c r="I26" i="16"/>
  <c r="D27" i="16"/>
  <c r="E27" i="16"/>
  <c r="F27" i="16"/>
  <c r="I27" i="16"/>
  <c r="D28" i="16"/>
  <c r="E28" i="16"/>
  <c r="F28" i="16"/>
  <c r="I28" i="16"/>
  <c r="D29" i="16"/>
  <c r="E29" i="16"/>
  <c r="F29" i="16"/>
  <c r="I29" i="16"/>
  <c r="D30" i="16"/>
  <c r="E30" i="16"/>
  <c r="F30" i="16"/>
  <c r="I30" i="16"/>
  <c r="D31" i="16"/>
  <c r="E31" i="16"/>
  <c r="F31" i="16"/>
  <c r="I31" i="16"/>
  <c r="D32" i="16"/>
  <c r="E32" i="16"/>
  <c r="F32" i="16"/>
  <c r="I32" i="16"/>
  <c r="D33" i="16"/>
  <c r="E33" i="16"/>
  <c r="F33" i="16"/>
  <c r="I33" i="16"/>
  <c r="D34" i="16"/>
  <c r="E34" i="16"/>
  <c r="F34" i="16"/>
  <c r="I34" i="16"/>
  <c r="E35" i="16"/>
  <c r="F35" i="16"/>
  <c r="I35" i="16"/>
  <c r="D36" i="16"/>
  <c r="E36" i="16"/>
  <c r="F36" i="16"/>
  <c r="I36" i="16"/>
  <c r="D37" i="16"/>
  <c r="E37" i="16"/>
  <c r="F37" i="16"/>
  <c r="I37" i="16"/>
  <c r="D38" i="16"/>
  <c r="E38" i="16"/>
  <c r="F38" i="16"/>
  <c r="I38" i="16"/>
  <c r="G39" i="16"/>
  <c r="D27" i="15"/>
  <c r="D28" i="15"/>
  <c r="E28" i="15"/>
  <c r="E32" i="15" s="1"/>
  <c r="D29" i="15"/>
  <c r="H29" i="15" s="1"/>
  <c r="D30" i="15"/>
  <c r="H30" i="15" s="1"/>
  <c r="I30" i="15" s="1"/>
  <c r="G31" i="15"/>
  <c r="H31" i="15" s="1"/>
  <c r="F32" i="15"/>
  <c r="D37" i="15"/>
  <c r="E37" i="15"/>
  <c r="E39" i="15" s="1"/>
  <c r="D38" i="15"/>
  <c r="H38" i="15" s="1"/>
  <c r="I37" i="15" s="1"/>
  <c r="F39" i="15"/>
  <c r="G39" i="15"/>
  <c r="D41" i="15"/>
  <c r="H41" i="15" s="1"/>
  <c r="I40" i="15" s="1"/>
  <c r="I41" i="15"/>
  <c r="D42" i="15"/>
  <c r="E42" i="15"/>
  <c r="E43" i="15" s="1"/>
  <c r="F43" i="15"/>
  <c r="D45" i="15"/>
  <c r="E45" i="15"/>
  <c r="E46" i="15" s="1"/>
  <c r="F45" i="15"/>
  <c r="F46" i="15" s="1"/>
  <c r="G46" i="15"/>
  <c r="F55" i="15"/>
  <c r="F65" i="15"/>
  <c r="S65" i="15" s="1"/>
  <c r="M45" i="15" s="1"/>
  <c r="F66" i="15"/>
  <c r="S66" i="15" s="1"/>
  <c r="F67" i="15"/>
  <c r="S67" i="15" s="1"/>
  <c r="J45" i="15" s="1"/>
  <c r="F68" i="15"/>
  <c r="S68" i="15" s="1"/>
  <c r="D27" i="14"/>
  <c r="H27" i="14" s="1"/>
  <c r="H28" i="14"/>
  <c r="I28" i="14" s="1"/>
  <c r="D29" i="14"/>
  <c r="H29" i="14" s="1"/>
  <c r="H30" i="14"/>
  <c r="I30" i="14" s="1"/>
  <c r="G31" i="14"/>
  <c r="H31" i="14" s="1"/>
  <c r="E32" i="14"/>
  <c r="F32" i="14"/>
  <c r="G34" i="14"/>
  <c r="G35" i="14" s="1"/>
  <c r="D37" i="14"/>
  <c r="E37" i="14"/>
  <c r="D38" i="14"/>
  <c r="E38" i="14"/>
  <c r="F39" i="14"/>
  <c r="G39" i="14"/>
  <c r="D41" i="14"/>
  <c r="H41" i="14" s="1"/>
  <c r="I40" i="14" s="1"/>
  <c r="I41" i="14"/>
  <c r="D42" i="14"/>
  <c r="E42" i="14"/>
  <c r="E43" i="14" s="1"/>
  <c r="F43" i="14"/>
  <c r="D45" i="14"/>
  <c r="D46" i="14" s="1"/>
  <c r="E45" i="14"/>
  <c r="E46" i="14" s="1"/>
  <c r="F45" i="14"/>
  <c r="F46" i="14" s="1"/>
  <c r="G46" i="14"/>
  <c r="F56" i="14"/>
  <c r="F67" i="14"/>
  <c r="S67" i="14" s="1"/>
  <c r="F68" i="14"/>
  <c r="S68" i="14" s="1"/>
  <c r="F69" i="14"/>
  <c r="S69" i="14" s="1"/>
  <c r="F70" i="14"/>
  <c r="S70" i="14" s="1"/>
  <c r="M77" i="14"/>
  <c r="H35" i="16" l="1"/>
  <c r="H34" i="16"/>
  <c r="H33" i="16"/>
  <c r="H32" i="16"/>
  <c r="H31" i="16"/>
  <c r="H30" i="16"/>
  <c r="H29" i="16"/>
  <c r="H28" i="16"/>
  <c r="H27" i="16"/>
  <c r="H25" i="16"/>
  <c r="H28" i="17"/>
  <c r="H27" i="17"/>
  <c r="H42" i="14"/>
  <c r="H37" i="14"/>
  <c r="I36" i="14" s="1"/>
  <c r="D32" i="14"/>
  <c r="H46" i="14"/>
  <c r="E39" i="14"/>
  <c r="H45" i="14"/>
  <c r="I44" i="14" s="1"/>
  <c r="D39" i="14"/>
  <c r="D43" i="14"/>
  <c r="H43" i="14" s="1"/>
  <c r="H42" i="15"/>
  <c r="H37" i="15"/>
  <c r="I36" i="15" s="1"/>
  <c r="I42" i="15" s="1"/>
  <c r="D32" i="15"/>
  <c r="H45" i="15"/>
  <c r="I44" i="15" s="1"/>
  <c r="D43" i="15"/>
  <c r="H43" i="15" s="1"/>
  <c r="H28" i="15"/>
  <c r="I28" i="15" s="1"/>
  <c r="F39" i="16"/>
  <c r="F34" i="14" s="1"/>
  <c r="F35" i="14" s="1"/>
  <c r="F47" i="14" s="1"/>
  <c r="I39" i="16"/>
  <c r="D12" i="16" s="1"/>
  <c r="H36" i="16"/>
  <c r="E39" i="16"/>
  <c r="E34" i="14" s="1"/>
  <c r="E35" i="14" s="1"/>
  <c r="H38" i="16"/>
  <c r="H37" i="16"/>
  <c r="D39" i="17"/>
  <c r="D34" i="15" s="1"/>
  <c r="D35" i="15" s="1"/>
  <c r="H37" i="17"/>
  <c r="H33" i="17"/>
  <c r="E39" i="17"/>
  <c r="E34" i="15" s="1"/>
  <c r="E35" i="15" s="1"/>
  <c r="E47" i="15" s="1"/>
  <c r="I39" i="17"/>
  <c r="D12" i="17" s="1"/>
  <c r="F39" i="17"/>
  <c r="F34" i="15" s="1"/>
  <c r="H22" i="17"/>
  <c r="H36" i="17"/>
  <c r="H30" i="17"/>
  <c r="H26" i="17"/>
  <c r="H38" i="17"/>
  <c r="H35" i="17"/>
  <c r="H34" i="17"/>
  <c r="H32" i="17"/>
  <c r="H29" i="17"/>
  <c r="H25" i="17"/>
  <c r="H32" i="14"/>
  <c r="I27" i="14"/>
  <c r="I32" i="14" s="1"/>
  <c r="D46" i="15"/>
  <c r="H46" i="15" s="1"/>
  <c r="D39" i="15"/>
  <c r="H39" i="15" s="1"/>
  <c r="G32" i="15"/>
  <c r="G47" i="15" s="1"/>
  <c r="G51" i="15" s="1"/>
  <c r="H27" i="15"/>
  <c r="D39" i="16"/>
  <c r="D34" i="14" s="1"/>
  <c r="H38" i="14"/>
  <c r="I37" i="14" s="1"/>
  <c r="G32" i="14"/>
  <c r="G47" i="14" s="1"/>
  <c r="I42" i="14" l="1"/>
  <c r="I46" i="14" s="1"/>
  <c r="E47" i="14"/>
  <c r="E48" i="14" s="1"/>
  <c r="E50" i="14" s="1"/>
  <c r="E51" i="14" s="1"/>
  <c r="E52" i="14" s="1"/>
  <c r="E54" i="14" s="1"/>
  <c r="E56" i="14" s="1"/>
  <c r="E57" i="14" s="1"/>
  <c r="H39" i="14"/>
  <c r="F52" i="14"/>
  <c r="F57" i="14" s="1"/>
  <c r="F48" i="14"/>
  <c r="G52" i="14"/>
  <c r="G48" i="14"/>
  <c r="H39" i="16"/>
  <c r="D11" i="16" s="1"/>
  <c r="H39" i="17"/>
  <c r="D11" i="17" s="1"/>
  <c r="H34" i="15"/>
  <c r="F35" i="15"/>
  <c r="F47" i="15" s="1"/>
  <c r="F51" i="15" s="1"/>
  <c r="F56" i="15" s="1"/>
  <c r="I27" i="15"/>
  <c r="I32" i="15" s="1"/>
  <c r="I46" i="15" s="1"/>
  <c r="H32" i="15"/>
  <c r="E49" i="15"/>
  <c r="E50" i="15" s="1"/>
  <c r="E51" i="15" s="1"/>
  <c r="D35" i="14"/>
  <c r="H34" i="14"/>
  <c r="D47" i="15"/>
  <c r="D67" i="15" l="1"/>
  <c r="H35" i="15"/>
  <c r="G54" i="15"/>
  <c r="E53" i="15"/>
  <c r="E55" i="15" s="1"/>
  <c r="E56" i="15" s="1"/>
  <c r="H47" i="15"/>
  <c r="D49" i="15"/>
  <c r="D47" i="14"/>
  <c r="H35" i="14"/>
  <c r="D48" i="14" l="1"/>
  <c r="D70" i="14"/>
  <c r="Q70" i="14" s="1"/>
  <c r="D50" i="14"/>
  <c r="H48" i="14"/>
  <c r="F59" i="15"/>
  <c r="E60" i="14"/>
  <c r="H54" i="15"/>
  <c r="G55" i="14"/>
  <c r="J54" i="15"/>
  <c r="H47" i="14"/>
  <c r="D50" i="15"/>
  <c r="H49" i="15"/>
  <c r="Q67" i="15"/>
  <c r="D69" i="14"/>
  <c r="E84" i="14" l="1"/>
  <c r="F60" i="14"/>
  <c r="F83" i="14" s="1"/>
  <c r="E82" i="14"/>
  <c r="E63" i="14"/>
  <c r="D68" i="15"/>
  <c r="Q68" i="15" s="1"/>
  <c r="E59" i="15"/>
  <c r="D51" i="14"/>
  <c r="D52" i="14" s="1"/>
  <c r="H52" i="14" s="1"/>
  <c r="H50" i="14"/>
  <c r="H55" i="14"/>
  <c r="Q69" i="14"/>
  <c r="H50" i="15"/>
  <c r="D51" i="15"/>
  <c r="E83" i="14" l="1"/>
  <c r="E85" i="14"/>
  <c r="E86" i="14" s="1"/>
  <c r="F82" i="14"/>
  <c r="F85" i="14"/>
  <c r="F86" i="14" s="1"/>
  <c r="F63" i="14"/>
  <c r="F84" i="14"/>
  <c r="D53" i="15"/>
  <c r="H51" i="15"/>
  <c r="H51" i="14"/>
  <c r="E87" i="14" l="1"/>
  <c r="F87" i="14"/>
  <c r="D54" i="14"/>
  <c r="D55" i="15"/>
  <c r="H53" i="15"/>
  <c r="G55" i="15"/>
  <c r="G56" i="15" s="1"/>
  <c r="D56" i="14" l="1"/>
  <c r="H54" i="14"/>
  <c r="G56" i="14"/>
  <c r="G57" i="14" s="1"/>
  <c r="H55" i="15"/>
  <c r="D56" i="15"/>
  <c r="H56" i="14" l="1"/>
  <c r="D57" i="14"/>
  <c r="H56" i="15"/>
  <c r="H57" i="14" l="1"/>
  <c r="D60" i="14" l="1"/>
  <c r="J57" i="15"/>
  <c r="D65" i="15" s="1"/>
  <c r="J58" i="14" l="1"/>
  <c r="D68" i="14" s="1"/>
  <c r="D59" i="15"/>
  <c r="E67" i="15"/>
  <c r="E69" i="14"/>
  <c r="D67" i="14"/>
  <c r="Q65" i="15"/>
  <c r="Q67" i="14" l="1"/>
  <c r="R67" i="15"/>
  <c r="H67" i="15"/>
  <c r="D66" i="15"/>
  <c r="Q68" i="14"/>
  <c r="R69" i="14"/>
  <c r="H69" i="14"/>
  <c r="Q66" i="15" l="1"/>
  <c r="D85" i="14"/>
  <c r="D86" i="14" s="1"/>
  <c r="D69" i="15"/>
  <c r="D63" i="15"/>
  <c r="D82" i="14" l="1"/>
  <c r="D84" i="14"/>
  <c r="D63" i="14"/>
  <c r="D83" i="14"/>
  <c r="G59" i="15"/>
  <c r="D72" i="14"/>
  <c r="D66" i="14"/>
  <c r="D71" i="14"/>
  <c r="Q69" i="15"/>
  <c r="D76" i="15"/>
  <c r="Q63" i="15"/>
  <c r="D65" i="14"/>
  <c r="D87" i="14" l="1"/>
  <c r="Q65" i="14"/>
  <c r="G60" i="14"/>
  <c r="H59" i="15"/>
  <c r="D71" i="15" s="1"/>
  <c r="D6" i="15"/>
  <c r="D64" i="15"/>
  <c r="Q66" i="14"/>
  <c r="Q71" i="14"/>
  <c r="D78" i="14"/>
  <c r="D70" i="15"/>
  <c r="Q72" i="14"/>
  <c r="D79" i="14"/>
  <c r="Q70" i="15" l="1"/>
  <c r="D77" i="15"/>
  <c r="Q71" i="15"/>
  <c r="D73" i="14"/>
  <c r="Q64" i="15"/>
  <c r="D73" i="15"/>
  <c r="H60" i="14"/>
  <c r="D74" i="14" s="1"/>
  <c r="G85" i="14"/>
  <c r="G86" i="14" s="1"/>
  <c r="G82" i="14" l="1"/>
  <c r="G84" i="14"/>
  <c r="G83" i="14"/>
  <c r="G63" i="14"/>
  <c r="E68" i="15"/>
  <c r="E70" i="14"/>
  <c r="D75" i="14"/>
  <c r="Q73" i="15"/>
  <c r="D79" i="15"/>
  <c r="D72" i="15"/>
  <c r="Q74" i="14"/>
  <c r="Q73" i="14"/>
  <c r="G87" i="14" l="1"/>
  <c r="H85" i="14"/>
  <c r="H82" i="14"/>
  <c r="H84" i="14"/>
  <c r="H63" i="14"/>
  <c r="H83" i="14"/>
  <c r="D76" i="14"/>
  <c r="D74" i="15" s="1"/>
  <c r="Q75" i="14"/>
  <c r="D81" i="14"/>
  <c r="R68" i="15"/>
  <c r="H68" i="15"/>
  <c r="R70" i="14"/>
  <c r="H70" i="14"/>
  <c r="Q72" i="15"/>
  <c r="H86" i="14" l="1"/>
  <c r="H87" i="14" s="1"/>
  <c r="D6" i="14" s="1"/>
  <c r="I6" i="14" s="1"/>
  <c r="Q76" i="14"/>
  <c r="Q74" i="15"/>
  <c r="D80" i="15"/>
  <c r="H88" i="14" l="1"/>
  <c r="F65" i="14"/>
  <c r="S65" i="14" s="1"/>
  <c r="F63" i="15"/>
  <c r="S63" i="15" s="1"/>
  <c r="F69" i="15"/>
  <c r="F71" i="14"/>
  <c r="S69" i="15" l="1"/>
  <c r="F76" i="15"/>
  <c r="S71" i="14"/>
  <c r="F78" i="14"/>
  <c r="E65" i="15" l="1"/>
  <c r="E67" i="14"/>
  <c r="R65" i="15" l="1"/>
  <c r="S28" i="17" s="1"/>
  <c r="H65" i="15"/>
  <c r="F73" i="14"/>
  <c r="S73" i="14" s="1"/>
  <c r="F71" i="15"/>
  <c r="S71" i="15" s="1"/>
  <c r="R67" i="14"/>
  <c r="H67" i="14"/>
  <c r="F73" i="15" l="1"/>
  <c r="F75" i="14"/>
  <c r="S73" i="15" l="1"/>
  <c r="F79" i="15"/>
  <c r="F81" i="14"/>
  <c r="S75" i="14"/>
  <c r="E63" i="15" l="1"/>
  <c r="E65" i="14"/>
  <c r="E69" i="15"/>
  <c r="E71" i="14"/>
  <c r="R69" i="15" l="1"/>
  <c r="H69" i="15"/>
  <c r="E76" i="15"/>
  <c r="R71" i="14"/>
  <c r="H71" i="14"/>
  <c r="E78" i="14"/>
  <c r="R63" i="15"/>
  <c r="H63" i="15"/>
  <c r="R65" i="14"/>
  <c r="H65" i="14"/>
  <c r="E71" i="15" l="1"/>
  <c r="E73" i="14"/>
  <c r="F70" i="15"/>
  <c r="F72" i="14"/>
  <c r="F64" i="15"/>
  <c r="S64" i="15" s="1"/>
  <c r="F66" i="14"/>
  <c r="S66" i="14" s="1"/>
  <c r="E68" i="14"/>
  <c r="E66" i="15"/>
  <c r="R66" i="15" l="1"/>
  <c r="H66" i="15"/>
  <c r="S72" i="14"/>
  <c r="F79" i="14"/>
  <c r="R71" i="15"/>
  <c r="H71" i="15"/>
  <c r="R73" i="14"/>
  <c r="H73" i="14"/>
  <c r="E73" i="15"/>
  <c r="E75" i="14"/>
  <c r="R68" i="14"/>
  <c r="H68" i="14"/>
  <c r="F77" i="15"/>
  <c r="S70" i="15"/>
  <c r="E72" i="14" l="1"/>
  <c r="E70" i="15"/>
  <c r="F74" i="15"/>
  <c r="F76" i="14"/>
  <c r="E64" i="15"/>
  <c r="E66" i="14"/>
  <c r="R73" i="15"/>
  <c r="E79" i="15"/>
  <c r="H73" i="15"/>
  <c r="F72" i="15"/>
  <c r="S72" i="15" s="1"/>
  <c r="F74" i="14"/>
  <c r="S74" i="14" s="1"/>
  <c r="E81" i="14"/>
  <c r="R75" i="14"/>
  <c r="H75" i="14"/>
  <c r="S76" i="14" l="1"/>
  <c r="R72" i="14"/>
  <c r="H72" i="14"/>
  <c r="E79" i="14"/>
  <c r="R64" i="15"/>
  <c r="H64" i="15"/>
  <c r="R70" i="15"/>
  <c r="H70" i="15"/>
  <c r="E77" i="15"/>
  <c r="R66" i="14"/>
  <c r="H66" i="14"/>
  <c r="S74" i="15"/>
  <c r="F80" i="15"/>
  <c r="E72" i="15" l="1"/>
  <c r="E74" i="14"/>
  <c r="O15" i="16" l="1"/>
  <c r="O16" i="16" s="1"/>
  <c r="T19" i="17" s="1"/>
  <c r="R72" i="15"/>
  <c r="H72" i="15"/>
  <c r="R74" i="14"/>
  <c r="H74" i="14"/>
  <c r="K38" i="17"/>
  <c r="K38" i="16"/>
  <c r="E76" i="14" l="1"/>
  <c r="E74" i="15"/>
  <c r="R76" i="14" l="1"/>
  <c r="N77" i="14"/>
  <c r="H76" i="14"/>
  <c r="R74" i="15"/>
  <c r="E80" i="15"/>
  <c r="H74" i="15"/>
</calcChain>
</file>

<file path=xl/comments1.xml><?xml version="1.0" encoding="utf-8"?>
<comments xmlns="http://schemas.openxmlformats.org/spreadsheetml/2006/main">
  <authors>
    <author>Алексей</author>
    <author>nsavkin</author>
    <author>Alex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&lt;Всего по расчету(руб./тыс.руб.)&gt;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101 значение&gt;</t>
        </r>
      </text>
    </comment>
    <comment ref="C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H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</commentList>
</comments>
</file>

<file path=xl/comments2.xml><?xml version="1.0" encoding="utf-8"?>
<comments xmlns="http://schemas.openxmlformats.org/spreadsheetml/2006/main">
  <authors>
    <author>Алексей</author>
    <author>nsavkin</author>
    <author>Alex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&lt;Всего по расчету(руб./тыс.руб.)&gt;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101 значение&gt;</t>
        </r>
      </text>
    </comment>
    <comment ref="C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H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</commentList>
</comments>
</file>

<file path=xl/sharedStrings.xml><?xml version="1.0" encoding="utf-8"?>
<sst xmlns="http://schemas.openxmlformats.org/spreadsheetml/2006/main" count="347" uniqueCount="161">
  <si>
    <t>Наименование работ и затрат</t>
  </si>
  <si>
    <t>Итого "Налоги и обязательные платежи"</t>
  </si>
  <si>
    <t/>
  </si>
  <si>
    <t>Итого по Главам 1-9</t>
  </si>
  <si>
    <t>Итого по Главе 9. "Прочие работы и затраты"</t>
  </si>
  <si>
    <t>Пусконаладочные работы 2% от монтажных работ по итогу глав 1-8</t>
  </si>
  <si>
    <t>ПЦСН-2014 МО</t>
  </si>
  <si>
    <t>Производство работ в зимнее время - 1,5%</t>
  </si>
  <si>
    <t>ГСН 81-05-02-2001 табл. 2 разд. 1  III температурная зона</t>
  </si>
  <si>
    <t>Глава 9. Прочие работы и затраты</t>
  </si>
  <si>
    <t>Итого по Главам 1-8</t>
  </si>
  <si>
    <t>Итого по Главе 8. "Временные здания и сооружения"</t>
  </si>
  <si>
    <t>Временные здания и сооружения - 1,8%</t>
  </si>
  <si>
    <t>ГСН 81-05-01-2001 п.1.2</t>
  </si>
  <si>
    <t>Глава 8. Временные здания и сооружения</t>
  </si>
  <si>
    <t>Итого по Главам 1-7</t>
  </si>
  <si>
    <t>Итого по Главе 7. "Благоустройство и озеленение территории"</t>
  </si>
  <si>
    <t>Схема планировочной организации земельного участка (ПЗУ), без ограждений</t>
  </si>
  <si>
    <t>07-01-01</t>
  </si>
  <si>
    <t>Глава 7. Благоустройство и озеленение территории</t>
  </si>
  <si>
    <t>Итого по Главе 6. "Наружные сети и сооружения водоснабжения, водоотведения, теплоснабжения и газоснабжения"</t>
  </si>
  <si>
    <t>Тепловые сети</t>
  </si>
  <si>
    <t>Наружные сети водоснабжения и канализации, в т.ч. Ливневая канализация</t>
  </si>
  <si>
    <t>06-01-01</t>
  </si>
  <si>
    <t>Глава 6. Наружные сети и сооружения водоснабжения, водоотведения, теплоснабжения и газоснабжения</t>
  </si>
  <si>
    <t>Итого по Главе 4. "Объекты энергетического хозяйства"</t>
  </si>
  <si>
    <t>Наружное структурированные кабельные сети</t>
  </si>
  <si>
    <t>04-01-02</t>
  </si>
  <si>
    <t>Наружное электроснабжение и электроосвещение</t>
  </si>
  <si>
    <t>04-01-01</t>
  </si>
  <si>
    <t>Глава 4. Объекты энергетического хозяйства</t>
  </si>
  <si>
    <t>Итого по Главе 2. "Основные объекты строительства"</t>
  </si>
  <si>
    <t>Здание школы</t>
  </si>
  <si>
    <t>02-01</t>
  </si>
  <si>
    <t>Глава 2. Основные объекты строительства</t>
  </si>
  <si>
    <t>Итого по Главе 1. "Подготовка территории строительства"</t>
  </si>
  <si>
    <t>Демонтаж В1.Наружные сети водоснабжения</t>
  </si>
  <si>
    <t>01-01-04</t>
  </si>
  <si>
    <t>Демонтаж. Наружные сети теплоснабжения</t>
  </si>
  <si>
    <t>01-01-03</t>
  </si>
  <si>
    <t>Перенос существующих кабелей 0,4 кВ</t>
  </si>
  <si>
    <t>01-01-02</t>
  </si>
  <si>
    <t>Подготовительные работы (ПЗУ)</t>
  </si>
  <si>
    <t>01-01-01</t>
  </si>
  <si>
    <t>Глава 1. Подготовка территории строительства</t>
  </si>
  <si>
    <t>прочих</t>
  </si>
  <si>
    <t>оборудования, мебели, инвентаря</t>
  </si>
  <si>
    <t>монтажных работ</t>
  </si>
  <si>
    <t>строительных работ</t>
  </si>
  <si>
    <t>Общая сметная стоимость</t>
  </si>
  <si>
    <t>Наименование глав, объектов, работ и затрат</t>
  </si>
  <si>
    <t>Номера сметных расчетов и смет</t>
  </si>
  <si>
    <t>№ пп</t>
  </si>
  <si>
    <t>(наименование стройки)</t>
  </si>
  <si>
    <t>СВОДНЫЙ СМЕТНЫЙ РАСЧЕТ СТОИМОСТИ СТРОИТЕЛЬСТВА</t>
  </si>
  <si>
    <t>(ссылка на документ об утверждении)</t>
  </si>
  <si>
    <t xml:space="preserve">В том числе возвратных сумм </t>
  </si>
  <si>
    <t>тыс. руб</t>
  </si>
  <si>
    <t>Сводный сметный расчет в сумме .</t>
  </si>
  <si>
    <t>(наименование организации)</t>
  </si>
  <si>
    <t xml:space="preserve">Заказчик </t>
  </si>
  <si>
    <t>Форма № 1</t>
  </si>
  <si>
    <t>Налоги и обязательные платежи</t>
  </si>
  <si>
    <t>Всего по сводному расчету</t>
  </si>
  <si>
    <t>"Утвержден" «    »________________2016 г.</t>
  </si>
  <si>
    <t>Компесационные затраты за вырубку деревьев</t>
  </si>
  <si>
    <t>Письмо №1724-вх/о от 18.05.2016г.</t>
  </si>
  <si>
    <t>в том числе НДС:</t>
  </si>
  <si>
    <t>т</t>
  </si>
  <si>
    <t>б</t>
  </si>
  <si>
    <t>Всего с НДС, тыс.руб.</t>
  </si>
  <si>
    <t>Кроме того НДС (без ПИР), тыс.руб.</t>
  </si>
  <si>
    <t>Прочие затраты, тыс.руб.</t>
  </si>
  <si>
    <t>Оборудование, тыс.руб.</t>
  </si>
  <si>
    <t>Строительно-монтажные работы, тыс.руб.</t>
  </si>
  <si>
    <t>Общая стоимость, тыс.руб.</t>
  </si>
  <si>
    <t>наружка</t>
  </si>
  <si>
    <t>коробка</t>
  </si>
  <si>
    <t>Общая</t>
  </si>
  <si>
    <t>МДС 81-35.2004 п.4.100</t>
  </si>
  <si>
    <t>06-01-02</t>
  </si>
  <si>
    <t xml:space="preserve">Наружное электроснабжение. </t>
  </si>
  <si>
    <t>Составлена в ценах по состоянию на 2001</t>
  </si>
  <si>
    <t>Итого "Локальные сметные расчеты"</t>
  </si>
  <si>
    <t>Система оповещения и управления эвакуацией. (СОУЭ)</t>
  </si>
  <si>
    <t>02-01-17</t>
  </si>
  <si>
    <t>Автоматическая пожарная сигнализация (АПС)</t>
  </si>
  <si>
    <t>02-01-16</t>
  </si>
  <si>
    <t>Система диспетчеризации лифтов (СДЛ)</t>
  </si>
  <si>
    <t>02-01-15</t>
  </si>
  <si>
    <t xml:space="preserve"> Вертикальный транспорт,</t>
  </si>
  <si>
    <t>02-01-14</t>
  </si>
  <si>
    <t>Система охранной сигнализации (СОС), охранного телевидения (СОВ)</t>
  </si>
  <si>
    <t>02-01-12</t>
  </si>
  <si>
    <t>Автоматизация комплексная. Диспетчеризация</t>
  </si>
  <si>
    <t>02-01-11</t>
  </si>
  <si>
    <t>Сети связи. СКС. ТВ. РТ. Ч.</t>
  </si>
  <si>
    <t>02-01-10</t>
  </si>
  <si>
    <t>Индивидуальный тепловой пункт (ИТП)</t>
  </si>
  <si>
    <t>02-01-09</t>
  </si>
  <si>
    <t>Вентиляция и кондиционирование. (ОВ2)</t>
  </si>
  <si>
    <t>02-01-08</t>
  </si>
  <si>
    <t>Отопление (ОВ1)</t>
  </si>
  <si>
    <t>02-01-07</t>
  </si>
  <si>
    <t xml:space="preserve">Канализация (ВК2) </t>
  </si>
  <si>
    <t>02-01-06</t>
  </si>
  <si>
    <t xml:space="preserve">Водоснабжение (ВК1) </t>
  </si>
  <si>
    <t>02-01-05</t>
  </si>
  <si>
    <t>Электроосвещение (ЭО)</t>
  </si>
  <si>
    <t>02-01-04</t>
  </si>
  <si>
    <t>Электрооборудование (ЭМ)</t>
  </si>
  <si>
    <t>02-01-03</t>
  </si>
  <si>
    <t>Архитектурные решения (АР) АБК</t>
  </si>
  <si>
    <t>02-01-02</t>
  </si>
  <si>
    <t>КР блоки 2,4</t>
  </si>
  <si>
    <t>02-01-01.2</t>
  </si>
  <si>
    <t>КР блоки 1,3</t>
  </si>
  <si>
    <t>02-01-01.1</t>
  </si>
  <si>
    <t>Локальные сметные расчеты</t>
  </si>
  <si>
    <t>Было:</t>
  </si>
  <si>
    <t>всего</t>
  </si>
  <si>
    <t>оборудова-
ния, мебели, инвентаря</t>
  </si>
  <si>
    <t>Показатели единичной стоимости</t>
  </si>
  <si>
    <t>Средства на оплату труда, тыс. руб.</t>
  </si>
  <si>
    <t>Сметная стоимость, тыс. руб.</t>
  </si>
  <si>
    <t>Номера сметных расчетов (смет)</t>
  </si>
  <si>
    <t>Коробка тек</t>
  </si>
  <si>
    <t>Составлен(а) в ценах по состоянию на март 2016 г.</t>
  </si>
  <si>
    <t>Расчетный измеритель единичной стоимости</t>
  </si>
  <si>
    <t>тыс. руб.</t>
  </si>
  <si>
    <t xml:space="preserve">Средства на оплату труда </t>
  </si>
  <si>
    <t>Сметная стоимость</t>
  </si>
  <si>
    <t>НЦС коробка</t>
  </si>
  <si>
    <t>(наименование объекта)</t>
  </si>
  <si>
    <t xml:space="preserve">Общеобразовательная школа на 1100 мест </t>
  </si>
  <si>
    <t>на строительство</t>
  </si>
  <si>
    <t>(объектная смета)</t>
  </si>
  <si>
    <t>ОБЪЕКТНЫЙ СМЕТНЫЙ РАСЧЕТ №</t>
  </si>
  <si>
    <t>Форма № 3</t>
  </si>
  <si>
    <t>Составлен(а) в ценах по состоянию на 2001</t>
  </si>
  <si>
    <t xml:space="preserve"> тыс. руб.</t>
  </si>
  <si>
    <t>Средства на оплату труда</t>
  </si>
  <si>
    <t>Составил</t>
  </si>
  <si>
    <t>«    »________________2016 г.</t>
  </si>
  <si>
    <t>Директор МБУ "Развитие"</t>
  </si>
  <si>
    <t>"Утвержден" «    »________________2016г.</t>
  </si>
  <si>
    <t>Пусконаладочные работы = 2% от монтажных работ по итогу глав 1-8 в базовых ценах 182,97х22,5</t>
  </si>
  <si>
    <t>Индексация на 3 квартал 2016 года согласно письму Минстроя России от 27.09.2016 года № 31523-ХМ/09 (СМР-6,4, оборудование -3,41)</t>
  </si>
  <si>
    <t>Объем финансовых средств на 2016 год (14% распределение цены контракта на 2016 год, согласно государственной программе Московской области "Образование Подмосковья на 2014-2025 года") - без индексации</t>
  </si>
  <si>
    <t>Объем финансовых средств на 2017 год (32% распределение цены контракта на 2016 год, согласно государственной программе Московской области "Образование Подмосковья на 2014-2025 года") без учета индекса-дефлятора</t>
  </si>
  <si>
    <t xml:space="preserve">Объем финансовых средств на 2017 год (32% распределение цены контракта на 2016 год, согласно государственной программе Московской области "Образование Подмосковья на 2014-2025 года") с учетом индеска-дефлятора Министерства Экономического развития к2017=((1,042-1)/2+1)=1,021  </t>
  </si>
  <si>
    <t>Объем финансовых средств на 2018 год (54% распределение цены контракта на 2016 год, согласно государственной программе Московской области "Образование Подмосковья на 2014-2025 года") - без индексации</t>
  </si>
  <si>
    <t xml:space="preserve">Объем финансовых средств на 2018 год (54% распределение цены контракта на 2016 год, согласно государственной программе Московской области "Образование Подмосковья на 2014-2025 года") с учетом индеска-дефлятора Министерства Экономического развития на 2017 год-1,042; </t>
  </si>
  <si>
    <t>Составил:</t>
  </si>
  <si>
    <t>Директор</t>
  </si>
  <si>
    <t xml:space="preserve">ИТОГО с учетом индесов-дефляторов: </t>
  </si>
  <si>
    <t>Всего с учетом НДС:</t>
  </si>
  <si>
    <t xml:space="preserve">НДС - 18%, </t>
  </si>
  <si>
    <t>НДС - 18%,</t>
  </si>
  <si>
    <t>Составлена в ценах по состоянию на март 2016 г (индексы ГАУ МО "Мособлгосэкспертиза") с учетом индексации на 3 квартал 2016 года согласно письму Минстроя России от 27.09.2016 года № 31523-ХМ/09 и индексов дефляторов Министерства Экономического развития на 2017-2018 годы от 06.05.2016.</t>
  </si>
  <si>
    <t xml:space="preserve">Объем финансовых средств на 2018 год (54% распределение цены контракта на 2016 год, согласно государственной программе Московской области "Образование Подмосковья на 2014-2025 года") с учетом индеска-дефлятора Министерства Экономического развития на 2018 год-1,055 и   к2018=((1,055-1)/12*6/2+1)=1,01375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</si>
</sst>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Arial Cyr"/>
      <charset val="204"/>
    </font>
    <font>
      <b/>
      <sz val="8"/>
      <color rgb="FFFF0000"/>
      <name val="Arial Cyr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6" fillId="0" borderId="0">
      <alignment horizontal="center"/>
    </xf>
    <xf numFmtId="0" fontId="11" fillId="0" borderId="0"/>
    <xf numFmtId="0" fontId="6" fillId="0" borderId="1">
      <alignment horizontal="center"/>
    </xf>
    <xf numFmtId="0" fontId="11" fillId="0" borderId="0">
      <alignment vertical="top"/>
    </xf>
    <xf numFmtId="0" fontId="6" fillId="0" borderId="1">
      <alignment horizontal="center"/>
    </xf>
    <xf numFmtId="0" fontId="6" fillId="0" borderId="0">
      <alignment vertical="top"/>
    </xf>
    <xf numFmtId="0" fontId="17" fillId="0" borderId="0">
      <alignment horizontal="right" vertical="center" wrapText="1"/>
    </xf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1">
      <alignment horizontal="center" wrapText="1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1">
      <alignment horizontal="center" wrapText="1"/>
    </xf>
    <xf numFmtId="0" fontId="6" fillId="0" borderId="1">
      <alignment horizontal="center"/>
    </xf>
    <xf numFmtId="0" fontId="6" fillId="0" borderId="1">
      <alignment horizontal="center" wrapText="1"/>
    </xf>
    <xf numFmtId="0" fontId="11" fillId="0" borderId="0"/>
    <xf numFmtId="0" fontId="6" fillId="0" borderId="0">
      <alignment horizontal="left" vertical="top"/>
    </xf>
    <xf numFmtId="0" fontId="6" fillId="0" borderId="0"/>
  </cellStyleXfs>
  <cellXfs count="198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ont="1" applyFill="1"/>
    <xf numFmtId="164" fontId="6" fillId="0" borderId="1" xfId="2" applyFont="1" applyFill="1" applyBorder="1" applyAlignment="1">
      <alignment horizontal="righ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8" fillId="0" borderId="0" xfId="0" applyNumberFormat="1" applyFont="1" applyFill="1"/>
    <xf numFmtId="164" fontId="9" fillId="0" borderId="0" xfId="0" applyNumberFormat="1" applyFont="1" applyFill="1"/>
    <xf numFmtId="49" fontId="10" fillId="0" borderId="1" xfId="0" applyNumberFormat="1" applyFont="1" applyFill="1" applyBorder="1" applyAlignment="1">
      <alignment horizontal="left" vertical="top" wrapText="1"/>
    </xf>
    <xf numFmtId="164" fontId="6" fillId="0" borderId="1" xfId="2" applyNumberFormat="1" applyFont="1" applyFill="1" applyBorder="1" applyAlignment="1">
      <alignment horizontal="right" vertical="top" wrapText="1"/>
    </xf>
    <xf numFmtId="164" fontId="8" fillId="0" borderId="0" xfId="1" applyNumberFormat="1" applyFont="1" applyFill="1"/>
    <xf numFmtId="164" fontId="0" fillId="0" borderId="0" xfId="0" applyNumberFormat="1" applyFill="1"/>
    <xf numFmtId="164" fontId="3" fillId="0" borderId="0" xfId="0" applyNumberFormat="1" applyFont="1" applyFill="1"/>
    <xf numFmtId="0" fontId="6" fillId="0" borderId="2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right" vertical="center"/>
    </xf>
    <xf numFmtId="0" fontId="6" fillId="0" borderId="0" xfId="4" applyFill="1" applyAlignment="1">
      <alignment horizontal="left"/>
    </xf>
    <xf numFmtId="0" fontId="6" fillId="0" borderId="0" xfId="0" applyFont="1" applyFill="1" applyAlignment="1">
      <alignment horizontal="right" vertical="top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0" fontId="6" fillId="0" borderId="0" xfId="5" applyFont="1" applyFill="1"/>
    <xf numFmtId="0" fontId="0" fillId="0" borderId="0" xfId="0" applyFill="1" applyBorder="1" applyAlignment="1">
      <alignment horizontal="left" vertical="top"/>
    </xf>
    <xf numFmtId="0" fontId="6" fillId="0" borderId="0" xfId="4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49" fontId="6" fillId="0" borderId="0" xfId="0" applyNumberFormat="1" applyFont="1" applyFill="1" applyAlignment="1">
      <alignment horizontal="left" vertical="top"/>
    </xf>
    <xf numFmtId="0" fontId="0" fillId="0" borderId="0" xfId="0" applyFont="1" applyFill="1" applyBorder="1"/>
    <xf numFmtId="0" fontId="0" fillId="0" borderId="8" xfId="0" applyFont="1" applyFill="1" applyBorder="1"/>
    <xf numFmtId="0" fontId="6" fillId="0" borderId="8" xfId="29" applyFont="1" applyFill="1" applyBorder="1">
      <alignment horizontal="left" vertical="top"/>
    </xf>
    <xf numFmtId="0" fontId="6" fillId="0" borderId="0" xfId="0" applyFont="1" applyFill="1" applyBorder="1" applyAlignment="1">
      <alignment horizontal="center"/>
    </xf>
    <xf numFmtId="0" fontId="6" fillId="0" borderId="0" xfId="29" applyFont="1" applyFill="1" applyBorder="1">
      <alignment horizontal="left" vertical="top"/>
    </xf>
    <xf numFmtId="164" fontId="0" fillId="0" borderId="0" xfId="0" applyNumberFormat="1" applyFont="1" applyFill="1"/>
    <xf numFmtId="2" fontId="0" fillId="0" borderId="0" xfId="0" applyNumberFormat="1" applyFont="1" applyFill="1"/>
    <xf numFmtId="2" fontId="0" fillId="0" borderId="0" xfId="0" applyNumberFormat="1" applyFill="1"/>
    <xf numFmtId="2" fontId="0" fillId="0" borderId="12" xfId="0" applyNumberFormat="1" applyFill="1" applyBorder="1"/>
    <xf numFmtId="2" fontId="19" fillId="2" borderId="13" xfId="0" applyNumberFormat="1" applyFont="1" applyFill="1" applyBorder="1"/>
    <xf numFmtId="2" fontId="0" fillId="0" borderId="17" xfId="0" applyNumberFormat="1" applyFill="1" applyBorder="1"/>
    <xf numFmtId="0" fontId="0" fillId="0" borderId="0" xfId="0" applyFont="1" applyFill="1" applyAlignment="1">
      <alignment horizontal="center"/>
    </xf>
    <xf numFmtId="2" fontId="20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0" fillId="0" borderId="19" xfId="0" applyNumberFormat="1" applyFill="1" applyBorder="1"/>
    <xf numFmtId="2" fontId="0" fillId="0" borderId="4" xfId="0" applyNumberFormat="1" applyFill="1" applyBorder="1"/>
    <xf numFmtId="2" fontId="0" fillId="0" borderId="20" xfId="0" applyNumberFormat="1" applyFill="1" applyBorder="1"/>
    <xf numFmtId="0" fontId="20" fillId="0" borderId="18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0" fillId="0" borderId="13" xfId="0" applyNumberFormat="1" applyFill="1" applyBorder="1"/>
    <xf numFmtId="2" fontId="19" fillId="0" borderId="0" xfId="0" applyNumberFormat="1" applyFont="1" applyFill="1"/>
    <xf numFmtId="2" fontId="19" fillId="0" borderId="14" xfId="0" applyNumberFormat="1" applyFont="1" applyFill="1" applyBorder="1"/>
    <xf numFmtId="2" fontId="0" fillId="0" borderId="15" xfId="0" applyNumberFormat="1" applyFill="1" applyBorder="1"/>
    <xf numFmtId="2" fontId="19" fillId="0" borderId="16" xfId="0" applyNumberFormat="1" applyFont="1" applyFill="1" applyBorder="1"/>
    <xf numFmtId="2" fontId="22" fillId="0" borderId="0" xfId="0" applyNumberFormat="1" applyFont="1" applyFill="1"/>
    <xf numFmtId="2" fontId="0" fillId="0" borderId="21" xfId="0" applyNumberFormat="1" applyFill="1" applyBorder="1"/>
    <xf numFmtId="2" fontId="0" fillId="0" borderId="2" xfId="0" applyNumberFormat="1" applyFill="1" applyBorder="1"/>
    <xf numFmtId="2" fontId="22" fillId="0" borderId="22" xfId="0" applyNumberFormat="1" applyFont="1" applyFill="1" applyBorder="1"/>
    <xf numFmtId="0" fontId="22" fillId="0" borderId="0" xfId="0" applyFont="1" applyFill="1"/>
    <xf numFmtId="2" fontId="22" fillId="0" borderId="19" xfId="0" applyNumberFormat="1" applyFont="1" applyFill="1" applyBorder="1"/>
    <xf numFmtId="2" fontId="22" fillId="0" borderId="4" xfId="0" applyNumberFormat="1" applyFont="1" applyFill="1" applyBorder="1"/>
    <xf numFmtId="2" fontId="22" fillId="0" borderId="20" xfId="0" applyNumberFormat="1" applyFont="1" applyFill="1" applyBorder="1"/>
    <xf numFmtId="2" fontId="22" fillId="0" borderId="12" xfId="0" applyNumberFormat="1" applyFont="1" applyFill="1" applyBorder="1"/>
    <xf numFmtId="2" fontId="22" fillId="0" borderId="13" xfId="0" applyNumberFormat="1" applyFont="1" applyFill="1" applyBorder="1"/>
    <xf numFmtId="2" fontId="22" fillId="0" borderId="17" xfId="0" applyNumberFormat="1" applyFont="1" applyFill="1" applyBorder="1"/>
    <xf numFmtId="2" fontId="22" fillId="0" borderId="14" xfId="0" applyNumberFormat="1" applyFont="1" applyFill="1" applyBorder="1"/>
    <xf numFmtId="2" fontId="22" fillId="0" borderId="15" xfId="0" applyNumberFormat="1" applyFont="1" applyFill="1" applyBorder="1"/>
    <xf numFmtId="2" fontId="22" fillId="0" borderId="16" xfId="0" applyNumberFormat="1" applyFont="1" applyFill="1" applyBorder="1"/>
    <xf numFmtId="2" fontId="22" fillId="0" borderId="21" xfId="0" applyNumberFormat="1" applyFont="1" applyFill="1" applyBorder="1"/>
    <xf numFmtId="2" fontId="0" fillId="0" borderId="22" xfId="0" applyNumberFormat="1" applyFill="1" applyBorder="1"/>
    <xf numFmtId="0" fontId="0" fillId="0" borderId="1" xfId="0" applyBorder="1"/>
    <xf numFmtId="164" fontId="6" fillId="0" borderId="0" xfId="0" applyNumberFormat="1" applyFont="1" applyFill="1" applyAlignment="1">
      <alignment horizontal="right" vertical="top" wrapText="1"/>
    </xf>
    <xf numFmtId="0" fontId="6" fillId="0" borderId="0" xfId="0" applyFont="1" applyFill="1" applyAlignment="1">
      <alignment horizontal="right" vertical="top" wrapText="1"/>
    </xf>
    <xf numFmtId="0" fontId="6" fillId="0" borderId="0" xfId="0" applyFont="1" applyFill="1" applyAlignment="1">
      <alignment horizontal="left" vertical="top" wrapText="1"/>
    </xf>
    <xf numFmtId="49" fontId="6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49" fontId="23" fillId="0" borderId="1" xfId="0" applyNumberFormat="1" applyFont="1" applyFill="1" applyBorder="1" applyAlignment="1">
      <alignment horizontal="left" vertical="top" wrapText="1"/>
    </xf>
    <xf numFmtId="2" fontId="4" fillId="0" borderId="0" xfId="0" applyNumberFormat="1" applyFont="1"/>
    <xf numFmtId="2" fontId="22" fillId="0" borderId="2" xfId="0" applyNumberFormat="1" applyFont="1" applyFill="1" applyBorder="1"/>
    <xf numFmtId="165" fontId="0" fillId="0" borderId="0" xfId="0" applyNumberFormat="1" applyFill="1"/>
    <xf numFmtId="0" fontId="23" fillId="0" borderId="0" xfId="0" applyFont="1" applyFill="1"/>
    <xf numFmtId="0" fontId="23" fillId="0" borderId="0" xfId="0" applyFont="1" applyFill="1" applyAlignment="1">
      <alignment horizontal="right" vertical="top"/>
    </xf>
    <xf numFmtId="49" fontId="23" fillId="0" borderId="0" xfId="0" applyNumberFormat="1" applyFont="1" applyFill="1" applyAlignment="1">
      <alignment horizontal="left" vertical="top"/>
    </xf>
    <xf numFmtId="0" fontId="22" fillId="0" borderId="0" xfId="0" applyFont="1" applyFill="1" applyBorder="1"/>
    <xf numFmtId="0" fontId="22" fillId="0" borderId="8" xfId="0" applyFont="1" applyFill="1" applyBorder="1"/>
    <xf numFmtId="0" fontId="6" fillId="0" borderId="0" xfId="29" applyFont="1" applyFill="1">
      <alignment horizontal="left" vertical="top"/>
    </xf>
    <xf numFmtId="0" fontId="24" fillId="0" borderId="0" xfId="0" applyFont="1" applyFill="1"/>
    <xf numFmtId="0" fontId="23" fillId="0" borderId="1" xfId="0" applyFont="1" applyFill="1" applyBorder="1" applyAlignment="1">
      <alignment horizontal="right" vertical="top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164" fontId="23" fillId="0" borderId="0" xfId="0" applyNumberFormat="1" applyFont="1" applyFill="1"/>
    <xf numFmtId="0" fontId="25" fillId="0" borderId="11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horizontal="left" wrapText="1"/>
    </xf>
    <xf numFmtId="0" fontId="25" fillId="0" borderId="9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49" fontId="23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64" fontId="26" fillId="0" borderId="0" xfId="0" applyNumberFormat="1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NumberFormat="1" applyFont="1" applyFill="1" applyAlignment="1">
      <alignment horizontal="left" vertical="top"/>
    </xf>
    <xf numFmtId="164" fontId="23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left" vertical="center"/>
    </xf>
    <xf numFmtId="49" fontId="23" fillId="0" borderId="0" xfId="0" applyNumberFormat="1" applyFont="1" applyFill="1" applyAlignment="1">
      <alignment horizontal="right" vertical="top"/>
    </xf>
    <xf numFmtId="49" fontId="23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top"/>
    </xf>
    <xf numFmtId="2" fontId="23" fillId="0" borderId="1" xfId="0" applyNumberFormat="1" applyFont="1" applyFill="1" applyBorder="1" applyAlignment="1">
      <alignment horizontal="right" vertical="top" wrapText="1"/>
    </xf>
    <xf numFmtId="165" fontId="23" fillId="0" borderId="0" xfId="0" applyNumberFormat="1" applyFont="1" applyFill="1"/>
    <xf numFmtId="2" fontId="23" fillId="0" borderId="0" xfId="0" applyNumberFormat="1" applyFont="1" applyFill="1" applyAlignment="1">
      <alignment horizontal="right" vertical="center"/>
    </xf>
    <xf numFmtId="164" fontId="5" fillId="0" borderId="1" xfId="2" applyFont="1" applyFill="1" applyBorder="1" applyAlignment="1">
      <alignment horizontal="right" vertical="top" wrapText="1"/>
    </xf>
    <xf numFmtId="0" fontId="0" fillId="0" borderId="4" xfId="0" applyBorder="1"/>
    <xf numFmtId="0" fontId="6" fillId="0" borderId="1" xfId="0" applyFont="1" applyFill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horizontal="right" vertical="top" wrapText="1"/>
    </xf>
    <xf numFmtId="43" fontId="5" fillId="0" borderId="1" xfId="0" applyNumberFormat="1" applyFont="1" applyFill="1" applyBorder="1" applyAlignment="1">
      <alignment horizontal="right" vertical="top" wrapText="1"/>
    </xf>
    <xf numFmtId="164" fontId="0" fillId="0" borderId="15" xfId="0" applyNumberFormat="1" applyFont="1" applyFill="1" applyBorder="1"/>
    <xf numFmtId="164" fontId="0" fillId="0" borderId="13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43" fontId="0" fillId="0" borderId="4" xfId="0" applyNumberFormat="1" applyFont="1" applyFill="1" applyBorder="1" applyAlignment="1"/>
    <xf numFmtId="164" fontId="0" fillId="0" borderId="15" xfId="0" applyNumberFormat="1" applyFont="1" applyFill="1" applyBorder="1" applyAlignment="1">
      <alignment horizontal="right"/>
    </xf>
    <xf numFmtId="43" fontId="0" fillId="0" borderId="13" xfId="0" applyNumberFormat="1" applyFont="1" applyFill="1" applyBorder="1" applyAlignment="1"/>
    <xf numFmtId="43" fontId="2" fillId="0" borderId="13" xfId="0" applyNumberFormat="1" applyFont="1" applyFill="1" applyBorder="1" applyAlignment="1"/>
    <xf numFmtId="43" fontId="0" fillId="0" borderId="2" xfId="0" applyNumberFormat="1" applyFont="1" applyFill="1" applyBorder="1" applyAlignment="1"/>
    <xf numFmtId="43" fontId="2" fillId="0" borderId="15" xfId="0" applyNumberFormat="1" applyFont="1" applyFill="1" applyBorder="1" applyAlignment="1"/>
    <xf numFmtId="0" fontId="0" fillId="0" borderId="10" xfId="0" applyFont="1" applyFill="1" applyBorder="1"/>
    <xf numFmtId="43" fontId="0" fillId="0" borderId="11" xfId="0" applyNumberFormat="1" applyFont="1" applyFill="1" applyBorder="1"/>
    <xf numFmtId="0" fontId="6" fillId="0" borderId="0" xfId="4" applyFill="1" applyAlignment="1">
      <alignment horizontal="left" vertical="center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6" fillId="0" borderId="8" xfId="4" applyFill="1" applyBorder="1" applyAlignment="1">
      <alignment horizontal="center" vertical="center" wrapText="1"/>
    </xf>
    <xf numFmtId="0" fontId="6" fillId="0" borderId="8" xfId="4" applyFill="1" applyBorder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29" applyFill="1" applyAlignment="1">
      <alignment horizontal="left" vertical="top"/>
    </xf>
    <xf numFmtId="0" fontId="6" fillId="0" borderId="6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18" fillId="0" borderId="23" xfId="0" applyFont="1" applyFill="1" applyBorder="1" applyAlignment="1">
      <alignment horizontal="left" wrapText="1"/>
    </xf>
    <xf numFmtId="0" fontId="18" fillId="0" borderId="24" xfId="0" applyFont="1" applyFill="1" applyBorder="1" applyAlignment="1">
      <alignment horizontal="left" wrapText="1"/>
    </xf>
    <xf numFmtId="0" fontId="18" fillId="0" borderId="25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 wrapText="1"/>
    </xf>
    <xf numFmtId="0" fontId="4" fillId="0" borderId="24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wrapText="1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9" fontId="6" fillId="0" borderId="9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left" vertical="top"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4" fillId="0" borderId="26" xfId="0" applyFont="1" applyFill="1" applyBorder="1" applyAlignment="1">
      <alignment horizontal="left" wrapText="1"/>
    </xf>
    <xf numFmtId="0" fontId="4" fillId="0" borderId="27" xfId="0" applyFont="1" applyFill="1" applyBorder="1" applyAlignment="1">
      <alignment horizontal="left" wrapText="1"/>
    </xf>
    <xf numFmtId="0" fontId="4" fillId="0" borderId="28" xfId="0" applyFont="1" applyFill="1" applyBorder="1" applyAlignment="1">
      <alignment horizontal="left" wrapText="1"/>
    </xf>
    <xf numFmtId="49" fontId="6" fillId="0" borderId="0" xfId="0" applyNumberFormat="1" applyFont="1" applyFill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top" wrapText="1"/>
    </xf>
    <xf numFmtId="49" fontId="25" fillId="0" borderId="11" xfId="0" applyNumberFormat="1" applyFont="1" applyFill="1" applyBorder="1" applyAlignment="1">
      <alignment horizontal="center" vertical="top" wrapText="1"/>
    </xf>
  </cellXfs>
  <cellStyles count="31">
    <cellStyle name="Акт" xfId="6"/>
    <cellStyle name="АктМТСН" xfId="7"/>
    <cellStyle name="ВедРесурсов" xfId="8"/>
    <cellStyle name="ВедРесурсовАкт" xfId="9"/>
    <cellStyle name="Итоги" xfId="10"/>
    <cellStyle name="ИтогоАктБазЦ" xfId="11"/>
    <cellStyle name="ИтогоАктБИМ" xfId="12"/>
    <cellStyle name="ИтогоАктРесМет" xfId="13"/>
    <cellStyle name="ИтогоАктТекЦ" xfId="14"/>
    <cellStyle name="ИтогоБазЦ" xfId="15"/>
    <cellStyle name="ИтогоБИМ" xfId="16"/>
    <cellStyle name="ИтогоБИМ 2" xfId="5"/>
    <cellStyle name="ИтогоРесМет" xfId="17"/>
    <cellStyle name="ИтогоТекЦ" xfId="18"/>
    <cellStyle name="ЛокСмета" xfId="19"/>
    <cellStyle name="ЛокСмМТСН" xfId="20"/>
    <cellStyle name="М29" xfId="21"/>
    <cellStyle name="ОбСмета" xfId="22"/>
    <cellStyle name="Обычный" xfId="0" builtinId="0"/>
    <cellStyle name="Обычный 2" xfId="23"/>
    <cellStyle name="Параметр" xfId="24"/>
    <cellStyle name="ПеременныеСметы" xfId="25"/>
    <cellStyle name="Процентный" xfId="1" builtinId="5"/>
    <cellStyle name="РесСмета" xfId="26"/>
    <cellStyle name="СводкаСтоимРаб" xfId="27"/>
    <cellStyle name="СводРасч" xfId="28"/>
    <cellStyle name="СводРасч 2" xfId="3"/>
    <cellStyle name="Титул" xfId="4"/>
    <cellStyle name="Финансовый 2" xfId="2"/>
    <cellStyle name="Хвост" xfId="29"/>
    <cellStyle name="Экспертиза" xfId="3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96"/>
  <sheetViews>
    <sheetView tabSelected="1" view="pageBreakPreview" topLeftCell="A18" zoomScaleNormal="90" zoomScaleSheetLayoutView="100" workbookViewId="0">
      <pane ySplit="600" topLeftCell="A82" activePane="bottomLeft"/>
      <selection activeCell="A18" sqref="A1:XFD1048576"/>
      <selection pane="bottomLeft" activeCell="A86" sqref="A86:C86"/>
    </sheetView>
  </sheetViews>
  <sheetFormatPr defaultColWidth="9.140625" defaultRowHeight="15" x14ac:dyDescent="0.25"/>
  <cols>
    <col min="1" max="1" width="5.28515625" style="1" customWidth="1"/>
    <col min="2" max="2" width="18" style="1" customWidth="1"/>
    <col min="3" max="3" width="38.28515625" style="1" customWidth="1"/>
    <col min="4" max="4" width="14" style="3" customWidth="1"/>
    <col min="5" max="5" width="13.7109375" style="3" customWidth="1"/>
    <col min="6" max="6" width="14.28515625" style="3" customWidth="1"/>
    <col min="7" max="7" width="14.42578125" style="3" customWidth="1"/>
    <col min="8" max="8" width="13.140625" style="3" customWidth="1"/>
    <col min="9" max="9" width="15" style="2" hidden="1" customWidth="1"/>
    <col min="10" max="10" width="15.42578125" style="1" hidden="1" customWidth="1"/>
    <col min="11" max="11" width="14.7109375" style="1" hidden="1" customWidth="1"/>
    <col min="12" max="12" width="18.85546875" style="1" hidden="1" customWidth="1"/>
    <col min="13" max="13" width="16.7109375" style="1" hidden="1" customWidth="1"/>
    <col min="14" max="15" width="11" style="1" customWidth="1"/>
    <col min="16" max="16" width="2" style="1" customWidth="1"/>
    <col min="17" max="17" width="8.140625" style="1" customWidth="1"/>
    <col min="18" max="18" width="6.28515625" style="1" customWidth="1"/>
    <col min="19" max="19" width="14" style="1" customWidth="1"/>
    <col min="20" max="16384" width="9.140625" style="1"/>
  </cols>
  <sheetData>
    <row r="1" spans="1:9" x14ac:dyDescent="0.25">
      <c r="A1" s="19"/>
      <c r="B1" s="33"/>
      <c r="C1" s="18"/>
      <c r="D1" s="17"/>
      <c r="E1" s="17"/>
      <c r="F1" s="17"/>
      <c r="G1" s="17"/>
      <c r="H1" s="32" t="s">
        <v>61</v>
      </c>
    </row>
    <row r="2" spans="1:9" x14ac:dyDescent="0.25">
      <c r="A2" s="19"/>
      <c r="B2" s="33" t="s">
        <v>60</v>
      </c>
      <c r="C2" s="153"/>
      <c r="D2" s="153"/>
      <c r="E2" s="153"/>
      <c r="F2" s="153"/>
      <c r="G2" s="31"/>
      <c r="H2" s="17"/>
    </row>
    <row r="3" spans="1:9" x14ac:dyDescent="0.25">
      <c r="A3" s="19"/>
      <c r="B3" s="33"/>
      <c r="C3" s="154" t="s">
        <v>59</v>
      </c>
      <c r="D3" s="154"/>
      <c r="E3" s="154"/>
      <c r="F3" s="154"/>
      <c r="G3" s="27"/>
      <c r="H3" s="17"/>
    </row>
    <row r="4" spans="1:9" ht="22.5" customHeight="1" x14ac:dyDescent="0.25">
      <c r="A4" s="19"/>
      <c r="B4" s="33" t="s">
        <v>145</v>
      </c>
      <c r="C4" s="30"/>
      <c r="D4" s="17"/>
      <c r="E4" s="26"/>
      <c r="F4" s="17"/>
      <c r="G4" s="17"/>
      <c r="H4" s="17"/>
    </row>
    <row r="5" spans="1:9" ht="14.25" customHeight="1" x14ac:dyDescent="0.25">
      <c r="A5" s="19"/>
      <c r="B5" s="156"/>
      <c r="C5" s="156"/>
      <c r="D5" s="157"/>
      <c r="E5" s="157"/>
      <c r="F5" s="157"/>
      <c r="G5" s="17"/>
      <c r="H5" s="17"/>
    </row>
    <row r="6" spans="1:9" x14ac:dyDescent="0.25">
      <c r="A6" s="19"/>
      <c r="C6" s="29" t="s">
        <v>58</v>
      </c>
      <c r="D6" s="14">
        <f>H87</f>
        <v>723129.58020332002</v>
      </c>
      <c r="E6" s="17" t="s">
        <v>57</v>
      </c>
      <c r="F6" s="17"/>
      <c r="G6" s="81"/>
      <c r="H6" s="28"/>
      <c r="I6" s="13">
        <f>G6-D6</f>
        <v>-723129.58020332002</v>
      </c>
    </row>
    <row r="7" spans="1:9" x14ac:dyDescent="0.25">
      <c r="A7" s="19"/>
      <c r="C7" s="33" t="s">
        <v>56</v>
      </c>
      <c r="D7" s="17"/>
      <c r="E7" s="17"/>
      <c r="F7" s="17"/>
      <c r="G7" s="17"/>
      <c r="H7" s="17"/>
      <c r="I7" s="1"/>
    </row>
    <row r="8" spans="1:9" x14ac:dyDescent="0.25">
      <c r="A8" s="19"/>
      <c r="B8" s="33"/>
      <c r="C8" s="152"/>
      <c r="D8" s="152"/>
      <c r="E8" s="152"/>
      <c r="F8" s="152"/>
      <c r="G8" s="24"/>
      <c r="H8" s="17"/>
      <c r="I8" s="1"/>
    </row>
    <row r="9" spans="1:9" x14ac:dyDescent="0.25">
      <c r="A9" s="19"/>
      <c r="B9" s="33"/>
      <c r="C9" s="154" t="s">
        <v>55</v>
      </c>
      <c r="D9" s="154"/>
      <c r="E9" s="154"/>
      <c r="F9" s="154"/>
      <c r="G9" s="27"/>
      <c r="H9" s="17"/>
      <c r="I9" s="1"/>
    </row>
    <row r="10" spans="1:9" x14ac:dyDescent="0.25">
      <c r="A10" s="19"/>
      <c r="B10" s="33"/>
      <c r="C10" s="18"/>
      <c r="D10" s="17"/>
      <c r="E10" s="26"/>
      <c r="F10" s="17"/>
      <c r="G10" s="17"/>
      <c r="H10" s="17"/>
      <c r="I10" s="1"/>
    </row>
    <row r="11" spans="1:9" x14ac:dyDescent="0.25">
      <c r="A11" s="19"/>
      <c r="B11" s="33" t="s">
        <v>143</v>
      </c>
      <c r="C11" s="18"/>
      <c r="D11" s="22"/>
      <c r="E11" s="22"/>
      <c r="F11" s="22"/>
      <c r="G11" s="22"/>
      <c r="H11" s="17"/>
      <c r="I11" s="1"/>
    </row>
    <row r="12" spans="1:9" ht="3" customHeight="1" x14ac:dyDescent="0.25">
      <c r="A12" s="19"/>
      <c r="B12" s="33"/>
      <c r="C12" s="18"/>
      <c r="D12" s="22"/>
      <c r="E12" s="22"/>
      <c r="F12" s="22"/>
      <c r="G12" s="17"/>
      <c r="H12" s="17"/>
      <c r="I12" s="1"/>
    </row>
    <row r="13" spans="1:9" x14ac:dyDescent="0.25">
      <c r="A13" s="19"/>
      <c r="B13" s="33"/>
      <c r="C13" s="155" t="s">
        <v>54</v>
      </c>
      <c r="D13" s="155"/>
      <c r="E13" s="155"/>
      <c r="F13" s="155"/>
      <c r="G13" s="25"/>
      <c r="H13" s="17"/>
      <c r="I13" s="1"/>
    </row>
    <row r="14" spans="1:9" x14ac:dyDescent="0.25">
      <c r="A14" s="19"/>
      <c r="B14" s="33"/>
      <c r="C14" s="18"/>
      <c r="D14" s="20"/>
      <c r="E14" s="22"/>
      <c r="F14" s="17"/>
      <c r="G14" s="17"/>
      <c r="H14" s="17"/>
      <c r="I14" s="1"/>
    </row>
    <row r="15" spans="1:9" ht="24" customHeight="1" x14ac:dyDescent="0.25">
      <c r="A15" s="19"/>
      <c r="B15" s="33"/>
      <c r="C15" s="152" t="s">
        <v>134</v>
      </c>
      <c r="D15" s="152"/>
      <c r="E15" s="152"/>
      <c r="F15" s="152"/>
      <c r="G15" s="24"/>
      <c r="H15" s="17"/>
      <c r="I15" s="1"/>
    </row>
    <row r="16" spans="1:9" x14ac:dyDescent="0.25">
      <c r="A16" s="19"/>
      <c r="B16" s="33"/>
      <c r="C16" s="151" t="s">
        <v>53</v>
      </c>
      <c r="D16" s="151"/>
      <c r="E16" s="151"/>
      <c r="F16" s="151"/>
      <c r="G16" s="23"/>
      <c r="H16" s="17"/>
      <c r="I16" s="1"/>
    </row>
    <row r="17" spans="1:9" x14ac:dyDescent="0.25">
      <c r="A17" s="19"/>
      <c r="B17" s="33"/>
      <c r="C17" s="18"/>
      <c r="D17" s="22"/>
      <c r="E17" s="22"/>
      <c r="F17" s="22"/>
      <c r="G17" s="1"/>
      <c r="H17" s="17"/>
      <c r="I17" s="1"/>
    </row>
    <row r="18" spans="1:9" ht="38.25" customHeight="1" x14ac:dyDescent="0.25">
      <c r="A18" s="19"/>
      <c r="B18" s="138" t="s">
        <v>159</v>
      </c>
      <c r="C18" s="138"/>
      <c r="D18" s="138"/>
      <c r="E18" s="138"/>
      <c r="F18" s="138"/>
      <c r="G18" s="138"/>
      <c r="H18" s="138"/>
      <c r="I18" s="1"/>
    </row>
    <row r="19" spans="1:9" ht="16.5" customHeight="1" x14ac:dyDescent="0.25">
      <c r="A19" s="19"/>
      <c r="B19" s="33"/>
      <c r="C19" s="18"/>
      <c r="D19" s="20"/>
      <c r="E19" s="17"/>
      <c r="F19" s="17"/>
      <c r="G19" s="17"/>
      <c r="H19" s="17"/>
      <c r="I19" s="1"/>
    </row>
    <row r="20" spans="1:9" hidden="1" x14ac:dyDescent="0.25">
      <c r="A20" s="19"/>
      <c r="B20" s="33"/>
      <c r="C20" s="18"/>
      <c r="D20" s="17"/>
      <c r="E20" s="17"/>
      <c r="F20" s="17"/>
      <c r="G20" s="17"/>
      <c r="H20" s="17"/>
      <c r="I20" s="1"/>
    </row>
    <row r="21" spans="1:9" x14ac:dyDescent="0.25">
      <c r="A21" s="142" t="s">
        <v>52</v>
      </c>
      <c r="B21" s="145" t="s">
        <v>51</v>
      </c>
      <c r="C21" s="142" t="s">
        <v>50</v>
      </c>
      <c r="D21" s="148"/>
      <c r="E21" s="149"/>
      <c r="F21" s="150"/>
      <c r="G21" s="16"/>
      <c r="H21" s="142" t="s">
        <v>49</v>
      </c>
      <c r="I21" s="1"/>
    </row>
    <row r="22" spans="1:9" x14ac:dyDescent="0.25">
      <c r="A22" s="143"/>
      <c r="B22" s="146"/>
      <c r="C22" s="143"/>
      <c r="D22" s="142" t="s">
        <v>48</v>
      </c>
      <c r="E22" s="142" t="s">
        <v>47</v>
      </c>
      <c r="F22" s="142" t="s">
        <v>46</v>
      </c>
      <c r="G22" s="142" t="s">
        <v>45</v>
      </c>
      <c r="H22" s="143"/>
      <c r="I22" s="1"/>
    </row>
    <row r="23" spans="1:9" x14ac:dyDescent="0.25">
      <c r="A23" s="143"/>
      <c r="B23" s="146"/>
      <c r="C23" s="143"/>
      <c r="D23" s="143"/>
      <c r="E23" s="143"/>
      <c r="F23" s="143"/>
      <c r="G23" s="143"/>
      <c r="H23" s="143"/>
      <c r="I23" s="1"/>
    </row>
    <row r="24" spans="1:9" x14ac:dyDescent="0.25">
      <c r="A24" s="144"/>
      <c r="B24" s="147"/>
      <c r="C24" s="144"/>
      <c r="D24" s="144"/>
      <c r="E24" s="144"/>
      <c r="F24" s="144"/>
      <c r="G24" s="144"/>
      <c r="H24" s="144"/>
      <c r="I24" s="1"/>
    </row>
    <row r="25" spans="1:9" x14ac:dyDescent="0.25">
      <c r="A25" s="15">
        <v>1</v>
      </c>
      <c r="B25" s="15">
        <v>2</v>
      </c>
      <c r="C25" s="15">
        <v>3</v>
      </c>
      <c r="D25" s="15"/>
      <c r="E25" s="15"/>
      <c r="F25" s="15"/>
      <c r="G25" s="15"/>
      <c r="H25" s="15">
        <v>8</v>
      </c>
      <c r="I25" s="1"/>
    </row>
    <row r="26" spans="1:9" x14ac:dyDescent="0.25">
      <c r="A26" s="139" t="s">
        <v>44</v>
      </c>
      <c r="B26" s="140"/>
      <c r="C26" s="140"/>
      <c r="D26" s="140"/>
      <c r="E26" s="140"/>
      <c r="F26" s="140"/>
      <c r="G26" s="140"/>
      <c r="H26" s="141"/>
      <c r="I26" s="1"/>
    </row>
    <row r="27" spans="1:9" ht="15.75" customHeight="1" x14ac:dyDescent="0.25">
      <c r="A27" s="6">
        <v>1</v>
      </c>
      <c r="B27" s="5" t="s">
        <v>43</v>
      </c>
      <c r="C27" s="7" t="s">
        <v>42</v>
      </c>
      <c r="D27" s="4">
        <f>21367970/1000</f>
        <v>21367.97</v>
      </c>
      <c r="E27" s="4"/>
      <c r="F27" s="4"/>
      <c r="G27" s="4"/>
      <c r="H27" s="4">
        <f>D27+E27+F27+G27</f>
        <v>21367.97</v>
      </c>
      <c r="I27" s="13">
        <f>H27*1.18</f>
        <v>25214.204600000001</v>
      </c>
    </row>
    <row r="28" spans="1:9" x14ac:dyDescent="0.25">
      <c r="A28" s="6">
        <v>2</v>
      </c>
      <c r="B28" s="5" t="s">
        <v>41</v>
      </c>
      <c r="C28" s="7" t="s">
        <v>40</v>
      </c>
      <c r="D28" s="4">
        <v>733.22</v>
      </c>
      <c r="E28" s="4">
        <v>51.13</v>
      </c>
      <c r="F28" s="4"/>
      <c r="G28" s="4"/>
      <c r="H28" s="4">
        <f>D28+E28+F28+G28</f>
        <v>784.35</v>
      </c>
      <c r="I28" s="13">
        <f>H28*1.18</f>
        <v>925.53300000000002</v>
      </c>
    </row>
    <row r="29" spans="1:9" x14ac:dyDescent="0.25">
      <c r="A29" s="6">
        <v>3</v>
      </c>
      <c r="B29" s="5" t="s">
        <v>39</v>
      </c>
      <c r="C29" s="7" t="s">
        <v>38</v>
      </c>
      <c r="D29" s="4">
        <f>1333560/1000</f>
        <v>1333.56</v>
      </c>
      <c r="E29" s="4"/>
      <c r="F29" s="4"/>
      <c r="G29" s="4"/>
      <c r="H29" s="4">
        <f>D29+E29+F29+G29</f>
        <v>1333.56</v>
      </c>
      <c r="I29" s="13"/>
    </row>
    <row r="30" spans="1:9" ht="25.5" customHeight="1" x14ac:dyDescent="0.25">
      <c r="A30" s="6">
        <v>4</v>
      </c>
      <c r="B30" s="5" t="s">
        <v>37</v>
      </c>
      <c r="C30" s="7" t="s">
        <v>36</v>
      </c>
      <c r="D30" s="4">
        <v>781.93</v>
      </c>
      <c r="E30" s="4"/>
      <c r="F30" s="4"/>
      <c r="G30" s="4"/>
      <c r="H30" s="4">
        <f>D30+E30+F30+G30</f>
        <v>781.93</v>
      </c>
      <c r="I30" s="13">
        <f>H30*1.18</f>
        <v>922.67739999999992</v>
      </c>
    </row>
    <row r="31" spans="1:9" ht="25.5" x14ac:dyDescent="0.25">
      <c r="A31" s="6">
        <v>5</v>
      </c>
      <c r="B31" s="5" t="s">
        <v>66</v>
      </c>
      <c r="C31" s="7" t="s">
        <v>65</v>
      </c>
      <c r="D31" s="4"/>
      <c r="E31" s="4"/>
      <c r="F31" s="4"/>
      <c r="G31" s="4">
        <f>290683.8/1000</f>
        <v>290.68379999999996</v>
      </c>
      <c r="H31" s="4">
        <f>D31+E31+F31+G31</f>
        <v>290.68379999999996</v>
      </c>
      <c r="I31" s="13"/>
    </row>
    <row r="32" spans="1:9" ht="25.5" x14ac:dyDescent="0.25">
      <c r="A32" s="6"/>
      <c r="B32" s="5" t="s">
        <v>2</v>
      </c>
      <c r="C32" s="7" t="s">
        <v>35</v>
      </c>
      <c r="D32" s="4">
        <f>ROUND(SUM(D27:D31),2)</f>
        <v>24216.68</v>
      </c>
      <c r="E32" s="4">
        <f>ROUND(SUM(E27:E31),2)</f>
        <v>51.13</v>
      </c>
      <c r="F32" s="4">
        <f>ROUND(SUM(F27:F31),2)</f>
        <v>0</v>
      </c>
      <c r="G32" s="4">
        <f>ROUND(SUM(G27:G31),2)</f>
        <v>290.68</v>
      </c>
      <c r="H32" s="4">
        <f>SUM(H27:H31)</f>
        <v>24558.4938</v>
      </c>
      <c r="I32" s="14">
        <f>SUM(I27:I30)</f>
        <v>27062.415000000001</v>
      </c>
    </row>
    <row r="33" spans="1:10" x14ac:dyDescent="0.25">
      <c r="A33" s="139" t="s">
        <v>34</v>
      </c>
      <c r="B33" s="140"/>
      <c r="C33" s="140"/>
      <c r="D33" s="140"/>
      <c r="E33" s="140"/>
      <c r="F33" s="140"/>
      <c r="G33" s="140"/>
      <c r="H33" s="141"/>
      <c r="I33" s="1"/>
    </row>
    <row r="34" spans="1:10" x14ac:dyDescent="0.25">
      <c r="A34" s="6">
        <v>6</v>
      </c>
      <c r="B34" s="80" t="s">
        <v>33</v>
      </c>
      <c r="C34" s="7" t="s">
        <v>32</v>
      </c>
      <c r="D34" s="4">
        <f>ОСтек!D39</f>
        <v>356606.44</v>
      </c>
      <c r="E34" s="4">
        <f>ОСтек!E39</f>
        <v>39867.4</v>
      </c>
      <c r="F34" s="4">
        <f>ОСтек!F39</f>
        <v>26560.09</v>
      </c>
      <c r="G34" s="4">
        <f>ОСтек!G39</f>
        <v>0</v>
      </c>
      <c r="H34" s="4">
        <f>D34+E34+F34+G34</f>
        <v>423033.93000000005</v>
      </c>
      <c r="I34" s="1"/>
      <c r="J34" s="13"/>
    </row>
    <row r="35" spans="1:10" ht="25.5" x14ac:dyDescent="0.25">
      <c r="A35" s="6"/>
      <c r="B35" s="5" t="s">
        <v>2</v>
      </c>
      <c r="C35" s="7" t="s">
        <v>31</v>
      </c>
      <c r="D35" s="4">
        <f>SUM(D34:D34)</f>
        <v>356606.44</v>
      </c>
      <c r="E35" s="4">
        <f>SUM(E34:E34)</f>
        <v>39867.4</v>
      </c>
      <c r="F35" s="4">
        <f>SUM(F34:F34)</f>
        <v>26560.09</v>
      </c>
      <c r="G35" s="4">
        <f>SUM(G34:G34)</f>
        <v>0</v>
      </c>
      <c r="H35" s="4">
        <f>D35+E35+F35+G35</f>
        <v>423033.93000000005</v>
      </c>
      <c r="I35" s="1"/>
      <c r="J35" s="8"/>
    </row>
    <row r="36" spans="1:10" x14ac:dyDescent="0.25">
      <c r="A36" s="139" t="s">
        <v>30</v>
      </c>
      <c r="B36" s="140"/>
      <c r="C36" s="140"/>
      <c r="D36" s="140"/>
      <c r="E36" s="140"/>
      <c r="F36" s="140"/>
      <c r="G36" s="140"/>
      <c r="H36" s="141"/>
      <c r="I36" s="13">
        <f>H37*1.18</f>
        <v>1267.7565999999997</v>
      </c>
      <c r="J36" s="13"/>
    </row>
    <row r="37" spans="1:10" ht="25.5" x14ac:dyDescent="0.25">
      <c r="A37" s="6">
        <v>7</v>
      </c>
      <c r="B37" s="5" t="s">
        <v>29</v>
      </c>
      <c r="C37" s="7" t="s">
        <v>28</v>
      </c>
      <c r="D37" s="4">
        <f>210980/1000</f>
        <v>210.98</v>
      </c>
      <c r="E37" s="4">
        <f>863390/1000</f>
        <v>863.39</v>
      </c>
      <c r="F37" s="4"/>
      <c r="G37" s="4"/>
      <c r="H37" s="4">
        <f>D37+E37+F37+G37</f>
        <v>1074.3699999999999</v>
      </c>
      <c r="I37" s="13">
        <f>H38*1.18</f>
        <v>252.77606</v>
      </c>
    </row>
    <row r="38" spans="1:10" ht="25.5" x14ac:dyDescent="0.25">
      <c r="A38" s="6">
        <v>8</v>
      </c>
      <c r="B38" s="5" t="s">
        <v>27</v>
      </c>
      <c r="C38" s="7" t="s">
        <v>26</v>
      </c>
      <c r="D38" s="4">
        <f>193840/1000</f>
        <v>193.84</v>
      </c>
      <c r="E38" s="4">
        <f>20377/1000</f>
        <v>20.376999999999999</v>
      </c>
      <c r="F38" s="4"/>
      <c r="G38" s="4"/>
      <c r="H38" s="4">
        <f>D38+E38+F38+G38</f>
        <v>214.21700000000001</v>
      </c>
      <c r="I38" s="1"/>
    </row>
    <row r="39" spans="1:10" ht="25.5" x14ac:dyDescent="0.25">
      <c r="A39" s="6"/>
      <c r="B39" s="5" t="s">
        <v>2</v>
      </c>
      <c r="C39" s="7" t="s">
        <v>25</v>
      </c>
      <c r="D39" s="4">
        <f>ROUND(SUM(D37:D38),2)</f>
        <v>404.82</v>
      </c>
      <c r="E39" s="4">
        <f>ROUND(SUM(E37:E38),2)</f>
        <v>883.77</v>
      </c>
      <c r="F39" s="4">
        <f>ROUND(SUM(F37:F38),2)</f>
        <v>0</v>
      </c>
      <c r="G39" s="4">
        <f>ROUND(SUM(G37:G38),2)</f>
        <v>0</v>
      </c>
      <c r="H39" s="4">
        <f>D39+E39+F39+G39</f>
        <v>1288.5899999999999</v>
      </c>
      <c r="I39" s="1"/>
    </row>
    <row r="40" spans="1:10" x14ac:dyDescent="0.25">
      <c r="A40" s="139" t="s">
        <v>24</v>
      </c>
      <c r="B40" s="140"/>
      <c r="C40" s="140"/>
      <c r="D40" s="140"/>
      <c r="E40" s="140"/>
      <c r="F40" s="140"/>
      <c r="G40" s="140"/>
      <c r="H40" s="141"/>
      <c r="I40" s="13">
        <f>H41*1.18</f>
        <v>8535.65272</v>
      </c>
    </row>
    <row r="41" spans="1:10" ht="27.75" customHeight="1" x14ac:dyDescent="0.25">
      <c r="A41" s="6">
        <v>9</v>
      </c>
      <c r="B41" s="5" t="s">
        <v>23</v>
      </c>
      <c r="C41" s="7" t="s">
        <v>22</v>
      </c>
      <c r="D41" s="4">
        <f>7233604/1000</f>
        <v>7233.6040000000003</v>
      </c>
      <c r="E41" s="4"/>
      <c r="F41" s="4"/>
      <c r="G41" s="4"/>
      <c r="H41" s="4">
        <f>D41+E41+F41+G41</f>
        <v>7233.6040000000003</v>
      </c>
      <c r="I41" s="13" t="e">
        <f>#REF!*1.18</f>
        <v>#REF!</v>
      </c>
    </row>
    <row r="42" spans="1:10" x14ac:dyDescent="0.25">
      <c r="A42" s="6">
        <v>10</v>
      </c>
      <c r="B42" s="5" t="s">
        <v>80</v>
      </c>
      <c r="C42" s="7" t="s">
        <v>21</v>
      </c>
      <c r="D42" s="4">
        <f>18977733/1000</f>
        <v>18977.733</v>
      </c>
      <c r="E42" s="4">
        <f>9381829/1000</f>
        <v>9381.8289999999997</v>
      </c>
      <c r="F42" s="4"/>
      <c r="G42" s="4"/>
      <c r="H42" s="4">
        <f>D42+E42+F42+G42</f>
        <v>28359.561999999998</v>
      </c>
      <c r="I42" s="14" t="e">
        <f>SUM(I36:I41)</f>
        <v>#REF!</v>
      </c>
    </row>
    <row r="43" spans="1:10" ht="38.25" x14ac:dyDescent="0.25">
      <c r="A43" s="6"/>
      <c r="B43" s="5" t="s">
        <v>2</v>
      </c>
      <c r="C43" s="7" t="s">
        <v>20</v>
      </c>
      <c r="D43" s="4">
        <f>ROUND(SUM(D41:D42),2)</f>
        <v>26211.34</v>
      </c>
      <c r="E43" s="4">
        <f>ROUND(SUM(E41:E42),2)</f>
        <v>9381.83</v>
      </c>
      <c r="F43" s="4">
        <f>SUM(F41:F42)</f>
        <v>0</v>
      </c>
      <c r="G43" s="4"/>
      <c r="H43" s="4">
        <f>D43+E43+F43+G43</f>
        <v>35593.17</v>
      </c>
      <c r="I43" s="1"/>
    </row>
    <row r="44" spans="1:10" x14ac:dyDescent="0.25">
      <c r="A44" s="139" t="s">
        <v>19</v>
      </c>
      <c r="B44" s="140"/>
      <c r="C44" s="140"/>
      <c r="D44" s="140"/>
      <c r="E44" s="140"/>
      <c r="F44" s="140"/>
      <c r="G44" s="140"/>
      <c r="H44" s="141"/>
      <c r="I44" s="13">
        <f>H45*1.18</f>
        <v>89728.179399999994</v>
      </c>
    </row>
    <row r="45" spans="1:10" ht="38.25" x14ac:dyDescent="0.25">
      <c r="A45" s="6">
        <v>11</v>
      </c>
      <c r="B45" s="5" t="s">
        <v>18</v>
      </c>
      <c r="C45" s="80" t="s">
        <v>17</v>
      </c>
      <c r="D45" s="11">
        <f>ROUND(53864484/1000,2)</f>
        <v>53864.480000000003</v>
      </c>
      <c r="E45" s="11">
        <f>ROUND(16918631/1000,2)</f>
        <v>16918.63</v>
      </c>
      <c r="F45" s="11">
        <f>ROUND(5257722/1000,2)</f>
        <v>5257.72</v>
      </c>
      <c r="G45" s="4"/>
      <c r="H45" s="4">
        <f>D45+E45+F45+G45</f>
        <v>76040.83</v>
      </c>
      <c r="I45" s="9"/>
    </row>
    <row r="46" spans="1:10" ht="25.5" x14ac:dyDescent="0.25">
      <c r="A46" s="6"/>
      <c r="B46" s="5" t="s">
        <v>2</v>
      </c>
      <c r="C46" s="7" t="s">
        <v>16</v>
      </c>
      <c r="D46" s="4">
        <f>SUM(D45:D45)</f>
        <v>53864.480000000003</v>
      </c>
      <c r="E46" s="4">
        <f>SUM(E45:E45)</f>
        <v>16918.63</v>
      </c>
      <c r="F46" s="4">
        <f>SUM(F45:F45)</f>
        <v>5257.72</v>
      </c>
      <c r="G46" s="4">
        <f>SUM(G45:G45)</f>
        <v>0</v>
      </c>
      <c r="H46" s="4">
        <f>D46+E46+F46+G46</f>
        <v>76040.83</v>
      </c>
      <c r="I46" s="4" t="e">
        <f>I32+#REF!+I38+I42+I45</f>
        <v>#REF!</v>
      </c>
      <c r="J46" s="12"/>
    </row>
    <row r="47" spans="1:10" x14ac:dyDescent="0.25">
      <c r="A47" s="6"/>
      <c r="B47" s="5" t="s">
        <v>2</v>
      </c>
      <c r="C47" s="7" t="s">
        <v>15</v>
      </c>
      <c r="D47" s="4">
        <f>ROUND(D32+D35+D39+D43+D46,2)</f>
        <v>461303.76</v>
      </c>
      <c r="E47" s="4">
        <f>ROUND(E32+E35+E39+E43+E46,2)</f>
        <v>67102.759999999995</v>
      </c>
      <c r="F47" s="4">
        <f>ROUND(F32+F35+F39+F43+F46,2)</f>
        <v>31817.81</v>
      </c>
      <c r="G47" s="4">
        <f>ROUND(G32+G35+G39+G43+G46,2)</f>
        <v>290.68</v>
      </c>
      <c r="H47" s="4">
        <f>D47+E47+F47+G47</f>
        <v>560515.01000000013</v>
      </c>
      <c r="I47" s="9"/>
      <c r="J47" s="8"/>
    </row>
    <row r="48" spans="1:10" ht="36" customHeight="1" x14ac:dyDescent="0.25">
      <c r="A48" s="161" t="s">
        <v>147</v>
      </c>
      <c r="B48" s="162"/>
      <c r="C48" s="163"/>
      <c r="D48" s="122">
        <f>D47/6.3*6.4</f>
        <v>468626.04190476192</v>
      </c>
      <c r="E48" s="122">
        <f>E47/6.3*6.4</f>
        <v>68167.883174603179</v>
      </c>
      <c r="F48" s="122">
        <f>F47</f>
        <v>31817.81</v>
      </c>
      <c r="G48" s="122">
        <f>G47</f>
        <v>290.68</v>
      </c>
      <c r="H48" s="122">
        <f>D48+E48+F48+G48</f>
        <v>568902.41507936525</v>
      </c>
      <c r="I48" s="9"/>
      <c r="J48" s="8"/>
    </row>
    <row r="49" spans="1:13" x14ac:dyDescent="0.25">
      <c r="A49" s="139" t="s">
        <v>14</v>
      </c>
      <c r="B49" s="140"/>
      <c r="C49" s="140"/>
      <c r="D49" s="140"/>
      <c r="E49" s="140"/>
      <c r="F49" s="140"/>
      <c r="G49" s="140"/>
      <c r="H49" s="141"/>
      <c r="I49" s="9"/>
    </row>
    <row r="50" spans="1:13" ht="25.5" x14ac:dyDescent="0.25">
      <c r="A50" s="6">
        <v>12</v>
      </c>
      <c r="B50" s="5" t="s">
        <v>13</v>
      </c>
      <c r="C50" s="7" t="s">
        <v>12</v>
      </c>
      <c r="D50" s="11">
        <f>D48*0.018</f>
        <v>8435.2687542857147</v>
      </c>
      <c r="E50" s="11">
        <f>E48*0.018</f>
        <v>1227.0218971428571</v>
      </c>
      <c r="F50" s="11"/>
      <c r="G50" s="11"/>
      <c r="H50" s="4">
        <f>D50+E50+F50+G50</f>
        <v>9662.2906514285714</v>
      </c>
    </row>
    <row r="51" spans="1:13" ht="25.5" x14ac:dyDescent="0.25">
      <c r="A51" s="6"/>
      <c r="B51" s="5" t="s">
        <v>2</v>
      </c>
      <c r="C51" s="7" t="s">
        <v>11</v>
      </c>
      <c r="D51" s="11">
        <f>SUM(D50)</f>
        <v>8435.2687542857147</v>
      </c>
      <c r="E51" s="11">
        <f>SUM(E50)</f>
        <v>1227.0218971428571</v>
      </c>
      <c r="F51" s="11"/>
      <c r="G51" s="11"/>
      <c r="H51" s="4">
        <f>D51+E51+F51+G51</f>
        <v>9662.2906514285714</v>
      </c>
    </row>
    <row r="52" spans="1:13" x14ac:dyDescent="0.25">
      <c r="A52" s="6"/>
      <c r="B52" s="5" t="s">
        <v>2</v>
      </c>
      <c r="C52" s="7" t="s">
        <v>10</v>
      </c>
      <c r="D52" s="11">
        <f>D48+D51</f>
        <v>477061.31065904762</v>
      </c>
      <c r="E52" s="11">
        <f>E51+E48</f>
        <v>69394.905071746034</v>
      </c>
      <c r="F52" s="11">
        <f>F47+F51</f>
        <v>31817.81</v>
      </c>
      <c r="G52" s="11">
        <f>G47+G51</f>
        <v>290.68</v>
      </c>
      <c r="H52" s="4">
        <f>D52+E52+F52+G52</f>
        <v>578564.70573079376</v>
      </c>
    </row>
    <row r="53" spans="1:13" x14ac:dyDescent="0.25">
      <c r="A53" s="139" t="s">
        <v>9</v>
      </c>
      <c r="B53" s="140"/>
      <c r="C53" s="140"/>
      <c r="D53" s="140"/>
      <c r="E53" s="140"/>
      <c r="F53" s="140"/>
      <c r="G53" s="140"/>
      <c r="H53" s="141"/>
    </row>
    <row r="54" spans="1:13" ht="36" x14ac:dyDescent="0.25">
      <c r="A54" s="6">
        <v>13</v>
      </c>
      <c r="B54" s="10" t="s">
        <v>8</v>
      </c>
      <c r="C54" s="7" t="s">
        <v>7</v>
      </c>
      <c r="D54" s="4">
        <f>D52*0.015</f>
        <v>7155.9196598857143</v>
      </c>
      <c r="E54" s="4">
        <f>E52*0.015</f>
        <v>1040.9235760761906</v>
      </c>
      <c r="F54" s="4"/>
      <c r="G54" s="4"/>
      <c r="H54" s="4">
        <f>D54+E54+F54+G54</f>
        <v>8196.8432359619055</v>
      </c>
    </row>
    <row r="55" spans="1:13" ht="45" customHeight="1" x14ac:dyDescent="0.25">
      <c r="A55" s="6">
        <v>14</v>
      </c>
      <c r="B55" s="5" t="s">
        <v>6</v>
      </c>
      <c r="C55" s="7" t="s">
        <v>146</v>
      </c>
      <c r="D55" s="4"/>
      <c r="E55" s="4"/>
      <c r="F55" s="4"/>
      <c r="G55" s="4">
        <f>'ССР полн баз'!G54*22.5</f>
        <v>4116.7683314999995</v>
      </c>
      <c r="H55" s="4">
        <f>D55+E55+F55+G55</f>
        <v>4116.7683314999995</v>
      </c>
    </row>
    <row r="56" spans="1:13" ht="25.5" x14ac:dyDescent="0.25">
      <c r="A56" s="6"/>
      <c r="B56" s="5" t="s">
        <v>2</v>
      </c>
      <c r="C56" s="7" t="s">
        <v>4</v>
      </c>
      <c r="D56" s="4">
        <f>SUM(D54:D55)</f>
        <v>7155.9196598857143</v>
      </c>
      <c r="E56" s="4">
        <f>SUM(E54:E55)</f>
        <v>1040.9235760761906</v>
      </c>
      <c r="F56" s="4">
        <f>SUM(F54:F55)</f>
        <v>0</v>
      </c>
      <c r="G56" s="4">
        <f>SUM(G54:G55)</f>
        <v>4116.7683314999995</v>
      </c>
      <c r="H56" s="4">
        <f>D56+E56+F56+G56</f>
        <v>12313.611567461905</v>
      </c>
    </row>
    <row r="57" spans="1:13" x14ac:dyDescent="0.25">
      <c r="A57" s="6"/>
      <c r="B57" s="5" t="s">
        <v>2</v>
      </c>
      <c r="C57" s="7" t="s">
        <v>3</v>
      </c>
      <c r="D57" s="4">
        <f>D52+D56</f>
        <v>484217.23031893332</v>
      </c>
      <c r="E57" s="4">
        <f>ROUND(E52+E56,2)</f>
        <v>70435.83</v>
      </c>
      <c r="F57" s="4">
        <f>F52+F56</f>
        <v>31817.81</v>
      </c>
      <c r="G57" s="4">
        <f>G52+G56</f>
        <v>4407.4483314999998</v>
      </c>
      <c r="H57" s="4">
        <f>D57+E57+F57+G57</f>
        <v>590878.31865043344</v>
      </c>
    </row>
    <row r="58" spans="1:13" x14ac:dyDescent="0.25">
      <c r="A58" s="139" t="s">
        <v>62</v>
      </c>
      <c r="B58" s="140"/>
      <c r="C58" s="140"/>
      <c r="D58" s="140"/>
      <c r="E58" s="140"/>
      <c r="F58" s="140"/>
      <c r="G58" s="140"/>
      <c r="H58" s="141"/>
      <c r="J58" s="8" t="e">
        <f>SUM(#REF!)-0</f>
        <v>#REF!</v>
      </c>
    </row>
    <row r="59" spans="1:13" ht="25.5" x14ac:dyDescent="0.25">
      <c r="A59" s="6">
        <v>15</v>
      </c>
      <c r="B59" s="5" t="s">
        <v>79</v>
      </c>
      <c r="C59" s="7" t="s">
        <v>158</v>
      </c>
      <c r="D59" s="4">
        <f>D57*0.18</f>
        <v>87159.101457407989</v>
      </c>
      <c r="E59" s="4">
        <f t="shared" ref="E59:H59" si="0">E57*0.18</f>
        <v>12678.4494</v>
      </c>
      <c r="F59" s="4">
        <f t="shared" si="0"/>
        <v>5727.2057999999997</v>
      </c>
      <c r="G59" s="4">
        <f t="shared" si="0"/>
        <v>793.34069966999994</v>
      </c>
      <c r="H59" s="4">
        <f t="shared" si="0"/>
        <v>106358.09735707802</v>
      </c>
    </row>
    <row r="60" spans="1:13" x14ac:dyDescent="0.25">
      <c r="A60" s="6"/>
      <c r="B60" s="5" t="s">
        <v>2</v>
      </c>
      <c r="C60" s="7" t="s">
        <v>1</v>
      </c>
      <c r="D60" s="4">
        <f>D59</f>
        <v>87159.101457407989</v>
      </c>
      <c r="E60" s="4">
        <f>E59</f>
        <v>12678.4494</v>
      </c>
      <c r="F60" s="4">
        <f>F59</f>
        <v>5727.2057999999997</v>
      </c>
      <c r="G60" s="4">
        <f>G59</f>
        <v>793.34069966999994</v>
      </c>
      <c r="H60" s="4">
        <f>D60+E60+F60+G60</f>
        <v>106358.09735707799</v>
      </c>
    </row>
    <row r="61" spans="1:13" x14ac:dyDescent="0.25">
      <c r="A61" s="179" t="s">
        <v>156</v>
      </c>
      <c r="B61" s="180"/>
      <c r="C61" s="181"/>
      <c r="D61" s="122">
        <f>D60+D57</f>
        <v>571376.33177634131</v>
      </c>
      <c r="E61" s="122">
        <f t="shared" ref="E61:M61" si="1">E60+E57</f>
        <v>83114.279399999999</v>
      </c>
      <c r="F61" s="122">
        <f t="shared" si="1"/>
        <v>37545.015800000001</v>
      </c>
      <c r="G61" s="122">
        <f t="shared" si="1"/>
        <v>5200.7890311699994</v>
      </c>
      <c r="H61" s="122">
        <f t="shared" si="1"/>
        <v>697236.41600751143</v>
      </c>
      <c r="I61" s="122">
        <f t="shared" si="1"/>
        <v>0</v>
      </c>
      <c r="J61" s="122">
        <f t="shared" si="1"/>
        <v>0</v>
      </c>
      <c r="K61" s="122">
        <f t="shared" si="1"/>
        <v>0</v>
      </c>
      <c r="L61" s="122">
        <f t="shared" si="1"/>
        <v>0</v>
      </c>
      <c r="M61" s="122">
        <f t="shared" si="1"/>
        <v>0</v>
      </c>
    </row>
    <row r="62" spans="1:13" x14ac:dyDescent="0.25">
      <c r="A62" s="6"/>
      <c r="B62" s="5"/>
      <c r="C62" s="124"/>
      <c r="D62" s="122"/>
      <c r="E62" s="122"/>
      <c r="F62" s="122"/>
      <c r="G62" s="122"/>
      <c r="H62" s="122"/>
    </row>
    <row r="63" spans="1:13" ht="41.25" customHeight="1" thickBot="1" x14ac:dyDescent="0.3">
      <c r="A63" s="164" t="s">
        <v>148</v>
      </c>
      <c r="B63" s="164"/>
      <c r="C63" s="164"/>
      <c r="D63" s="125">
        <f>D61*14%</f>
        <v>79992.686448687789</v>
      </c>
      <c r="E63" s="125">
        <f t="shared" ref="E63:H63" si="2">E61*14%</f>
        <v>11635.999116000001</v>
      </c>
      <c r="F63" s="125">
        <f t="shared" si="2"/>
        <v>5256.3022120000005</v>
      </c>
      <c r="G63" s="125">
        <f t="shared" si="2"/>
        <v>728.11046436380002</v>
      </c>
      <c r="H63" s="126">
        <f t="shared" si="2"/>
        <v>97613.098241051615</v>
      </c>
      <c r="M63" s="1">
        <v>813529.08375183563</v>
      </c>
    </row>
    <row r="64" spans="1:13" ht="15.75" hidden="1" thickBot="1" x14ac:dyDescent="0.3">
      <c r="C64" s="123"/>
      <c r="D64" s="123" t="s">
        <v>78</v>
      </c>
      <c r="E64" s="123" t="s">
        <v>77</v>
      </c>
      <c r="F64" s="123" t="s">
        <v>76</v>
      </c>
    </row>
    <row r="65" spans="3:19" ht="15.75" hidden="1" thickBot="1" x14ac:dyDescent="0.3">
      <c r="C65" s="177" t="s">
        <v>75</v>
      </c>
      <c r="D65" s="52" t="e">
        <f>ROUND('ССР полн баз'!D63,2)</f>
        <v>#REF!</v>
      </c>
      <c r="E65" s="46" t="e">
        <f>#REF!</f>
        <v>#REF!</v>
      </c>
      <c r="F65" s="46" t="e">
        <f>#REF!</f>
        <v>#REF!</v>
      </c>
      <c r="G65" s="51" t="s">
        <v>69</v>
      </c>
      <c r="H65" s="40" t="e">
        <f>D65-E65-F65</f>
        <v>#REF!</v>
      </c>
      <c r="M65" s="71">
        <v>118050.85</v>
      </c>
      <c r="N65" s="70">
        <v>93190.54</v>
      </c>
      <c r="O65" s="69">
        <v>24860.31</v>
      </c>
      <c r="P65" s="62"/>
      <c r="Q65" s="58" t="e">
        <f t="shared" ref="Q65:Q76" si="3">M65-D65</f>
        <v>#REF!</v>
      </c>
      <c r="R65" s="58" t="e">
        <f t="shared" ref="R65:R76" si="4">N65-E65</f>
        <v>#REF!</v>
      </c>
      <c r="S65" s="58" t="e">
        <f t="shared" ref="S65:S76" si="5">O65-F65</f>
        <v>#REF!</v>
      </c>
    </row>
    <row r="66" spans="3:19" ht="15.75" hidden="1" thickBot="1" x14ac:dyDescent="0.3">
      <c r="C66" s="177"/>
      <c r="D66" s="52" t="e">
        <f>ROUND(#REF!,2)</f>
        <v>#REF!</v>
      </c>
      <c r="E66" s="46" t="e">
        <f>#REF!</f>
        <v>#REF!</v>
      </c>
      <c r="F66" s="46" t="e">
        <f>#REF!</f>
        <v>#REF!</v>
      </c>
      <c r="G66" s="45" t="s">
        <v>68</v>
      </c>
      <c r="H66" s="40" t="e">
        <f>D66-E66-F66+0</f>
        <v>#REF!</v>
      </c>
      <c r="M66" s="44">
        <v>680239.24755155342</v>
      </c>
      <c r="N66" s="53">
        <v>512962.27998080105</v>
      </c>
      <c r="O66" s="42">
        <v>167276.96985323008</v>
      </c>
      <c r="Q66" s="41" t="e">
        <f t="shared" si="3"/>
        <v>#REF!</v>
      </c>
      <c r="R66" s="41" t="e">
        <f t="shared" si="4"/>
        <v>#REF!</v>
      </c>
      <c r="S66" s="41" t="e">
        <f t="shared" si="5"/>
        <v>#REF!</v>
      </c>
    </row>
    <row r="67" spans="3:19" ht="15.75" hidden="1" thickBot="1" x14ac:dyDescent="0.3">
      <c r="C67" s="177" t="s">
        <v>74</v>
      </c>
      <c r="D67" s="52" t="e">
        <f>ROUND('ССР полн баз'!D65,2)</f>
        <v>#REF!</v>
      </c>
      <c r="E67" s="46" t="e">
        <f>#REF!</f>
        <v>#REF!</v>
      </c>
      <c r="F67" s="46" t="e">
        <f>#REF!</f>
        <v>#REF!</v>
      </c>
      <c r="G67" s="51" t="s">
        <v>69</v>
      </c>
      <c r="H67" s="40" t="e">
        <f>D67-E67-F67</f>
        <v>#REF!</v>
      </c>
      <c r="M67" s="65">
        <v>83796.38</v>
      </c>
      <c r="N67" s="64">
        <v>66794.02</v>
      </c>
      <c r="O67" s="63">
        <v>17002.36</v>
      </c>
      <c r="P67" s="62"/>
      <c r="Q67" s="58" t="e">
        <f t="shared" si="3"/>
        <v>#REF!</v>
      </c>
      <c r="R67" s="58" t="e">
        <f t="shared" si="4"/>
        <v>#REF!</v>
      </c>
      <c r="S67" s="58" t="e">
        <f t="shared" si="5"/>
        <v>#REF!</v>
      </c>
    </row>
    <row r="68" spans="3:19" ht="15.75" hidden="1" thickBot="1" x14ac:dyDescent="0.3">
      <c r="C68" s="177"/>
      <c r="D68" s="52" t="e">
        <f>ROUND(J58,2)</f>
        <v>#REF!</v>
      </c>
      <c r="E68" s="46" t="e">
        <f>#REF!</f>
        <v>#REF!</v>
      </c>
      <c r="F68" s="46" t="e">
        <f>#REF!</f>
        <v>#REF!</v>
      </c>
      <c r="G68" s="45" t="s">
        <v>68</v>
      </c>
      <c r="H68" s="40" t="e">
        <f>D68-E68-F68+0</f>
        <v>#REF!</v>
      </c>
      <c r="M68" s="73">
        <v>541854.03</v>
      </c>
      <c r="N68" s="60">
        <v>417405.28986543184</v>
      </c>
      <c r="O68" s="72">
        <v>124448.74</v>
      </c>
      <c r="Q68" s="58" t="e">
        <f t="shared" si="3"/>
        <v>#REF!</v>
      </c>
      <c r="R68" s="58" t="e">
        <f t="shared" si="4"/>
        <v>#REF!</v>
      </c>
      <c r="S68" s="58" t="e">
        <f t="shared" si="5"/>
        <v>#REF!</v>
      </c>
    </row>
    <row r="69" spans="3:19" ht="15.75" hidden="1" thickBot="1" x14ac:dyDescent="0.3">
      <c r="C69" s="177" t="s">
        <v>73</v>
      </c>
      <c r="D69" s="52" t="e">
        <f>ROUND('ССР полн баз'!D67,2)</f>
        <v>#REF!</v>
      </c>
      <c r="E69" s="46" t="e">
        <f>#REF!</f>
        <v>#REF!</v>
      </c>
      <c r="F69" s="46" t="e">
        <f>#REF!</f>
        <v>#REF!</v>
      </c>
      <c r="G69" s="51" t="s">
        <v>69</v>
      </c>
      <c r="H69" s="40" t="e">
        <f t="shared" ref="H69:H74" si="6">D69-E69-F69</f>
        <v>#REF!</v>
      </c>
      <c r="M69" s="71">
        <v>26103.67</v>
      </c>
      <c r="N69" s="70">
        <v>22650.30258</v>
      </c>
      <c r="O69" s="69">
        <v>3453.37</v>
      </c>
      <c r="P69" s="62"/>
      <c r="Q69" s="58" t="e">
        <f t="shared" si="3"/>
        <v>#REF!</v>
      </c>
      <c r="R69" s="58" t="e">
        <f t="shared" si="4"/>
        <v>#REF!</v>
      </c>
      <c r="S69" s="58" t="e">
        <f t="shared" si="5"/>
        <v>#REF!</v>
      </c>
    </row>
    <row r="70" spans="3:19" ht="15.75" hidden="1" thickBot="1" x14ac:dyDescent="0.3">
      <c r="C70" s="177"/>
      <c r="D70" s="52" t="e">
        <f>ROUND(#REF!,2)</f>
        <v>#REF!</v>
      </c>
      <c r="E70" s="46" t="e">
        <f>#REF!</f>
        <v>#REF!</v>
      </c>
      <c r="F70" s="46" t="e">
        <f>#REF!</f>
        <v>#REF!</v>
      </c>
      <c r="G70" s="45" t="s">
        <v>68</v>
      </c>
      <c r="H70" s="40" t="e">
        <f t="shared" si="6"/>
        <v>#REF!</v>
      </c>
      <c r="M70" s="68">
        <v>91232.37</v>
      </c>
      <c r="N70" s="67">
        <v>74784.477299999984</v>
      </c>
      <c r="O70" s="66">
        <v>16447.89</v>
      </c>
      <c r="Q70" s="58" t="e">
        <f t="shared" si="3"/>
        <v>#REF!</v>
      </c>
      <c r="R70" s="58" t="e">
        <f t="shared" si="4"/>
        <v>#REF!</v>
      </c>
      <c r="S70" s="58" t="e">
        <f t="shared" si="5"/>
        <v>#REF!</v>
      </c>
    </row>
    <row r="71" spans="3:19" ht="15.75" hidden="1" thickBot="1" x14ac:dyDescent="0.3">
      <c r="C71" s="177" t="s">
        <v>72</v>
      </c>
      <c r="D71" s="52" t="e">
        <f>ROUND('ССР полн баз'!D69,2)</f>
        <v>#REF!</v>
      </c>
      <c r="E71" s="46" t="e">
        <f>#REF!</f>
        <v>#REF!</v>
      </c>
      <c r="F71" s="46" t="e">
        <f>#REF!</f>
        <v>#REF!</v>
      </c>
      <c r="G71" s="51" t="s">
        <v>69</v>
      </c>
      <c r="H71" s="40" t="e">
        <f t="shared" si="6"/>
        <v>#REF!</v>
      </c>
      <c r="M71" s="65">
        <v>8150.8</v>
      </c>
      <c r="N71" s="64">
        <v>3746.2202506323074</v>
      </c>
      <c r="O71" s="63">
        <v>4404.58</v>
      </c>
      <c r="P71" s="62"/>
      <c r="Q71" s="58" t="e">
        <f t="shared" si="3"/>
        <v>#REF!</v>
      </c>
      <c r="R71" s="58" t="e">
        <f t="shared" si="4"/>
        <v>#REF!</v>
      </c>
      <c r="S71" s="58" t="e">
        <f t="shared" si="5"/>
        <v>#REF!</v>
      </c>
    </row>
    <row r="72" spans="3:19" ht="15.75" hidden="1" thickBot="1" x14ac:dyDescent="0.3">
      <c r="C72" s="177"/>
      <c r="D72" s="52" t="e">
        <f>ROUND(#REF!,2)</f>
        <v>#REF!</v>
      </c>
      <c r="E72" s="46" t="e">
        <f>#REF!</f>
        <v>#REF!</v>
      </c>
      <c r="F72" s="46" t="e">
        <f>#REF!</f>
        <v>#REF!</v>
      </c>
      <c r="G72" s="45" t="s">
        <v>68</v>
      </c>
      <c r="H72" s="40" t="e">
        <f t="shared" si="6"/>
        <v>#REF!</v>
      </c>
      <c r="M72" s="61">
        <v>47152.846724354575</v>
      </c>
      <c r="N72" s="60">
        <v>20772.512815369235</v>
      </c>
      <c r="O72" s="59">
        <v>26380.336610816863</v>
      </c>
      <c r="Q72" s="58" t="e">
        <f t="shared" si="3"/>
        <v>#REF!</v>
      </c>
      <c r="R72" s="41" t="e">
        <f t="shared" si="4"/>
        <v>#REF!</v>
      </c>
      <c r="S72" s="41" t="e">
        <f t="shared" si="5"/>
        <v>#REF!</v>
      </c>
    </row>
    <row r="73" spans="3:19" ht="15.75" hidden="1" thickBot="1" x14ac:dyDescent="0.3">
      <c r="C73" s="177" t="s">
        <v>71</v>
      </c>
      <c r="D73" s="52">
        <f>ROUND('ССР полн баз'!D71,2)</f>
        <v>17266.240000000002</v>
      </c>
      <c r="E73" s="46" t="e">
        <f>#REF!</f>
        <v>#REF!</v>
      </c>
      <c r="F73" s="46" t="e">
        <f>#REF!</f>
        <v>#REF!</v>
      </c>
      <c r="G73" s="51" t="s">
        <v>69</v>
      </c>
      <c r="H73" s="40" t="e">
        <f t="shared" si="6"/>
        <v>#REF!</v>
      </c>
      <c r="M73" s="57">
        <v>20333.810000000001</v>
      </c>
      <c r="N73" s="56">
        <v>16538.001746520644</v>
      </c>
      <c r="O73" s="55">
        <v>3795.81</v>
      </c>
      <c r="Q73" s="54">
        <f t="shared" si="3"/>
        <v>3067.5699999999997</v>
      </c>
      <c r="R73" s="41" t="e">
        <f t="shared" si="4"/>
        <v>#REF!</v>
      </c>
      <c r="S73" s="54" t="e">
        <f t="shared" si="5"/>
        <v>#REF!</v>
      </c>
    </row>
    <row r="74" spans="3:19" ht="15.75" hidden="1" thickBot="1" x14ac:dyDescent="0.3">
      <c r="C74" s="177"/>
      <c r="D74" s="52">
        <f>ROUND(H60,2)</f>
        <v>106358.1</v>
      </c>
      <c r="E74" s="46" t="e">
        <f>#REF!</f>
        <v>#REF!</v>
      </c>
      <c r="F74" s="46" t="e">
        <f>#REF!</f>
        <v>#REF!</v>
      </c>
      <c r="G74" s="45" t="s">
        <v>68</v>
      </c>
      <c r="H74" s="40" t="e">
        <f t="shared" si="6"/>
        <v>#REF!</v>
      </c>
      <c r="M74" s="44">
        <v>118380.40165467962</v>
      </c>
      <c r="N74" s="53">
        <v>91284.368396544174</v>
      </c>
      <c r="O74" s="42">
        <v>27096.033195581414</v>
      </c>
      <c r="Q74" s="41">
        <f t="shared" si="3"/>
        <v>12022.301654679613</v>
      </c>
      <c r="R74" s="41" t="e">
        <f t="shared" si="4"/>
        <v>#REF!</v>
      </c>
      <c r="S74" s="41" t="e">
        <f t="shared" si="5"/>
        <v>#REF!</v>
      </c>
    </row>
    <row r="75" spans="3:19" ht="15.75" hidden="1" thickBot="1" x14ac:dyDescent="0.3">
      <c r="C75" s="177" t="s">
        <v>70</v>
      </c>
      <c r="D75" s="52">
        <f>ROUND('ССР полн баз'!D73,2)</f>
        <v>113189.82</v>
      </c>
      <c r="E75" s="46" t="e">
        <f>#REF!</f>
        <v>#REF!</v>
      </c>
      <c r="F75" s="46" t="e">
        <f>#REF!</f>
        <v>#REF!</v>
      </c>
      <c r="G75" s="51" t="s">
        <v>69</v>
      </c>
      <c r="H75" s="40" t="e">
        <f>D75-E75-F75-0</f>
        <v>#REF!</v>
      </c>
      <c r="M75" s="50">
        <v>138384.66043435445</v>
      </c>
      <c r="N75" s="49">
        <v>109728.53845556856</v>
      </c>
      <c r="O75" s="48">
        <v>28656.122101008164</v>
      </c>
      <c r="Q75" s="41">
        <f t="shared" si="3"/>
        <v>25194.840434354439</v>
      </c>
      <c r="R75" s="41" t="e">
        <f t="shared" si="4"/>
        <v>#REF!</v>
      </c>
      <c r="S75" s="41" t="e">
        <f t="shared" si="5"/>
        <v>#REF!</v>
      </c>
    </row>
    <row r="76" spans="3:19" ht="15.75" hidden="1" thickBot="1" x14ac:dyDescent="0.3">
      <c r="C76" s="178"/>
      <c r="D76" s="47">
        <f>ROUND(H61,2)</f>
        <v>697236.42</v>
      </c>
      <c r="E76" s="46" t="e">
        <f>#REF!</f>
        <v>#REF!</v>
      </c>
      <c r="F76" s="46" t="e">
        <f>#REF!</f>
        <v>#REF!</v>
      </c>
      <c r="G76" s="45" t="s">
        <v>68</v>
      </c>
      <c r="H76" s="40" t="e">
        <f>D76-E76-F76-0</f>
        <v>#REF!</v>
      </c>
      <c r="M76" s="44">
        <v>798619.64920623321</v>
      </c>
      <c r="N76" s="43">
        <v>604246.64837734529</v>
      </c>
      <c r="O76" s="42">
        <v>194373.00094881147</v>
      </c>
      <c r="Q76" s="41">
        <f t="shared" si="3"/>
        <v>101383.22920623317</v>
      </c>
      <c r="R76" s="41" t="e">
        <f t="shared" si="4"/>
        <v>#REF!</v>
      </c>
      <c r="S76" s="41" t="e">
        <f t="shared" si="5"/>
        <v>#REF!</v>
      </c>
    </row>
    <row r="77" spans="3:19" ht="15.75" hidden="1" thickBot="1" x14ac:dyDescent="0.3">
      <c r="M77" s="41" t="e">
        <f>M76+#REF!</f>
        <v>#REF!</v>
      </c>
      <c r="N77" s="41" t="e">
        <f>N76-E76</f>
        <v>#REF!</v>
      </c>
    </row>
    <row r="78" spans="3:19" ht="15.75" hidden="1" thickBot="1" x14ac:dyDescent="0.3">
      <c r="D78" s="40" t="e">
        <f>D67+D69+D71-D65</f>
        <v>#REF!</v>
      </c>
      <c r="E78" s="40" t="e">
        <f>E67+E69+E71-E65</f>
        <v>#REF!</v>
      </c>
      <c r="F78" s="40" t="e">
        <f>F67+F69+F71-F65</f>
        <v>#REF!</v>
      </c>
    </row>
    <row r="79" spans="3:19" ht="15.75" hidden="1" thickBot="1" x14ac:dyDescent="0.3">
      <c r="D79" s="40" t="e">
        <f>D68+D70+D72-D66+0</f>
        <v>#REF!</v>
      </c>
      <c r="E79" s="40" t="e">
        <f>E68+E70+E72-E66</f>
        <v>#REF!</v>
      </c>
      <c r="F79" s="40" t="e">
        <f>F68+F70+F72-F66+0</f>
        <v>#REF!</v>
      </c>
    </row>
    <row r="80" spans="3:19" ht="15.75" hidden="1" thickBot="1" x14ac:dyDescent="0.3"/>
    <row r="81" spans="1:9" ht="15.75" hidden="1" thickBot="1" x14ac:dyDescent="0.3">
      <c r="D81" s="39" t="e">
        <f>D75-D73-D65</f>
        <v>#REF!</v>
      </c>
      <c r="E81" s="39" t="e">
        <f>E75-E73-E65</f>
        <v>#REF!</v>
      </c>
      <c r="F81" s="39" t="e">
        <f>F75-F73-F65</f>
        <v>#REF!</v>
      </c>
    </row>
    <row r="82" spans="1:9" ht="39.75" customHeight="1" x14ac:dyDescent="0.25">
      <c r="A82" s="169" t="s">
        <v>149</v>
      </c>
      <c r="B82" s="170"/>
      <c r="C82" s="171"/>
      <c r="D82" s="127">
        <f>D61*32%</f>
        <v>182840.42616842923</v>
      </c>
      <c r="E82" s="127">
        <f t="shared" ref="E82:H82" si="7">E61*32%</f>
        <v>26596.569407999999</v>
      </c>
      <c r="F82" s="127">
        <f t="shared" si="7"/>
        <v>12014.405056000001</v>
      </c>
      <c r="G82" s="127">
        <f t="shared" si="7"/>
        <v>1664.2524899743999</v>
      </c>
      <c r="H82" s="127">
        <f t="shared" si="7"/>
        <v>223115.65312240366</v>
      </c>
    </row>
    <row r="83" spans="1:9" ht="77.25" customHeight="1" thickBot="1" x14ac:dyDescent="0.3">
      <c r="A83" s="165" t="s">
        <v>150</v>
      </c>
      <c r="B83" s="165"/>
      <c r="C83" s="165"/>
      <c r="D83" s="128">
        <f>D61*32%*1.021</f>
        <v>186680.07511796622</v>
      </c>
      <c r="E83" s="128">
        <f t="shared" ref="E83:H83" si="8">E61*32%*1.021</f>
        <v>27155.097365567995</v>
      </c>
      <c r="F83" s="128">
        <f t="shared" si="8"/>
        <v>12266.707562176</v>
      </c>
      <c r="G83" s="128">
        <f t="shared" si="8"/>
        <v>1699.201792263862</v>
      </c>
      <c r="H83" s="129">
        <f t="shared" si="8"/>
        <v>227801.08183797411</v>
      </c>
    </row>
    <row r="84" spans="1:9" ht="50.25" customHeight="1" x14ac:dyDescent="0.25">
      <c r="A84" s="172" t="s">
        <v>151</v>
      </c>
      <c r="B84" s="173"/>
      <c r="C84" s="174"/>
      <c r="D84" s="131">
        <f>D61*54%</f>
        <v>308543.2191592243</v>
      </c>
      <c r="E84" s="131">
        <f t="shared" ref="E84:H84" si="9">E61*54%</f>
        <v>44881.710876000005</v>
      </c>
      <c r="F84" s="131">
        <f t="shared" si="9"/>
        <v>20274.308532000003</v>
      </c>
      <c r="G84" s="131">
        <f t="shared" si="9"/>
        <v>2808.4260768317999</v>
      </c>
      <c r="H84" s="131">
        <f t="shared" si="9"/>
        <v>376507.66464405617</v>
      </c>
    </row>
    <row r="85" spans="1:9" ht="60.75" customHeight="1" x14ac:dyDescent="0.25">
      <c r="A85" s="166" t="s">
        <v>152</v>
      </c>
      <c r="B85" s="167"/>
      <c r="C85" s="168"/>
      <c r="D85" s="134">
        <f>D61*54%*1.042</f>
        <v>321502.03436391172</v>
      </c>
      <c r="E85" s="134">
        <f t="shared" ref="E85:H85" si="10">E61*54%*1.042</f>
        <v>46766.742732792009</v>
      </c>
      <c r="F85" s="134">
        <f t="shared" si="10"/>
        <v>21125.829490344004</v>
      </c>
      <c r="G85" s="134">
        <f t="shared" si="10"/>
        <v>2926.3799720587358</v>
      </c>
      <c r="H85" s="134">
        <f t="shared" si="10"/>
        <v>392320.98655910656</v>
      </c>
    </row>
    <row r="86" spans="1:9" ht="68.25" customHeight="1" thickBot="1" x14ac:dyDescent="0.3">
      <c r="A86" s="185" t="s">
        <v>160</v>
      </c>
      <c r="B86" s="186"/>
      <c r="C86" s="187"/>
      <c r="D86" s="132">
        <f>D85*1.01375</f>
        <v>325922.68733641546</v>
      </c>
      <c r="E86" s="132">
        <f t="shared" ref="E86:H86" si="11">E85*1.01375</f>
        <v>47409.785445367896</v>
      </c>
      <c r="F86" s="132">
        <f t="shared" si="11"/>
        <v>21416.309645836231</v>
      </c>
      <c r="G86" s="132">
        <f t="shared" si="11"/>
        <v>2966.6176966745434</v>
      </c>
      <c r="H86" s="133">
        <f t="shared" si="11"/>
        <v>397715.40012429428</v>
      </c>
    </row>
    <row r="87" spans="1:9" x14ac:dyDescent="0.25">
      <c r="A87" s="182" t="s">
        <v>155</v>
      </c>
      <c r="B87" s="183"/>
      <c r="C87" s="184"/>
      <c r="D87" s="130">
        <f>D63+D83+D86</f>
        <v>592595.44890306948</v>
      </c>
      <c r="E87" s="130">
        <f t="shared" ref="E87:H87" si="12">E63+E83+E86</f>
        <v>86200.881926935894</v>
      </c>
      <c r="F87" s="130">
        <f t="shared" si="12"/>
        <v>38939.319420012231</v>
      </c>
      <c r="G87" s="130">
        <f t="shared" si="12"/>
        <v>5393.9299533022058</v>
      </c>
      <c r="H87" s="135">
        <f t="shared" si="12"/>
        <v>723129.58020332002</v>
      </c>
    </row>
    <row r="88" spans="1:9" x14ac:dyDescent="0.25">
      <c r="A88" s="175" t="s">
        <v>67</v>
      </c>
      <c r="B88" s="176"/>
      <c r="C88" s="176"/>
      <c r="D88" s="136"/>
      <c r="E88" s="136"/>
      <c r="F88" s="136"/>
      <c r="G88" s="136"/>
      <c r="H88" s="137">
        <f>H87*0.18/1.18</f>
        <v>110307.90206491323</v>
      </c>
    </row>
    <row r="89" spans="1:9" x14ac:dyDescent="0.25">
      <c r="H89" s="39"/>
    </row>
    <row r="90" spans="1:9" x14ac:dyDescent="0.25">
      <c r="B90" s="159" t="s">
        <v>153</v>
      </c>
      <c r="C90" s="159"/>
      <c r="D90" s="36"/>
      <c r="E90" s="35"/>
      <c r="F90" s="35"/>
      <c r="G90" s="34"/>
      <c r="I90" s="1"/>
    </row>
    <row r="91" spans="1:9" x14ac:dyDescent="0.25">
      <c r="D91" s="160"/>
      <c r="E91" s="160"/>
      <c r="F91" s="160"/>
      <c r="G91" s="37"/>
      <c r="I91" s="1"/>
    </row>
    <row r="92" spans="1:9" x14ac:dyDescent="0.25">
      <c r="B92" s="159" t="s">
        <v>154</v>
      </c>
      <c r="C92" s="159"/>
      <c r="D92" s="36"/>
      <c r="E92" s="35"/>
      <c r="F92" s="35"/>
      <c r="G92" s="34"/>
      <c r="I92" s="1"/>
    </row>
    <row r="93" spans="1:9" x14ac:dyDescent="0.25">
      <c r="D93" s="160"/>
      <c r="E93" s="160"/>
      <c r="F93" s="160"/>
      <c r="G93" s="37"/>
      <c r="H93" s="1"/>
      <c r="I93" s="1"/>
    </row>
    <row r="94" spans="1:9" x14ac:dyDescent="0.25">
      <c r="B94" s="159"/>
      <c r="C94" s="159"/>
      <c r="D94" s="38"/>
      <c r="E94" s="34"/>
      <c r="F94" s="34"/>
      <c r="G94" s="34"/>
      <c r="H94" s="1"/>
      <c r="I94" s="1"/>
    </row>
    <row r="95" spans="1:9" x14ac:dyDescent="0.25">
      <c r="D95" s="158"/>
      <c r="E95" s="158"/>
      <c r="F95" s="158"/>
      <c r="G95" s="37"/>
      <c r="H95" s="1"/>
      <c r="I95" s="1"/>
    </row>
    <row r="96" spans="1:9" x14ac:dyDescent="0.25">
      <c r="B96" s="159"/>
      <c r="C96" s="159"/>
      <c r="D96" s="38"/>
      <c r="E96" s="34"/>
      <c r="F96" s="34"/>
      <c r="G96" s="34"/>
      <c r="H96" s="1"/>
      <c r="I96" s="1"/>
    </row>
  </sheetData>
  <protectedRanges>
    <protectedRange sqref="B34" name="Диапазон1_1"/>
  </protectedRanges>
  <mergeCells count="50">
    <mergeCell ref="A88:C88"/>
    <mergeCell ref="A53:H53"/>
    <mergeCell ref="A58:H58"/>
    <mergeCell ref="C75:C76"/>
    <mergeCell ref="C65:C66"/>
    <mergeCell ref="C67:C68"/>
    <mergeCell ref="C69:C70"/>
    <mergeCell ref="C71:C72"/>
    <mergeCell ref="A61:C61"/>
    <mergeCell ref="C73:C74"/>
    <mergeCell ref="A87:C87"/>
    <mergeCell ref="A86:C86"/>
    <mergeCell ref="A48:C48"/>
    <mergeCell ref="A63:C63"/>
    <mergeCell ref="A83:C83"/>
    <mergeCell ref="A85:C85"/>
    <mergeCell ref="A82:C82"/>
    <mergeCell ref="A84:C84"/>
    <mergeCell ref="A49:H49"/>
    <mergeCell ref="D95:F95"/>
    <mergeCell ref="B96:C96"/>
    <mergeCell ref="B90:C90"/>
    <mergeCell ref="D91:F91"/>
    <mergeCell ref="B92:C92"/>
    <mergeCell ref="D93:F93"/>
    <mergeCell ref="B94:C94"/>
    <mergeCell ref="C16:F16"/>
    <mergeCell ref="C15:F15"/>
    <mergeCell ref="C2:F2"/>
    <mergeCell ref="C3:F3"/>
    <mergeCell ref="C8:F8"/>
    <mergeCell ref="C9:F9"/>
    <mergeCell ref="C13:F13"/>
    <mergeCell ref="B5:C5"/>
    <mergeCell ref="D5:F5"/>
    <mergeCell ref="B18:H18"/>
    <mergeCell ref="A33:H33"/>
    <mergeCell ref="A36:H36"/>
    <mergeCell ref="A40:H40"/>
    <mergeCell ref="A44:H44"/>
    <mergeCell ref="H21:H24"/>
    <mergeCell ref="D22:D24"/>
    <mergeCell ref="E22:E24"/>
    <mergeCell ref="F22:F24"/>
    <mergeCell ref="G22:G24"/>
    <mergeCell ref="A21:A24"/>
    <mergeCell ref="B21:B24"/>
    <mergeCell ref="C21:C24"/>
    <mergeCell ref="D21:F21"/>
    <mergeCell ref="A26:H26"/>
  </mergeCells>
  <pageMargins left="0.7" right="0.7" top="0.75" bottom="0.75" header="0.3" footer="0.3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88"/>
  <sheetViews>
    <sheetView view="pageBreakPreview" zoomScale="90" zoomScaleNormal="100" zoomScaleSheetLayoutView="90" workbookViewId="0">
      <selection activeCell="C58" sqref="C58"/>
    </sheetView>
  </sheetViews>
  <sheetFormatPr defaultColWidth="9.140625" defaultRowHeight="15" x14ac:dyDescent="0.25"/>
  <cols>
    <col min="1" max="1" width="5.28515625" style="1" customWidth="1"/>
    <col min="2" max="2" width="18" style="1" customWidth="1"/>
    <col min="3" max="3" width="38.28515625" style="1" customWidth="1"/>
    <col min="4" max="4" width="14" style="3" customWidth="1"/>
    <col min="5" max="5" width="13.7109375" style="3" customWidth="1"/>
    <col min="6" max="6" width="12.85546875" style="3" customWidth="1"/>
    <col min="7" max="7" width="14.42578125" style="3" customWidth="1"/>
    <col min="8" max="8" width="13.140625" style="3" customWidth="1"/>
    <col min="9" max="9" width="15" style="2" hidden="1" customWidth="1"/>
    <col min="10" max="10" width="15.42578125" style="1" hidden="1" customWidth="1"/>
    <col min="11" max="12" width="3" style="1" hidden="1" customWidth="1"/>
    <col min="13" max="13" width="9.42578125" style="1" hidden="1" customWidth="1"/>
    <col min="14" max="15" width="9.42578125" style="1" customWidth="1"/>
    <col min="16" max="16" width="1.7109375" style="1" customWidth="1"/>
    <col min="17" max="17" width="9.7109375" style="1" customWidth="1"/>
    <col min="18" max="18" width="8.28515625" style="1" customWidth="1"/>
    <col min="19" max="19" width="9.28515625" style="1" customWidth="1"/>
    <col min="20" max="16384" width="9.140625" style="1"/>
  </cols>
  <sheetData>
    <row r="1" spans="1:9" x14ac:dyDescent="0.25">
      <c r="A1" s="19"/>
      <c r="B1" s="33"/>
      <c r="C1" s="18"/>
      <c r="D1" s="17"/>
      <c r="E1" s="17"/>
      <c r="F1" s="17"/>
      <c r="G1" s="17"/>
      <c r="H1" s="32" t="s">
        <v>61</v>
      </c>
    </row>
    <row r="2" spans="1:9" x14ac:dyDescent="0.25">
      <c r="A2" s="19"/>
      <c r="B2" s="33" t="s">
        <v>60</v>
      </c>
      <c r="C2" s="153"/>
      <c r="D2" s="153"/>
      <c r="E2" s="153"/>
      <c r="F2" s="153"/>
      <c r="G2" s="31"/>
      <c r="H2" s="17"/>
    </row>
    <row r="3" spans="1:9" x14ac:dyDescent="0.25">
      <c r="A3" s="19"/>
      <c r="B3" s="33"/>
      <c r="C3" s="154" t="s">
        <v>59</v>
      </c>
      <c r="D3" s="154"/>
      <c r="E3" s="154"/>
      <c r="F3" s="154"/>
      <c r="G3" s="27"/>
      <c r="H3" s="17"/>
    </row>
    <row r="4" spans="1:9" x14ac:dyDescent="0.25">
      <c r="A4" s="19"/>
      <c r="B4" s="33" t="s">
        <v>64</v>
      </c>
      <c r="C4" s="30"/>
      <c r="D4" s="17"/>
      <c r="E4" s="26"/>
      <c r="F4" s="17"/>
      <c r="G4" s="17"/>
      <c r="H4" s="17"/>
    </row>
    <row r="5" spans="1:9" ht="18.75" customHeight="1" x14ac:dyDescent="0.25">
      <c r="A5" s="19"/>
      <c r="B5" s="188"/>
      <c r="C5" s="188"/>
      <c r="D5" s="157"/>
      <c r="E5" s="157"/>
      <c r="F5" s="17"/>
      <c r="G5" s="17"/>
      <c r="H5" s="17"/>
    </row>
    <row r="6" spans="1:9" x14ac:dyDescent="0.25">
      <c r="A6" s="19"/>
      <c r="C6" s="29" t="s">
        <v>58</v>
      </c>
      <c r="D6" s="14">
        <f>H60</f>
        <v>113189.81858995798</v>
      </c>
      <c r="E6" s="17" t="s">
        <v>57</v>
      </c>
      <c r="F6" s="17"/>
      <c r="G6" s="17"/>
      <c r="H6" s="17"/>
      <c r="I6" s="1"/>
    </row>
    <row r="7" spans="1:9" x14ac:dyDescent="0.25">
      <c r="A7" s="19"/>
      <c r="C7" s="33" t="s">
        <v>56</v>
      </c>
      <c r="D7" s="17"/>
      <c r="E7" s="17"/>
      <c r="F7" s="17"/>
      <c r="G7" s="17"/>
      <c r="H7" s="17"/>
      <c r="I7" s="1"/>
    </row>
    <row r="8" spans="1:9" x14ac:dyDescent="0.25">
      <c r="A8" s="19"/>
      <c r="B8" s="33"/>
      <c r="C8" s="152"/>
      <c r="D8" s="152"/>
      <c r="E8" s="152"/>
      <c r="F8" s="152"/>
      <c r="G8" s="24"/>
      <c r="H8" s="17"/>
      <c r="I8" s="1"/>
    </row>
    <row r="9" spans="1:9" x14ac:dyDescent="0.25">
      <c r="A9" s="19"/>
      <c r="B9" s="33"/>
      <c r="C9" s="154" t="s">
        <v>55</v>
      </c>
      <c r="D9" s="154"/>
      <c r="E9" s="154"/>
      <c r="F9" s="154"/>
      <c r="G9" s="27"/>
      <c r="H9" s="17"/>
      <c r="I9" s="1"/>
    </row>
    <row r="10" spans="1:9" x14ac:dyDescent="0.25">
      <c r="A10" s="19"/>
      <c r="B10" s="33"/>
      <c r="C10" s="18"/>
      <c r="D10" s="17"/>
      <c r="E10" s="26"/>
      <c r="F10" s="17"/>
      <c r="G10" s="17"/>
      <c r="H10" s="17"/>
      <c r="I10" s="1"/>
    </row>
    <row r="11" spans="1:9" x14ac:dyDescent="0.25">
      <c r="A11" s="19"/>
      <c r="B11" s="33" t="s">
        <v>143</v>
      </c>
      <c r="C11" s="18"/>
      <c r="D11" s="22"/>
      <c r="E11" s="22"/>
      <c r="F11" s="22"/>
      <c r="G11" s="22"/>
      <c r="H11" s="17"/>
      <c r="I11" s="1"/>
    </row>
    <row r="12" spans="1:9" x14ac:dyDescent="0.25">
      <c r="A12" s="19"/>
      <c r="B12" s="33"/>
      <c r="C12" s="18"/>
      <c r="D12" s="22"/>
      <c r="E12" s="22"/>
      <c r="F12" s="22"/>
      <c r="G12" s="17"/>
      <c r="H12" s="17"/>
      <c r="I12" s="1"/>
    </row>
    <row r="13" spans="1:9" x14ac:dyDescent="0.25">
      <c r="A13" s="19"/>
      <c r="B13" s="33"/>
      <c r="C13" s="155" t="s">
        <v>54</v>
      </c>
      <c r="D13" s="155"/>
      <c r="E13" s="155"/>
      <c r="F13" s="155"/>
      <c r="G13" s="25"/>
      <c r="H13" s="17"/>
      <c r="I13" s="1"/>
    </row>
    <row r="14" spans="1:9" x14ac:dyDescent="0.25">
      <c r="A14" s="19"/>
      <c r="B14" s="33"/>
      <c r="C14" s="18"/>
      <c r="D14" s="20"/>
      <c r="E14" s="22"/>
      <c r="F14" s="17"/>
      <c r="G14" s="17"/>
      <c r="H14" s="17"/>
      <c r="I14" s="1"/>
    </row>
    <row r="15" spans="1:9" ht="23.25" customHeight="1" x14ac:dyDescent="0.25">
      <c r="A15" s="19"/>
      <c r="B15" s="33"/>
      <c r="C15" s="152"/>
      <c r="D15" s="152"/>
      <c r="E15" s="152"/>
      <c r="F15" s="152"/>
      <c r="G15" s="24"/>
      <c r="H15" s="17"/>
      <c r="I15" s="1"/>
    </row>
    <row r="16" spans="1:9" x14ac:dyDescent="0.25">
      <c r="A16" s="19"/>
      <c r="B16" s="33"/>
      <c r="C16" s="151" t="s">
        <v>53</v>
      </c>
      <c r="D16" s="151"/>
      <c r="E16" s="151"/>
      <c r="F16" s="151"/>
      <c r="G16" s="23"/>
      <c r="H16" s="17"/>
      <c r="I16" s="1"/>
    </row>
    <row r="17" spans="1:9" x14ac:dyDescent="0.25">
      <c r="A17" s="19"/>
      <c r="B17" s="33"/>
      <c r="C17" s="18"/>
      <c r="D17" s="22"/>
      <c r="E17" s="22"/>
      <c r="F17" s="22"/>
      <c r="G17" s="1"/>
      <c r="H17" s="17"/>
      <c r="I17" s="1"/>
    </row>
    <row r="18" spans="1:9" x14ac:dyDescent="0.25">
      <c r="A18" s="19"/>
      <c r="B18" s="21" t="s">
        <v>82</v>
      </c>
      <c r="C18" s="18"/>
      <c r="D18" s="20"/>
      <c r="E18" s="17"/>
      <c r="F18" s="17"/>
      <c r="G18" s="14"/>
      <c r="H18" s="17"/>
      <c r="I18" s="1"/>
    </row>
    <row r="19" spans="1:9" x14ac:dyDescent="0.25">
      <c r="A19" s="19"/>
      <c r="B19" s="33"/>
      <c r="C19" s="18"/>
      <c r="D19" s="20"/>
      <c r="E19" s="17"/>
      <c r="F19" s="17"/>
      <c r="G19" s="17"/>
      <c r="H19" s="17"/>
      <c r="I19" s="1"/>
    </row>
    <row r="20" spans="1:9" x14ac:dyDescent="0.25">
      <c r="A20" s="19"/>
      <c r="B20" s="33"/>
      <c r="C20" s="18"/>
      <c r="D20" s="17"/>
      <c r="E20" s="17"/>
      <c r="F20" s="17"/>
      <c r="G20" s="17"/>
      <c r="H20" s="17"/>
      <c r="I20" s="1"/>
    </row>
    <row r="21" spans="1:9" x14ac:dyDescent="0.25">
      <c r="A21" s="142" t="s">
        <v>52</v>
      </c>
      <c r="B21" s="145" t="s">
        <v>51</v>
      </c>
      <c r="C21" s="142" t="s">
        <v>50</v>
      </c>
      <c r="D21" s="148"/>
      <c r="E21" s="149"/>
      <c r="F21" s="150"/>
      <c r="G21" s="16"/>
      <c r="H21" s="142" t="s">
        <v>49</v>
      </c>
      <c r="I21" s="1"/>
    </row>
    <row r="22" spans="1:9" x14ac:dyDescent="0.25">
      <c r="A22" s="143"/>
      <c r="B22" s="146"/>
      <c r="C22" s="143"/>
      <c r="D22" s="142" t="s">
        <v>48</v>
      </c>
      <c r="E22" s="142" t="s">
        <v>47</v>
      </c>
      <c r="F22" s="142" t="s">
        <v>46</v>
      </c>
      <c r="G22" s="142" t="s">
        <v>45</v>
      </c>
      <c r="H22" s="143"/>
      <c r="I22" s="1"/>
    </row>
    <row r="23" spans="1:9" x14ac:dyDescent="0.25">
      <c r="A23" s="143"/>
      <c r="B23" s="146"/>
      <c r="C23" s="143"/>
      <c r="D23" s="143"/>
      <c r="E23" s="143"/>
      <c r="F23" s="143"/>
      <c r="G23" s="143"/>
      <c r="H23" s="143"/>
      <c r="I23" s="1"/>
    </row>
    <row r="24" spans="1:9" x14ac:dyDescent="0.25">
      <c r="A24" s="144"/>
      <c r="B24" s="147"/>
      <c r="C24" s="144"/>
      <c r="D24" s="144"/>
      <c r="E24" s="144"/>
      <c r="F24" s="144"/>
      <c r="G24" s="144"/>
      <c r="H24" s="144"/>
      <c r="I24" s="1"/>
    </row>
    <row r="25" spans="1:9" x14ac:dyDescent="0.25">
      <c r="A25" s="15">
        <v>1</v>
      </c>
      <c r="B25" s="15">
        <v>2</v>
      </c>
      <c r="C25" s="15">
        <v>3</v>
      </c>
      <c r="D25" s="15"/>
      <c r="E25" s="15"/>
      <c r="F25" s="15"/>
      <c r="G25" s="15"/>
      <c r="H25" s="15">
        <v>8</v>
      </c>
      <c r="I25" s="1"/>
    </row>
    <row r="26" spans="1:9" x14ac:dyDescent="0.25">
      <c r="A26" s="139" t="s">
        <v>44</v>
      </c>
      <c r="B26" s="140"/>
      <c r="C26" s="140"/>
      <c r="D26" s="140"/>
      <c r="E26" s="140"/>
      <c r="F26" s="140"/>
      <c r="G26" s="140"/>
      <c r="H26" s="141"/>
      <c r="I26" s="1"/>
    </row>
    <row r="27" spans="1:9" ht="15.75" customHeight="1" x14ac:dyDescent="0.25">
      <c r="A27" s="6">
        <v>1</v>
      </c>
      <c r="B27" s="5" t="s">
        <v>43</v>
      </c>
      <c r="C27" s="80" t="s">
        <v>42</v>
      </c>
      <c r="D27" s="4">
        <f>1674974/1000</f>
        <v>1674.9739999999999</v>
      </c>
      <c r="E27" s="4"/>
      <c r="F27" s="4"/>
      <c r="G27" s="4"/>
      <c r="H27" s="4">
        <f>D27+E27+F27+G27</f>
        <v>1674.9739999999999</v>
      </c>
      <c r="I27" s="13">
        <f>H27*1.18</f>
        <v>1976.4693199999999</v>
      </c>
    </row>
    <row r="28" spans="1:9" x14ac:dyDescent="0.25">
      <c r="A28" s="6">
        <v>2</v>
      </c>
      <c r="B28" s="5" t="s">
        <v>41</v>
      </c>
      <c r="C28" s="7" t="s">
        <v>40</v>
      </c>
      <c r="D28" s="4">
        <f>130540/1000</f>
        <v>130.54</v>
      </c>
      <c r="E28" s="4">
        <f>4199/1000</f>
        <v>4.1989999999999998</v>
      </c>
      <c r="F28" s="4"/>
      <c r="G28" s="4"/>
      <c r="H28" s="4">
        <f>D28+E28+F28+G28</f>
        <v>134.739</v>
      </c>
      <c r="I28" s="13">
        <f>H28*1.18</f>
        <v>158.99202</v>
      </c>
    </row>
    <row r="29" spans="1:9" x14ac:dyDescent="0.25">
      <c r="A29" s="6">
        <v>3</v>
      </c>
      <c r="B29" s="5" t="s">
        <v>39</v>
      </c>
      <c r="C29" s="7" t="s">
        <v>38</v>
      </c>
      <c r="D29" s="4">
        <f>76365/1000</f>
        <v>76.364999999999995</v>
      </c>
      <c r="E29" s="4"/>
      <c r="F29" s="4"/>
      <c r="G29" s="4"/>
      <c r="H29" s="4">
        <f>D29+E29+F29+G29</f>
        <v>76.364999999999995</v>
      </c>
      <c r="I29" s="13"/>
    </row>
    <row r="30" spans="1:9" ht="25.5" customHeight="1" x14ac:dyDescent="0.25">
      <c r="A30" s="6">
        <v>4</v>
      </c>
      <c r="B30" s="5" t="s">
        <v>37</v>
      </c>
      <c r="C30" s="7" t="s">
        <v>36</v>
      </c>
      <c r="D30" s="4">
        <f>44534 /1000</f>
        <v>44.533999999999999</v>
      </c>
      <c r="E30" s="4"/>
      <c r="F30" s="4"/>
      <c r="G30" s="4"/>
      <c r="H30" s="4">
        <f>D30+E30+F30+G30</f>
        <v>44.533999999999999</v>
      </c>
      <c r="I30" s="13">
        <f>H30*1.18</f>
        <v>52.550119999999993</v>
      </c>
    </row>
    <row r="31" spans="1:9" ht="25.5" x14ac:dyDescent="0.25">
      <c r="A31" s="6">
        <v>5</v>
      </c>
      <c r="B31" s="5" t="s">
        <v>66</v>
      </c>
      <c r="C31" s="7" t="s">
        <v>65</v>
      </c>
      <c r="D31" s="4"/>
      <c r="E31" s="4"/>
      <c r="F31" s="4"/>
      <c r="G31" s="4">
        <f>290683.8/6.88/1000</f>
        <v>42.250552325581396</v>
      </c>
      <c r="H31" s="4">
        <f>D31+E31+F31+G31</f>
        <v>42.250552325581396</v>
      </c>
      <c r="I31" s="13"/>
    </row>
    <row r="32" spans="1:9" ht="25.5" x14ac:dyDescent="0.25">
      <c r="A32" s="6"/>
      <c r="B32" s="5" t="s">
        <v>2</v>
      </c>
      <c r="C32" s="80" t="s">
        <v>35</v>
      </c>
      <c r="D32" s="4">
        <f>SUM(D27:D31)</f>
        <v>1926.413</v>
      </c>
      <c r="E32" s="4">
        <f>SUM(E27:E31)</f>
        <v>4.1989999999999998</v>
      </c>
      <c r="F32" s="4">
        <f>SUM(F27:F31)</f>
        <v>0</v>
      </c>
      <c r="G32" s="4">
        <f>SUM(G27:G31)</f>
        <v>42.250552325581396</v>
      </c>
      <c r="H32" s="4">
        <f>SUM(H27:H31)</f>
        <v>1972.8625523255814</v>
      </c>
      <c r="I32" s="14">
        <f>SUM(I27:I30)</f>
        <v>2188.0114599999997</v>
      </c>
    </row>
    <row r="33" spans="1:17" x14ac:dyDescent="0.25">
      <c r="A33" s="139" t="s">
        <v>34</v>
      </c>
      <c r="B33" s="140"/>
      <c r="C33" s="140"/>
      <c r="D33" s="140"/>
      <c r="E33" s="140"/>
      <c r="F33" s="140"/>
      <c r="G33" s="140"/>
      <c r="H33" s="141"/>
      <c r="I33" s="1"/>
    </row>
    <row r="34" spans="1:17" x14ac:dyDescent="0.25">
      <c r="A34" s="6">
        <v>6</v>
      </c>
      <c r="B34" s="80" t="s">
        <v>33</v>
      </c>
      <c r="C34" s="80" t="s">
        <v>32</v>
      </c>
      <c r="D34" s="4">
        <f>ОСбаз!D39</f>
        <v>59603.02</v>
      </c>
      <c r="E34" s="4">
        <f>ОСбаз!E39</f>
        <v>4476.87</v>
      </c>
      <c r="F34" s="4">
        <f>ОСбаз!F39</f>
        <v>8494.15</v>
      </c>
      <c r="G34" s="4">
        <f>ОСбаз!G39</f>
        <v>0</v>
      </c>
      <c r="H34" s="4">
        <f>D34+E34+F34+G34</f>
        <v>72574.039999999994</v>
      </c>
      <c r="I34" s="1"/>
      <c r="J34" s="13"/>
    </row>
    <row r="35" spans="1:17" ht="25.5" x14ac:dyDescent="0.25">
      <c r="A35" s="6"/>
      <c r="B35" s="5" t="s">
        <v>2</v>
      </c>
      <c r="C35" s="7" t="s">
        <v>31</v>
      </c>
      <c r="D35" s="4">
        <f>SUM(D34:D34)</f>
        <v>59603.02</v>
      </c>
      <c r="E35" s="4">
        <f>SUM(E34:E34)</f>
        <v>4476.87</v>
      </c>
      <c r="F35" s="4">
        <f>SUM(F34:F34)</f>
        <v>8494.15</v>
      </c>
      <c r="G35" s="4">
        <f>SUM(G34:G34)</f>
        <v>0</v>
      </c>
      <c r="H35" s="4">
        <f>D35+E35+F35+G35</f>
        <v>72574.039999999994</v>
      </c>
      <c r="I35" s="1"/>
      <c r="J35" s="8"/>
    </row>
    <row r="36" spans="1:17" x14ac:dyDescent="0.25">
      <c r="A36" s="139" t="s">
        <v>30</v>
      </c>
      <c r="B36" s="140"/>
      <c r="C36" s="140"/>
      <c r="D36" s="140"/>
      <c r="E36" s="140"/>
      <c r="F36" s="140"/>
      <c r="G36" s="140"/>
      <c r="H36" s="141"/>
      <c r="I36" s="13">
        <f>H37*1.18</f>
        <v>176.74276</v>
      </c>
      <c r="J36" s="13"/>
    </row>
    <row r="37" spans="1:17" x14ac:dyDescent="0.25">
      <c r="A37" s="6">
        <v>7</v>
      </c>
      <c r="B37" s="5" t="s">
        <v>29</v>
      </c>
      <c r="C37" s="7" t="s">
        <v>81</v>
      </c>
      <c r="D37" s="4">
        <f>28599/1000</f>
        <v>28.599</v>
      </c>
      <c r="E37" s="4">
        <f>121183/1000</f>
        <v>121.18300000000001</v>
      </c>
      <c r="F37" s="4"/>
      <c r="G37" s="4"/>
      <c r="H37" s="4">
        <f>D37+E37+F37+G37</f>
        <v>149.78200000000001</v>
      </c>
      <c r="I37" s="13">
        <f>H38*1.18</f>
        <v>23.450139999999998</v>
      </c>
    </row>
    <row r="38" spans="1:17" ht="25.5" x14ac:dyDescent="0.25">
      <c r="A38" s="6">
        <v>8</v>
      </c>
      <c r="B38" s="5" t="s">
        <v>27</v>
      </c>
      <c r="C38" s="7" t="s">
        <v>26</v>
      </c>
      <c r="D38" s="4">
        <f>17287/1000</f>
        <v>17.286999999999999</v>
      </c>
      <c r="E38" s="4">
        <v>2.5859999999999999</v>
      </c>
      <c r="F38" s="4"/>
      <c r="G38" s="4"/>
      <c r="H38" s="4">
        <f>D38+E38+F38+G38</f>
        <v>19.872999999999998</v>
      </c>
      <c r="I38" s="1"/>
    </row>
    <row r="39" spans="1:17" ht="25.5" x14ac:dyDescent="0.25">
      <c r="A39" s="6"/>
      <c r="B39" s="5" t="s">
        <v>2</v>
      </c>
      <c r="C39" s="7" t="s">
        <v>25</v>
      </c>
      <c r="D39" s="4">
        <f>SUM(D37:D38)</f>
        <v>45.885999999999996</v>
      </c>
      <c r="E39" s="4">
        <f>SUM(E37:E38)</f>
        <v>123.76900000000001</v>
      </c>
      <c r="F39" s="4">
        <f>SUM(F37:F38)</f>
        <v>0</v>
      </c>
      <c r="G39" s="4">
        <f>SUM(G37:G38)</f>
        <v>0</v>
      </c>
      <c r="H39" s="4">
        <f>D39+E39+F39+G39</f>
        <v>169.655</v>
      </c>
      <c r="I39" s="1"/>
    </row>
    <row r="40" spans="1:17" x14ac:dyDescent="0.25">
      <c r="A40" s="139" t="s">
        <v>24</v>
      </c>
      <c r="B40" s="140"/>
      <c r="C40" s="140"/>
      <c r="D40" s="140"/>
      <c r="E40" s="140"/>
      <c r="F40" s="140"/>
      <c r="G40" s="140"/>
      <c r="H40" s="141"/>
      <c r="I40" s="13">
        <f>H41*1.18</f>
        <v>1103.4475</v>
      </c>
    </row>
    <row r="41" spans="1:17" ht="27.75" customHeight="1" x14ac:dyDescent="0.25">
      <c r="A41" s="6">
        <v>9</v>
      </c>
      <c r="B41" s="5" t="s">
        <v>23</v>
      </c>
      <c r="C41" s="80" t="s">
        <v>22</v>
      </c>
      <c r="D41" s="4">
        <f>935125/1000</f>
        <v>935.125</v>
      </c>
      <c r="E41" s="4"/>
      <c r="F41" s="4"/>
      <c r="G41" s="4"/>
      <c r="H41" s="4">
        <f>D41+E41+F41+G41</f>
        <v>935.125</v>
      </c>
      <c r="I41" s="13" t="e">
        <f>#REF!*1.18</f>
        <v>#REF!</v>
      </c>
    </row>
    <row r="42" spans="1:17" x14ac:dyDescent="0.25">
      <c r="A42" s="6">
        <v>10</v>
      </c>
      <c r="B42" s="5" t="s">
        <v>80</v>
      </c>
      <c r="C42" s="80" t="s">
        <v>21</v>
      </c>
      <c r="D42" s="4">
        <f>2892604/1000</f>
        <v>2892.6039999999998</v>
      </c>
      <c r="E42" s="4">
        <f>1653657/1000</f>
        <v>1653.6569999999999</v>
      </c>
      <c r="F42" s="4"/>
      <c r="G42" s="4"/>
      <c r="H42" s="4">
        <f>D42+E42+F42+G42</f>
        <v>4546.2609999999995</v>
      </c>
      <c r="I42" s="14" t="e">
        <f>SUM(I36:I41)</f>
        <v>#REF!</v>
      </c>
    </row>
    <row r="43" spans="1:17" ht="38.25" x14ac:dyDescent="0.25">
      <c r="A43" s="6"/>
      <c r="B43" s="5" t="s">
        <v>2</v>
      </c>
      <c r="C43" s="7" t="s">
        <v>20</v>
      </c>
      <c r="D43" s="4">
        <f>SUM(D41:D42)</f>
        <v>3827.7289999999998</v>
      </c>
      <c r="E43" s="4">
        <f>SUM(E41:E42)</f>
        <v>1653.6569999999999</v>
      </c>
      <c r="F43" s="4">
        <f>SUM(F41:F42)</f>
        <v>0</v>
      </c>
      <c r="G43" s="4"/>
      <c r="H43" s="4">
        <f>D43+E43+F43+G43</f>
        <v>5481.3859999999995</v>
      </c>
      <c r="I43" s="1"/>
    </row>
    <row r="44" spans="1:17" x14ac:dyDescent="0.25">
      <c r="A44" s="139" t="s">
        <v>19</v>
      </c>
      <c r="B44" s="140"/>
      <c r="C44" s="140"/>
      <c r="D44" s="140"/>
      <c r="E44" s="140"/>
      <c r="F44" s="140"/>
      <c r="G44" s="140"/>
      <c r="H44" s="141"/>
      <c r="I44" s="13">
        <f>H45*1.18</f>
        <v>15084.117</v>
      </c>
    </row>
    <row r="45" spans="1:17" ht="38.25" x14ac:dyDescent="0.25">
      <c r="A45" s="6">
        <v>11</v>
      </c>
      <c r="B45" s="5" t="s">
        <v>18</v>
      </c>
      <c r="C45" s="80" t="s">
        <v>17</v>
      </c>
      <c r="D45" s="11">
        <f>ROUND(8553354/1000,2)</f>
        <v>8553.35</v>
      </c>
      <c r="E45" s="4">
        <f>ROUND(2728124/1000,2)</f>
        <v>2728.12</v>
      </c>
      <c r="F45" s="4">
        <f>ROUND(1501679/1000,2)-0</f>
        <v>1501.68</v>
      </c>
      <c r="G45" s="4"/>
      <c r="H45" s="4">
        <f>D45+E45+F45+G45</f>
        <v>12783.150000000001</v>
      </c>
      <c r="I45" s="9"/>
      <c r="J45" s="41" t="e">
        <f>S67</f>
        <v>#REF!</v>
      </c>
      <c r="M45" s="83" t="e">
        <f>S65</f>
        <v>#REF!</v>
      </c>
      <c r="Q45" s="13"/>
    </row>
    <row r="46" spans="1:17" ht="25.5" x14ac:dyDescent="0.25">
      <c r="A46" s="6"/>
      <c r="B46" s="5" t="s">
        <v>2</v>
      </c>
      <c r="C46" s="7" t="s">
        <v>16</v>
      </c>
      <c r="D46" s="4">
        <f>SUM(D45:D45)</f>
        <v>8553.35</v>
      </c>
      <c r="E46" s="4">
        <f>SUM(E45:E45)</f>
        <v>2728.12</v>
      </c>
      <c r="F46" s="4">
        <f>SUM(F45:F45)</f>
        <v>1501.68</v>
      </c>
      <c r="G46" s="4">
        <f>SUM(G45:G45)</f>
        <v>0</v>
      </c>
      <c r="H46" s="4">
        <f>D46+E46+F46+G46</f>
        <v>12783.150000000001</v>
      </c>
      <c r="I46" s="4" t="e">
        <f>I32+#REF!+I38+I42+I45</f>
        <v>#REF!</v>
      </c>
      <c r="J46" s="12"/>
    </row>
    <row r="47" spans="1:17" x14ac:dyDescent="0.25">
      <c r="A47" s="6"/>
      <c r="B47" s="5" t="s">
        <v>2</v>
      </c>
      <c r="C47" s="7" t="s">
        <v>15</v>
      </c>
      <c r="D47" s="4">
        <f>D32+D35+D39+D43+D46</f>
        <v>73956.398000000001</v>
      </c>
      <c r="E47" s="4">
        <f>E32+E35+E39+E43+E46</f>
        <v>8986.6149999999998</v>
      </c>
      <c r="F47" s="4">
        <f>F32+F35+F39+F43+F46</f>
        <v>9995.83</v>
      </c>
      <c r="G47" s="4">
        <f>G32+G35+G39+G43+G46</f>
        <v>42.250552325581396</v>
      </c>
      <c r="H47" s="4">
        <f>D47+E47+F47+G47</f>
        <v>92981.09355232559</v>
      </c>
      <c r="I47" s="9"/>
      <c r="J47" s="8"/>
    </row>
    <row r="48" spans="1:17" x14ac:dyDescent="0.25">
      <c r="A48" s="139" t="s">
        <v>14</v>
      </c>
      <c r="B48" s="140"/>
      <c r="C48" s="140"/>
      <c r="D48" s="140"/>
      <c r="E48" s="140"/>
      <c r="F48" s="140"/>
      <c r="G48" s="140"/>
      <c r="H48" s="141"/>
      <c r="I48" s="9"/>
    </row>
    <row r="49" spans="1:19" ht="25.5" x14ac:dyDescent="0.25">
      <c r="A49" s="6">
        <v>12</v>
      </c>
      <c r="B49" s="5" t="s">
        <v>13</v>
      </c>
      <c r="C49" s="7" t="s">
        <v>12</v>
      </c>
      <c r="D49" s="11">
        <f>D47*0.018</f>
        <v>1331.215164</v>
      </c>
      <c r="E49" s="11">
        <f>E47*0.018</f>
        <v>161.75906999999998</v>
      </c>
      <c r="F49" s="11"/>
      <c r="G49" s="11"/>
      <c r="H49" s="4">
        <f>D49+E49+F49+G49</f>
        <v>1492.974234</v>
      </c>
    </row>
    <row r="50" spans="1:19" ht="25.5" x14ac:dyDescent="0.25">
      <c r="A50" s="6"/>
      <c r="B50" s="5" t="s">
        <v>2</v>
      </c>
      <c r="C50" s="7" t="s">
        <v>11</v>
      </c>
      <c r="D50" s="11">
        <f>SUM(D49)</f>
        <v>1331.215164</v>
      </c>
      <c r="E50" s="11">
        <f>SUM(E49)</f>
        <v>161.75906999999998</v>
      </c>
      <c r="F50" s="11"/>
      <c r="G50" s="11"/>
      <c r="H50" s="4">
        <f>D50+E50+F50+G50</f>
        <v>1492.974234</v>
      </c>
    </row>
    <row r="51" spans="1:19" x14ac:dyDescent="0.25">
      <c r="A51" s="6"/>
      <c r="B51" s="5" t="s">
        <v>2</v>
      </c>
      <c r="C51" s="7" t="s">
        <v>10</v>
      </c>
      <c r="D51" s="11">
        <f>D47+D50</f>
        <v>75287.613163999995</v>
      </c>
      <c r="E51" s="11">
        <f>E47+E50</f>
        <v>9148.3740699999998</v>
      </c>
      <c r="F51" s="11">
        <f>F47+F50</f>
        <v>9995.83</v>
      </c>
      <c r="G51" s="11">
        <f>G47+G50</f>
        <v>42.250552325581396</v>
      </c>
      <c r="H51" s="4">
        <f>D51+E51+F51+G51</f>
        <v>94474.067786325584</v>
      </c>
    </row>
    <row r="52" spans="1:19" x14ac:dyDescent="0.25">
      <c r="A52" s="139" t="s">
        <v>9</v>
      </c>
      <c r="B52" s="140"/>
      <c r="C52" s="140"/>
      <c r="D52" s="140"/>
      <c r="E52" s="140"/>
      <c r="F52" s="140"/>
      <c r="G52" s="140"/>
      <c r="H52" s="141"/>
    </row>
    <row r="53" spans="1:19" ht="36" x14ac:dyDescent="0.25">
      <c r="A53" s="6">
        <v>13</v>
      </c>
      <c r="B53" s="10" t="s">
        <v>8</v>
      </c>
      <c r="C53" s="7" t="s">
        <v>7</v>
      </c>
      <c r="D53" s="4">
        <f>D51*0.015</f>
        <v>1129.3141974599998</v>
      </c>
      <c r="E53" s="4">
        <f>E51*0.015</f>
        <v>137.22561105</v>
      </c>
      <c r="F53" s="4"/>
      <c r="G53" s="4"/>
      <c r="H53" s="4">
        <f>D53+E53+F53+G53</f>
        <v>1266.5398085099998</v>
      </c>
    </row>
    <row r="54" spans="1:19" ht="25.5" x14ac:dyDescent="0.25">
      <c r="A54" s="6">
        <v>14</v>
      </c>
      <c r="B54" s="5" t="s">
        <v>6</v>
      </c>
      <c r="C54" s="7" t="s">
        <v>5</v>
      </c>
      <c r="D54" s="4"/>
      <c r="E54" s="4"/>
      <c r="F54" s="4"/>
      <c r="G54" s="4">
        <f>E51*0.02</f>
        <v>182.9674814</v>
      </c>
      <c r="H54" s="4">
        <f>D54+E54+F54+G54</f>
        <v>182.9674814</v>
      </c>
      <c r="J54" s="13">
        <f>G54*22.5</f>
        <v>4116.7683314999995</v>
      </c>
    </row>
    <row r="55" spans="1:19" ht="25.5" x14ac:dyDescent="0.25">
      <c r="A55" s="6"/>
      <c r="B55" s="5" t="s">
        <v>2</v>
      </c>
      <c r="C55" s="7" t="s">
        <v>4</v>
      </c>
      <c r="D55" s="4">
        <f>SUM(D53:D54)</f>
        <v>1129.3141974599998</v>
      </c>
      <c r="E55" s="4">
        <f>SUM(E53:E54)</f>
        <v>137.22561105</v>
      </c>
      <c r="F55" s="4">
        <f>SUM(F53:F54)</f>
        <v>0</v>
      </c>
      <c r="G55" s="4">
        <f>SUM(G53:G54)</f>
        <v>182.9674814</v>
      </c>
      <c r="H55" s="4">
        <f>D55+E55+F55+G55</f>
        <v>1449.5072899099998</v>
      </c>
    </row>
    <row r="56" spans="1:19" x14ac:dyDescent="0.25">
      <c r="A56" s="6"/>
      <c r="B56" s="5" t="s">
        <v>2</v>
      </c>
      <c r="C56" s="7" t="s">
        <v>3</v>
      </c>
      <c r="D56" s="4">
        <f>D51+D55</f>
        <v>76416.927361459995</v>
      </c>
      <c r="E56" s="4">
        <f>E51+E55</f>
        <v>9285.5996810500001</v>
      </c>
      <c r="F56" s="4">
        <f>F51+F55</f>
        <v>9995.83</v>
      </c>
      <c r="G56" s="4">
        <f>G51+G55</f>
        <v>225.21803372558139</v>
      </c>
      <c r="H56" s="4">
        <f>D56+E56+F56+G56</f>
        <v>95923.575076235575</v>
      </c>
    </row>
    <row r="57" spans="1:19" x14ac:dyDescent="0.25">
      <c r="A57" s="139" t="s">
        <v>62</v>
      </c>
      <c r="B57" s="140"/>
      <c r="C57" s="140"/>
      <c r="D57" s="140"/>
      <c r="E57" s="140"/>
      <c r="F57" s="140"/>
      <c r="G57" s="140"/>
      <c r="H57" s="141"/>
      <c r="J57" s="8" t="e">
        <f>SUM(#REF!)</f>
        <v>#REF!</v>
      </c>
    </row>
    <row r="58" spans="1:19" ht="25.5" x14ac:dyDescent="0.25">
      <c r="A58" s="6">
        <v>15</v>
      </c>
      <c r="B58" s="5" t="s">
        <v>79</v>
      </c>
      <c r="C58" s="7" t="s">
        <v>157</v>
      </c>
      <c r="D58" s="4">
        <f>D56*0.18</f>
        <v>13755.046925062799</v>
      </c>
      <c r="E58" s="4">
        <f t="shared" ref="E58:M58" si="0">E56*0.18</f>
        <v>1671.407942589</v>
      </c>
      <c r="F58" s="4">
        <f t="shared" si="0"/>
        <v>1799.2493999999999</v>
      </c>
      <c r="G58" s="4">
        <f t="shared" si="0"/>
        <v>40.539246070604648</v>
      </c>
      <c r="H58" s="4">
        <f t="shared" si="0"/>
        <v>17266.243513722402</v>
      </c>
      <c r="I58" s="4">
        <f t="shared" si="0"/>
        <v>0</v>
      </c>
      <c r="J58" s="4">
        <f t="shared" si="0"/>
        <v>0</v>
      </c>
      <c r="K58" s="4">
        <f t="shared" si="0"/>
        <v>0</v>
      </c>
      <c r="L58" s="4">
        <f t="shared" si="0"/>
        <v>0</v>
      </c>
      <c r="M58" s="4">
        <f t="shared" si="0"/>
        <v>0</v>
      </c>
    </row>
    <row r="59" spans="1:19" x14ac:dyDescent="0.25">
      <c r="A59" s="6"/>
      <c r="B59" s="5" t="s">
        <v>2</v>
      </c>
      <c r="C59" s="7" t="s">
        <v>1</v>
      </c>
      <c r="D59" s="4">
        <f>D58</f>
        <v>13755.046925062799</v>
      </c>
      <c r="E59" s="4">
        <f>E58</f>
        <v>1671.407942589</v>
      </c>
      <c r="F59" s="4">
        <f>F58</f>
        <v>1799.2493999999999</v>
      </c>
      <c r="G59" s="4">
        <f>G58</f>
        <v>40.539246070604648</v>
      </c>
      <c r="H59" s="4">
        <f>D59+E59+F59+G59</f>
        <v>17266.243513722406</v>
      </c>
    </row>
    <row r="60" spans="1:19" x14ac:dyDescent="0.25">
      <c r="A60" s="6"/>
      <c r="B60" s="5" t="s">
        <v>2</v>
      </c>
      <c r="C60" s="7" t="s">
        <v>63</v>
      </c>
      <c r="D60" s="4">
        <f>D56+D59</f>
        <v>90171.974286522789</v>
      </c>
      <c r="E60" s="4">
        <f t="shared" ref="E60:H60" si="1">E56+E59</f>
        <v>10957.007623639</v>
      </c>
      <c r="F60" s="4">
        <f t="shared" si="1"/>
        <v>11795.079400000001</v>
      </c>
      <c r="G60" s="4">
        <f t="shared" si="1"/>
        <v>265.75727979618603</v>
      </c>
      <c r="H60" s="4">
        <f t="shared" si="1"/>
        <v>113189.81858995798</v>
      </c>
    </row>
    <row r="61" spans="1:19" x14ac:dyDescent="0.25">
      <c r="A61" s="79"/>
      <c r="B61" s="78"/>
      <c r="C61" s="77"/>
      <c r="D61" s="76"/>
      <c r="E61" s="75"/>
      <c r="F61" s="76"/>
      <c r="G61" s="76"/>
      <c r="H61" s="75"/>
    </row>
    <row r="62" spans="1:19" hidden="1" x14ac:dyDescent="0.25">
      <c r="C62" s="74"/>
      <c r="D62" s="74" t="s">
        <v>78</v>
      </c>
      <c r="E62" s="74" t="s">
        <v>77</v>
      </c>
      <c r="F62" s="74" t="s">
        <v>76</v>
      </c>
    </row>
    <row r="63" spans="1:19" hidden="1" x14ac:dyDescent="0.25">
      <c r="C63" s="177" t="s">
        <v>75</v>
      </c>
      <c r="D63" s="52" t="e">
        <f>#REF!</f>
        <v>#REF!</v>
      </c>
      <c r="E63" s="46" t="e">
        <f>#REF!</f>
        <v>#REF!</v>
      </c>
      <c r="F63" s="46" t="e">
        <f>#REF!</f>
        <v>#REF!</v>
      </c>
      <c r="G63" s="51" t="s">
        <v>69</v>
      </c>
      <c r="H63" s="40" t="e">
        <f t="shared" ref="H63:H72" si="2">D63-E63-F63</f>
        <v>#REF!</v>
      </c>
      <c r="M63" s="71">
        <v>118050.85</v>
      </c>
      <c r="N63" s="70">
        <v>93190.54</v>
      </c>
      <c r="O63" s="69">
        <v>24860.31</v>
      </c>
      <c r="P63" s="62"/>
      <c r="Q63" s="58" t="e">
        <f t="shared" ref="Q63:Q74" si="3">M63-D63</f>
        <v>#REF!</v>
      </c>
      <c r="R63" s="58" t="e">
        <f t="shared" ref="R63:R74" si="4">N63-E63</f>
        <v>#REF!</v>
      </c>
      <c r="S63" s="58" t="e">
        <f t="shared" ref="S63:S74" si="5">O63-F63</f>
        <v>#REF!</v>
      </c>
    </row>
    <row r="64" spans="1:19" ht="15.75" hidden="1" thickBot="1" x14ac:dyDescent="0.3">
      <c r="C64" s="177"/>
      <c r="D64" s="52" t="e">
        <f>'ССР полн'!D66</f>
        <v>#REF!</v>
      </c>
      <c r="E64" s="46" t="e">
        <f>#REF!</f>
        <v>#REF!</v>
      </c>
      <c r="F64" s="46" t="e">
        <f>#REF!</f>
        <v>#REF!</v>
      </c>
      <c r="G64" s="45" t="s">
        <v>68</v>
      </c>
      <c r="H64" s="40" t="e">
        <f t="shared" si="2"/>
        <v>#REF!</v>
      </c>
      <c r="M64" s="68">
        <v>680239.24755155342</v>
      </c>
      <c r="N64" s="67">
        <v>512962.27998080105</v>
      </c>
      <c r="O64" s="66">
        <v>167276.96985323008</v>
      </c>
      <c r="P64" s="62"/>
      <c r="Q64" s="58" t="e">
        <f t="shared" si="3"/>
        <v>#REF!</v>
      </c>
      <c r="R64" s="58" t="e">
        <f t="shared" si="4"/>
        <v>#REF!</v>
      </c>
      <c r="S64" s="58" t="e">
        <f t="shared" si="5"/>
        <v>#REF!</v>
      </c>
    </row>
    <row r="65" spans="3:19" hidden="1" x14ac:dyDescent="0.25">
      <c r="C65" s="177" t="s">
        <v>74</v>
      </c>
      <c r="D65" s="52" t="e">
        <f>J57</f>
        <v>#REF!</v>
      </c>
      <c r="E65" s="46" t="e">
        <f>#REF!</f>
        <v>#REF!</v>
      </c>
      <c r="F65" s="46" t="e">
        <f>#REF!</f>
        <v>#REF!</v>
      </c>
      <c r="G65" s="51" t="s">
        <v>69</v>
      </c>
      <c r="H65" s="40" t="e">
        <f t="shared" si="2"/>
        <v>#REF!</v>
      </c>
      <c r="M65" s="65">
        <v>83796.38</v>
      </c>
      <c r="N65" s="64">
        <v>66794.02</v>
      </c>
      <c r="O65" s="63">
        <v>17002.36</v>
      </c>
      <c r="P65" s="62"/>
      <c r="Q65" s="58" t="e">
        <f t="shared" si="3"/>
        <v>#REF!</v>
      </c>
      <c r="R65" s="58" t="e">
        <f t="shared" si="4"/>
        <v>#REF!</v>
      </c>
      <c r="S65" s="58" t="e">
        <f t="shared" si="5"/>
        <v>#REF!</v>
      </c>
    </row>
    <row r="66" spans="3:19" hidden="1" x14ac:dyDescent="0.25">
      <c r="C66" s="177"/>
      <c r="D66" s="52" t="e">
        <f>'ССР полн'!D68</f>
        <v>#REF!</v>
      </c>
      <c r="E66" s="46" t="e">
        <f>#REF!</f>
        <v>#REF!</v>
      </c>
      <c r="F66" s="46" t="e">
        <f>#REF!</f>
        <v>#REF!</v>
      </c>
      <c r="G66" s="45" t="s">
        <v>68</v>
      </c>
      <c r="H66" s="40" t="e">
        <f t="shared" si="2"/>
        <v>#REF!</v>
      </c>
      <c r="M66" s="61">
        <v>541854.03</v>
      </c>
      <c r="N66" s="82">
        <v>417405.28986543184</v>
      </c>
      <c r="O66" s="72">
        <v>124448.74</v>
      </c>
      <c r="P66" s="62"/>
      <c r="Q66" s="58" t="e">
        <f t="shared" si="3"/>
        <v>#REF!</v>
      </c>
      <c r="R66" s="58" t="e">
        <f t="shared" si="4"/>
        <v>#REF!</v>
      </c>
      <c r="S66" s="58" t="e">
        <f t="shared" si="5"/>
        <v>#REF!</v>
      </c>
    </row>
    <row r="67" spans="3:19" hidden="1" x14ac:dyDescent="0.25">
      <c r="C67" s="177" t="s">
        <v>73</v>
      </c>
      <c r="D67" s="52" t="e">
        <f>#REF!</f>
        <v>#REF!</v>
      </c>
      <c r="E67" s="46" t="e">
        <f>#REF!</f>
        <v>#REF!</v>
      </c>
      <c r="F67" s="46" t="e">
        <f>#REF!</f>
        <v>#REF!</v>
      </c>
      <c r="G67" s="51" t="s">
        <v>69</v>
      </c>
      <c r="H67" s="40" t="e">
        <f t="shared" si="2"/>
        <v>#REF!</v>
      </c>
      <c r="M67" s="71">
        <v>26103.67</v>
      </c>
      <c r="N67" s="70">
        <v>22650.30258</v>
      </c>
      <c r="O67" s="69">
        <v>3453.37</v>
      </c>
      <c r="P67" s="62"/>
      <c r="Q67" s="58" t="e">
        <f t="shared" si="3"/>
        <v>#REF!</v>
      </c>
      <c r="R67" s="58" t="e">
        <f t="shared" si="4"/>
        <v>#REF!</v>
      </c>
      <c r="S67" s="58" t="e">
        <f t="shared" si="5"/>
        <v>#REF!</v>
      </c>
    </row>
    <row r="68" spans="3:19" ht="15.75" hidden="1" thickBot="1" x14ac:dyDescent="0.3">
      <c r="C68" s="177"/>
      <c r="D68" s="52" t="e">
        <f>'ССР полн'!D70</f>
        <v>#REF!</v>
      </c>
      <c r="E68" s="46" t="e">
        <f>#REF!</f>
        <v>#REF!</v>
      </c>
      <c r="F68" s="46" t="e">
        <f>#REF!</f>
        <v>#REF!</v>
      </c>
      <c r="G68" s="45" t="s">
        <v>68</v>
      </c>
      <c r="H68" s="40" t="e">
        <f t="shared" si="2"/>
        <v>#REF!</v>
      </c>
      <c r="M68" s="68">
        <v>91232.37</v>
      </c>
      <c r="N68" s="53">
        <v>74784.477299999984</v>
      </c>
      <c r="O68" s="66">
        <v>16447.89</v>
      </c>
      <c r="Q68" s="58" t="e">
        <f t="shared" si="3"/>
        <v>#REF!</v>
      </c>
      <c r="R68" s="41" t="e">
        <f t="shared" si="4"/>
        <v>#REF!</v>
      </c>
      <c r="S68" s="58" t="e">
        <f t="shared" si="5"/>
        <v>#REF!</v>
      </c>
    </row>
    <row r="69" spans="3:19" hidden="1" x14ac:dyDescent="0.25">
      <c r="C69" s="177" t="s">
        <v>72</v>
      </c>
      <c r="D69" s="52" t="e">
        <f>#REF!</f>
        <v>#REF!</v>
      </c>
      <c r="E69" s="46" t="e">
        <f>#REF!</f>
        <v>#REF!</v>
      </c>
      <c r="F69" s="46" t="e">
        <f>#REF!</f>
        <v>#REF!</v>
      </c>
      <c r="G69" s="51" t="s">
        <v>69</v>
      </c>
      <c r="H69" s="40" t="e">
        <f t="shared" si="2"/>
        <v>#REF!</v>
      </c>
      <c r="M69" s="65">
        <v>8150.8</v>
      </c>
      <c r="N69" s="49">
        <v>3746.2202506323074</v>
      </c>
      <c r="O69" s="63">
        <v>4404.58</v>
      </c>
      <c r="Q69" s="58" t="e">
        <f t="shared" si="3"/>
        <v>#REF!</v>
      </c>
      <c r="R69" s="41" t="e">
        <f t="shared" si="4"/>
        <v>#REF!</v>
      </c>
      <c r="S69" s="58" t="e">
        <f t="shared" si="5"/>
        <v>#REF!</v>
      </c>
    </row>
    <row r="70" spans="3:19" hidden="1" x14ac:dyDescent="0.25">
      <c r="C70" s="177"/>
      <c r="D70" s="52" t="e">
        <f>'ССР полн'!D72</f>
        <v>#REF!</v>
      </c>
      <c r="E70" s="46" t="e">
        <f>#REF!</f>
        <v>#REF!</v>
      </c>
      <c r="F70" s="46" t="e">
        <f>#REF!</f>
        <v>#REF!</v>
      </c>
      <c r="G70" s="45" t="s">
        <v>68</v>
      </c>
      <c r="H70" s="40" t="e">
        <f t="shared" si="2"/>
        <v>#REF!</v>
      </c>
      <c r="M70" s="73">
        <v>47152.846724354575</v>
      </c>
      <c r="N70" s="60">
        <v>20772.512815369235</v>
      </c>
      <c r="O70" s="59">
        <v>26380.336610816863</v>
      </c>
      <c r="Q70" s="41" t="e">
        <f t="shared" si="3"/>
        <v>#REF!</v>
      </c>
      <c r="R70" s="41" t="e">
        <f t="shared" si="4"/>
        <v>#REF!</v>
      </c>
      <c r="S70" s="41" t="e">
        <f t="shared" si="5"/>
        <v>#REF!</v>
      </c>
    </row>
    <row r="71" spans="3:19" hidden="1" x14ac:dyDescent="0.25">
      <c r="C71" s="177" t="s">
        <v>71</v>
      </c>
      <c r="D71" s="52">
        <f>H59</f>
        <v>17266.243513722406</v>
      </c>
      <c r="E71" s="46" t="e">
        <f>#REF!</f>
        <v>#REF!</v>
      </c>
      <c r="F71" s="46" t="e">
        <f>#REF!</f>
        <v>#REF!</v>
      </c>
      <c r="G71" s="51" t="s">
        <v>69</v>
      </c>
      <c r="H71" s="40" t="e">
        <f t="shared" si="2"/>
        <v>#REF!</v>
      </c>
      <c r="M71" s="57">
        <v>20333.810000000001</v>
      </c>
      <c r="N71" s="56">
        <v>16538.001746520644</v>
      </c>
      <c r="O71" s="55">
        <v>3795.81</v>
      </c>
      <c r="Q71" s="54">
        <f t="shared" si="3"/>
        <v>3067.5664862775957</v>
      </c>
      <c r="R71" s="41" t="e">
        <f t="shared" si="4"/>
        <v>#REF!</v>
      </c>
      <c r="S71" s="54" t="e">
        <f t="shared" si="5"/>
        <v>#REF!</v>
      </c>
    </row>
    <row r="72" spans="3:19" ht="15.75" hidden="1" thickBot="1" x14ac:dyDescent="0.3">
      <c r="C72" s="177"/>
      <c r="D72" s="52">
        <f>'ССР полн'!D74</f>
        <v>106358.1</v>
      </c>
      <c r="E72" s="46" t="e">
        <f>#REF!</f>
        <v>#REF!</v>
      </c>
      <c r="F72" s="46" t="e">
        <f>#REF!</f>
        <v>#REF!</v>
      </c>
      <c r="G72" s="45" t="s">
        <v>68</v>
      </c>
      <c r="H72" s="40" t="e">
        <f t="shared" si="2"/>
        <v>#REF!</v>
      </c>
      <c r="M72" s="44">
        <v>118380.40165467962</v>
      </c>
      <c r="N72" s="53">
        <v>91284.368396544174</v>
      </c>
      <c r="O72" s="42">
        <v>27096.033195581414</v>
      </c>
      <c r="Q72" s="41">
        <f t="shared" si="3"/>
        <v>12022.301654679613</v>
      </c>
      <c r="R72" s="41" t="e">
        <f t="shared" si="4"/>
        <v>#REF!</v>
      </c>
      <c r="S72" s="41" t="e">
        <f t="shared" si="5"/>
        <v>#REF!</v>
      </c>
    </row>
    <row r="73" spans="3:19" hidden="1" x14ac:dyDescent="0.25">
      <c r="C73" s="177" t="s">
        <v>70</v>
      </c>
      <c r="D73" s="52">
        <f>H60</f>
        <v>113189.81858995798</v>
      </c>
      <c r="E73" s="46" t="e">
        <f>#REF!</f>
        <v>#REF!</v>
      </c>
      <c r="F73" s="46" t="e">
        <f>#REF!</f>
        <v>#REF!</v>
      </c>
      <c r="G73" s="51" t="s">
        <v>69</v>
      </c>
      <c r="H73" s="40" t="e">
        <f>D73-E73-F73-0.01</f>
        <v>#REF!</v>
      </c>
      <c r="M73" s="50">
        <v>138384.66043435445</v>
      </c>
      <c r="N73" s="49">
        <v>109728.53845556856</v>
      </c>
      <c r="O73" s="48">
        <v>28656.122101008164</v>
      </c>
      <c r="Q73" s="41">
        <f t="shared" si="3"/>
        <v>25194.841844396462</v>
      </c>
      <c r="R73" s="41" t="e">
        <f t="shared" si="4"/>
        <v>#REF!</v>
      </c>
      <c r="S73" s="41" t="e">
        <f t="shared" si="5"/>
        <v>#REF!</v>
      </c>
    </row>
    <row r="74" spans="3:19" ht="15.75" hidden="1" thickBot="1" x14ac:dyDescent="0.3">
      <c r="C74" s="178"/>
      <c r="D74" s="52">
        <f>'ССР полн'!D76</f>
        <v>697236.42</v>
      </c>
      <c r="E74" s="46" t="e">
        <f>#REF!</f>
        <v>#REF!</v>
      </c>
      <c r="F74" s="46" t="e">
        <f>#REF!</f>
        <v>#REF!</v>
      </c>
      <c r="G74" s="45" t="s">
        <v>68</v>
      </c>
      <c r="H74" s="40" t="e">
        <f>D74-E74-F74</f>
        <v>#REF!</v>
      </c>
      <c r="M74" s="44">
        <v>798619.64920623321</v>
      </c>
      <c r="N74" s="53">
        <v>604246.64837734529</v>
      </c>
      <c r="O74" s="42">
        <v>194373.00094881147</v>
      </c>
      <c r="Q74" s="41">
        <f t="shared" si="3"/>
        <v>101383.22920623317</v>
      </c>
      <c r="R74" s="41" t="e">
        <f t="shared" si="4"/>
        <v>#REF!</v>
      </c>
      <c r="S74" s="41" t="e">
        <f t="shared" si="5"/>
        <v>#REF!</v>
      </c>
    </row>
    <row r="75" spans="3:19" hidden="1" x14ac:dyDescent="0.25"/>
    <row r="76" spans="3:19" hidden="1" x14ac:dyDescent="0.25">
      <c r="D76" s="40" t="e">
        <f t="shared" ref="D76:F77" si="6">D65+D67+D69-D63</f>
        <v>#REF!</v>
      </c>
      <c r="E76" s="40" t="e">
        <f t="shared" si="6"/>
        <v>#REF!</v>
      </c>
      <c r="F76" s="40" t="e">
        <f t="shared" si="6"/>
        <v>#REF!</v>
      </c>
    </row>
    <row r="77" spans="3:19" hidden="1" x14ac:dyDescent="0.25">
      <c r="D77" s="40" t="e">
        <f t="shared" si="6"/>
        <v>#REF!</v>
      </c>
      <c r="E77" s="40" t="e">
        <f t="shared" si="6"/>
        <v>#REF!</v>
      </c>
      <c r="F77" s="40" t="e">
        <f t="shared" si="6"/>
        <v>#REF!</v>
      </c>
    </row>
    <row r="78" spans="3:19" hidden="1" x14ac:dyDescent="0.25"/>
    <row r="79" spans="3:19" hidden="1" x14ac:dyDescent="0.25">
      <c r="D79" s="39" t="e">
        <f t="shared" ref="D79:F80" si="7">D73-D71-D63</f>
        <v>#REF!</v>
      </c>
      <c r="E79" s="39" t="e">
        <f t="shared" si="7"/>
        <v>#REF!</v>
      </c>
      <c r="F79" s="39" t="e">
        <f t="shared" si="7"/>
        <v>#REF!</v>
      </c>
    </row>
    <row r="80" spans="3:19" hidden="1" x14ac:dyDescent="0.25">
      <c r="D80" s="39" t="e">
        <f t="shared" si="7"/>
        <v>#REF!</v>
      </c>
      <c r="E80" s="39" t="e">
        <f t="shared" si="7"/>
        <v>#REF!</v>
      </c>
      <c r="F80" s="39" t="e">
        <f t="shared" si="7"/>
        <v>#REF!</v>
      </c>
    </row>
    <row r="82" spans="2:9" x14ac:dyDescent="0.25">
      <c r="B82" s="159" t="s">
        <v>142</v>
      </c>
      <c r="C82" s="159"/>
      <c r="D82" s="36"/>
      <c r="E82" s="35"/>
      <c r="F82" s="35"/>
      <c r="G82" s="34"/>
      <c r="I82" s="1"/>
    </row>
    <row r="83" spans="2:9" x14ac:dyDescent="0.25">
      <c r="D83" s="160"/>
      <c r="E83" s="160"/>
      <c r="F83" s="160"/>
      <c r="G83" s="37"/>
      <c r="I83" s="1"/>
    </row>
    <row r="84" spans="2:9" x14ac:dyDescent="0.25">
      <c r="B84" s="159" t="s">
        <v>144</v>
      </c>
      <c r="C84" s="159"/>
      <c r="D84" s="36"/>
      <c r="E84" s="35"/>
      <c r="F84" s="35"/>
      <c r="G84" s="34"/>
      <c r="I84" s="1"/>
    </row>
    <row r="85" spans="2:9" x14ac:dyDescent="0.25">
      <c r="D85" s="160"/>
      <c r="E85" s="160"/>
      <c r="F85" s="160"/>
      <c r="G85" s="37"/>
      <c r="H85" s="1"/>
      <c r="I85" s="1"/>
    </row>
    <row r="86" spans="2:9" x14ac:dyDescent="0.25">
      <c r="B86" s="159"/>
      <c r="C86" s="159"/>
      <c r="D86" s="38"/>
      <c r="E86" s="34"/>
      <c r="F86" s="34"/>
      <c r="G86" s="34"/>
      <c r="H86" s="1"/>
      <c r="I86" s="1"/>
    </row>
    <row r="87" spans="2:9" x14ac:dyDescent="0.25">
      <c r="D87" s="158"/>
      <c r="E87" s="158"/>
      <c r="F87" s="158"/>
      <c r="G87" s="37"/>
      <c r="H87" s="1"/>
      <c r="I87" s="1"/>
    </row>
    <row r="88" spans="2:9" x14ac:dyDescent="0.25">
      <c r="B88" s="159"/>
      <c r="C88" s="159"/>
      <c r="D88" s="38"/>
      <c r="E88" s="34"/>
      <c r="F88" s="34"/>
      <c r="G88" s="34"/>
      <c r="H88" s="1"/>
      <c r="I88" s="1"/>
    </row>
  </sheetData>
  <protectedRanges>
    <protectedRange sqref="B34" name="Диапазон1_1"/>
  </protectedRanges>
  <mergeCells count="39">
    <mergeCell ref="D87:F87"/>
    <mergeCell ref="B88:C88"/>
    <mergeCell ref="B82:C82"/>
    <mergeCell ref="D83:F83"/>
    <mergeCell ref="B84:C84"/>
    <mergeCell ref="D85:F85"/>
    <mergeCell ref="B86:C86"/>
    <mergeCell ref="A48:H48"/>
    <mergeCell ref="A52:H52"/>
    <mergeCell ref="A57:H57"/>
    <mergeCell ref="A21:A24"/>
    <mergeCell ref="B21:B24"/>
    <mergeCell ref="C21:C24"/>
    <mergeCell ref="D21:F21"/>
    <mergeCell ref="A26:H26"/>
    <mergeCell ref="A33:H33"/>
    <mergeCell ref="A36:H36"/>
    <mergeCell ref="A40:H40"/>
    <mergeCell ref="A44:H44"/>
    <mergeCell ref="H21:H24"/>
    <mergeCell ref="D22:D24"/>
    <mergeCell ref="E22:E24"/>
    <mergeCell ref="F22:F24"/>
    <mergeCell ref="G22:G24"/>
    <mergeCell ref="C16:F16"/>
    <mergeCell ref="C15:F15"/>
    <mergeCell ref="C2:F2"/>
    <mergeCell ref="C3:F3"/>
    <mergeCell ref="C8:F8"/>
    <mergeCell ref="C9:F9"/>
    <mergeCell ref="C13:F13"/>
    <mergeCell ref="B5:C5"/>
    <mergeCell ref="D5:E5"/>
    <mergeCell ref="C73:C74"/>
    <mergeCell ref="C63:C64"/>
    <mergeCell ref="C65:C66"/>
    <mergeCell ref="C67:C68"/>
    <mergeCell ref="C69:C70"/>
    <mergeCell ref="C71:C72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7"/>
  <sheetViews>
    <sheetView view="pageBreakPreview" topLeftCell="A16" zoomScale="110" zoomScaleNormal="100" zoomScaleSheetLayoutView="110" workbookViewId="0">
      <selection activeCell="G41" sqref="G41"/>
    </sheetView>
  </sheetViews>
  <sheetFormatPr defaultColWidth="9.140625" defaultRowHeight="12.75" x14ac:dyDescent="0.2"/>
  <cols>
    <col min="1" max="1" width="5" style="84" customWidth="1"/>
    <col min="2" max="2" width="17.42578125" style="86" customWidth="1"/>
    <col min="3" max="3" width="37.28515625" style="86" customWidth="1"/>
    <col min="4" max="4" width="14.28515625" style="85" customWidth="1"/>
    <col min="5" max="5" width="12.5703125" style="85" customWidth="1"/>
    <col min="6" max="6" width="11.7109375" style="85" customWidth="1"/>
    <col min="7" max="7" width="11.140625" style="85" customWidth="1"/>
    <col min="8" max="8" width="15" style="85" customWidth="1"/>
    <col min="9" max="9" width="13.42578125" style="85" customWidth="1"/>
    <col min="10" max="10" width="11.28515625" style="85" customWidth="1"/>
    <col min="11" max="11" width="12.85546875" style="84" hidden="1" customWidth="1"/>
    <col min="12" max="14" width="9.140625" style="84" hidden="1" customWidth="1"/>
    <col min="15" max="15" width="23.5703125" style="84" hidden="1" customWidth="1"/>
    <col min="16" max="16384" width="9.140625" style="84"/>
  </cols>
  <sheetData>
    <row r="1" spans="1:15" x14ac:dyDescent="0.2">
      <c r="D1" s="108"/>
      <c r="E1" s="108"/>
      <c r="F1" s="108"/>
      <c r="G1" s="108"/>
      <c r="H1" s="108"/>
      <c r="I1" s="108"/>
      <c r="J1" s="118" t="s">
        <v>138</v>
      </c>
    </row>
    <row r="2" spans="1:15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5" x14ac:dyDescent="0.2">
      <c r="D3" s="108"/>
      <c r="E3" s="112" t="s">
        <v>53</v>
      </c>
      <c r="F3" s="108"/>
      <c r="G3" s="108"/>
      <c r="H3" s="108"/>
      <c r="I3" s="108"/>
    </row>
    <row r="4" spans="1:15" x14ac:dyDescent="0.2">
      <c r="D4" s="108"/>
      <c r="E4" s="108"/>
      <c r="F4" s="108"/>
      <c r="G4" s="108"/>
      <c r="H4" s="108"/>
      <c r="I4" s="108"/>
    </row>
    <row r="5" spans="1:15" x14ac:dyDescent="0.2">
      <c r="D5" s="108"/>
      <c r="E5" s="117" t="s">
        <v>137</v>
      </c>
      <c r="F5" s="108"/>
      <c r="G5" s="116" t="s">
        <v>33</v>
      </c>
      <c r="H5" s="108"/>
      <c r="I5" s="108"/>
    </row>
    <row r="6" spans="1:15" x14ac:dyDescent="0.2">
      <c r="D6" s="108"/>
      <c r="E6" s="108" t="s">
        <v>136</v>
      </c>
      <c r="F6" s="108"/>
      <c r="G6" s="108"/>
      <c r="H6" s="108"/>
      <c r="I6" s="108"/>
    </row>
    <row r="7" spans="1:15" x14ac:dyDescent="0.2">
      <c r="D7" s="108"/>
      <c r="E7" s="108"/>
      <c r="F7" s="108"/>
      <c r="G7" s="108"/>
      <c r="H7" s="108"/>
      <c r="I7" s="108"/>
    </row>
    <row r="8" spans="1:15" x14ac:dyDescent="0.2">
      <c r="C8" s="115" t="s">
        <v>135</v>
      </c>
      <c r="D8" s="114" t="s">
        <v>134</v>
      </c>
      <c r="E8" s="113"/>
      <c r="F8" s="113"/>
      <c r="G8" s="108"/>
      <c r="H8" s="108"/>
      <c r="I8" s="108"/>
    </row>
    <row r="9" spans="1:15" x14ac:dyDescent="0.2">
      <c r="D9" s="108"/>
      <c r="E9" s="112" t="s">
        <v>133</v>
      </c>
      <c r="F9" s="108"/>
      <c r="G9" s="108"/>
      <c r="H9" s="108"/>
      <c r="I9" s="108"/>
      <c r="O9" s="84" t="s">
        <v>132</v>
      </c>
    </row>
    <row r="10" spans="1:15" x14ac:dyDescent="0.2">
      <c r="D10" s="108"/>
      <c r="E10" s="108"/>
      <c r="F10" s="108"/>
      <c r="G10" s="108"/>
      <c r="H10" s="108"/>
      <c r="I10" s="108"/>
      <c r="O10" s="94">
        <v>604246.64</v>
      </c>
    </row>
    <row r="11" spans="1:15" x14ac:dyDescent="0.2">
      <c r="C11" s="110" t="s">
        <v>131</v>
      </c>
      <c r="D11" s="111">
        <f>H39</f>
        <v>423033.92699999997</v>
      </c>
      <c r="E11" s="108" t="s">
        <v>129</v>
      </c>
      <c r="F11" s="108"/>
      <c r="G11" s="108"/>
      <c r="H11" s="108"/>
      <c r="I11" s="108"/>
    </row>
    <row r="12" spans="1:15" x14ac:dyDescent="0.2">
      <c r="C12" s="110" t="s">
        <v>130</v>
      </c>
      <c r="D12" s="111">
        <f>I39</f>
        <v>76487.176999999996</v>
      </c>
      <c r="E12" s="108" t="s">
        <v>129</v>
      </c>
      <c r="F12" s="108"/>
      <c r="G12" s="108"/>
      <c r="H12" s="108"/>
      <c r="I12" s="108"/>
    </row>
    <row r="13" spans="1:15" x14ac:dyDescent="0.2">
      <c r="C13" s="110" t="s">
        <v>128</v>
      </c>
      <c r="D13" s="109"/>
      <c r="E13" s="108"/>
      <c r="F13" s="108"/>
      <c r="G13" s="108"/>
      <c r="H13" s="108"/>
      <c r="I13" s="108"/>
    </row>
    <row r="14" spans="1:15" x14ac:dyDescent="0.2">
      <c r="C14" s="110" t="s">
        <v>127</v>
      </c>
      <c r="D14" s="109"/>
      <c r="E14" s="108"/>
      <c r="F14" s="108"/>
      <c r="G14" s="108"/>
      <c r="H14" s="108"/>
      <c r="I14" s="108"/>
      <c r="O14" s="84" t="s">
        <v>126</v>
      </c>
    </row>
    <row r="15" spans="1:15" x14ac:dyDescent="0.2">
      <c r="D15" s="108"/>
      <c r="E15" s="108"/>
      <c r="F15" s="108"/>
      <c r="G15" s="108"/>
      <c r="H15" s="108"/>
      <c r="I15" s="108"/>
      <c r="O15" s="107" t="e">
        <f>#REF!</f>
        <v>#REF!</v>
      </c>
    </row>
    <row r="16" spans="1:15" ht="25.5" x14ac:dyDescent="0.2">
      <c r="A16" s="106" t="s">
        <v>52</v>
      </c>
      <c r="B16" s="105" t="s">
        <v>125</v>
      </c>
      <c r="C16" s="105" t="s">
        <v>0</v>
      </c>
      <c r="D16" s="190" t="s">
        <v>124</v>
      </c>
      <c r="E16" s="191"/>
      <c r="F16" s="191"/>
      <c r="G16" s="191"/>
      <c r="H16" s="192"/>
      <c r="I16" s="193" t="s">
        <v>123</v>
      </c>
      <c r="J16" s="193" t="s">
        <v>122</v>
      </c>
      <c r="O16" s="94" t="e">
        <f>O10-O15</f>
        <v>#REF!</v>
      </c>
    </row>
    <row r="17" spans="1:15" ht="12.75" customHeight="1" x14ac:dyDescent="0.2">
      <c r="A17" s="104"/>
      <c r="B17" s="103"/>
      <c r="C17" s="103"/>
      <c r="D17" s="193" t="s">
        <v>48</v>
      </c>
      <c r="E17" s="193" t="s">
        <v>47</v>
      </c>
      <c r="F17" s="193" t="s">
        <v>121</v>
      </c>
      <c r="G17" s="193" t="s">
        <v>45</v>
      </c>
      <c r="H17" s="193" t="s">
        <v>120</v>
      </c>
      <c r="I17" s="194"/>
      <c r="J17" s="194"/>
    </row>
    <row r="18" spans="1:15" x14ac:dyDescent="0.2">
      <c r="A18" s="104"/>
      <c r="B18" s="103"/>
      <c r="C18" s="103"/>
      <c r="D18" s="194"/>
      <c r="E18" s="194"/>
      <c r="F18" s="194"/>
      <c r="G18" s="194"/>
      <c r="H18" s="194"/>
      <c r="I18" s="194"/>
      <c r="J18" s="194"/>
    </row>
    <row r="19" spans="1:15" x14ac:dyDescent="0.2">
      <c r="A19" s="102"/>
      <c r="B19" s="101"/>
      <c r="C19" s="101"/>
      <c r="D19" s="195"/>
      <c r="E19" s="195"/>
      <c r="F19" s="195"/>
      <c r="G19" s="195"/>
      <c r="H19" s="195"/>
      <c r="I19" s="195"/>
      <c r="J19" s="195"/>
    </row>
    <row r="20" spans="1:15" x14ac:dyDescent="0.2">
      <c r="A20" s="100">
        <v>1</v>
      </c>
      <c r="B20" s="99">
        <v>2</v>
      </c>
      <c r="C20" s="99">
        <v>3</v>
      </c>
      <c r="D20" s="98">
        <v>4</v>
      </c>
      <c r="E20" s="98">
        <v>5</v>
      </c>
      <c r="F20" s="98">
        <v>6</v>
      </c>
      <c r="G20" s="98">
        <v>7</v>
      </c>
      <c r="H20" s="98">
        <v>8</v>
      </c>
      <c r="I20" s="98">
        <v>9</v>
      </c>
      <c r="J20" s="98">
        <v>10</v>
      </c>
      <c r="O20" s="84" t="s">
        <v>119</v>
      </c>
    </row>
    <row r="21" spans="1:15" x14ac:dyDescent="0.2">
      <c r="A21" s="97" t="s">
        <v>118</v>
      </c>
      <c r="B21" s="96"/>
      <c r="C21" s="96"/>
      <c r="D21" s="96"/>
      <c r="E21" s="96"/>
      <c r="F21" s="96"/>
      <c r="G21" s="96"/>
      <c r="H21" s="96"/>
      <c r="I21" s="96"/>
      <c r="J21" s="95"/>
    </row>
    <row r="22" spans="1:15" x14ac:dyDescent="0.2">
      <c r="A22" s="93">
        <v>1</v>
      </c>
      <c r="B22" s="80" t="s">
        <v>117</v>
      </c>
      <c r="C22" s="80" t="s">
        <v>116</v>
      </c>
      <c r="D22" s="4">
        <f>75391013/1000</f>
        <v>75391.013000000006</v>
      </c>
      <c r="E22" s="4"/>
      <c r="F22" s="4"/>
      <c r="G22" s="4"/>
      <c r="H22" s="4">
        <f t="shared" ref="H22:H38" si="0">SUM(D22:G22)</f>
        <v>75391.013000000006</v>
      </c>
      <c r="I22" s="4">
        <f>12136741/1000</f>
        <v>12136.741</v>
      </c>
      <c r="J22" s="91"/>
      <c r="O22" s="84">
        <v>76451.956000000006</v>
      </c>
    </row>
    <row r="23" spans="1:15" x14ac:dyDescent="0.2">
      <c r="A23" s="93">
        <v>2</v>
      </c>
      <c r="B23" s="80" t="s">
        <v>115</v>
      </c>
      <c r="C23" s="80" t="s">
        <v>114</v>
      </c>
      <c r="D23" s="4">
        <f>71553579/1000</f>
        <v>71553.578999999998</v>
      </c>
      <c r="E23" s="4"/>
      <c r="F23" s="4"/>
      <c r="G23" s="4"/>
      <c r="H23" s="4">
        <f t="shared" si="0"/>
        <v>71553.578999999998</v>
      </c>
      <c r="I23" s="4">
        <f>11868829/1000</f>
        <v>11868.829</v>
      </c>
      <c r="J23" s="91"/>
      <c r="O23" s="84">
        <v>72811.237000000008</v>
      </c>
    </row>
    <row r="24" spans="1:15" x14ac:dyDescent="0.2">
      <c r="A24" s="93">
        <v>3</v>
      </c>
      <c r="B24" s="80" t="s">
        <v>113</v>
      </c>
      <c r="C24" s="80" t="s">
        <v>112</v>
      </c>
      <c r="D24" s="4">
        <f>155698177/1000</f>
        <v>155698.177</v>
      </c>
      <c r="E24" s="4"/>
      <c r="F24" s="4"/>
      <c r="G24" s="4"/>
      <c r="H24" s="4">
        <f t="shared" si="0"/>
        <v>155698.177</v>
      </c>
      <c r="I24" s="4">
        <f>33236100/1000</f>
        <v>33236.1</v>
      </c>
      <c r="J24" s="91"/>
    </row>
    <row r="25" spans="1:15" x14ac:dyDescent="0.2">
      <c r="A25" s="93">
        <v>4</v>
      </c>
      <c r="B25" s="80" t="s">
        <v>111</v>
      </c>
      <c r="C25" s="80" t="s">
        <v>110</v>
      </c>
      <c r="D25" s="4"/>
      <c r="E25" s="4">
        <f>9220906
/1000</f>
        <v>9220.9060000000009</v>
      </c>
      <c r="F25" s="4">
        <f>581914
/1000</f>
        <v>581.91399999999999</v>
      </c>
      <c r="G25" s="4"/>
      <c r="H25" s="4">
        <f t="shared" si="0"/>
        <v>9802.8200000000015</v>
      </c>
      <c r="I25" s="4">
        <f>2142124/1000</f>
        <v>2142.1239999999998</v>
      </c>
      <c r="J25" s="91"/>
    </row>
    <row r="26" spans="1:15" x14ac:dyDescent="0.2">
      <c r="A26" s="93">
        <v>5</v>
      </c>
      <c r="B26" s="80" t="s">
        <v>109</v>
      </c>
      <c r="C26" s="80" t="s">
        <v>108</v>
      </c>
      <c r="D26" s="4">
        <f>1233
/1000</f>
        <v>1.2330000000000001</v>
      </c>
      <c r="E26" s="4">
        <f>17001356
/1000</f>
        <v>17001.356</v>
      </c>
      <c r="F26" s="4"/>
      <c r="G26" s="4"/>
      <c r="H26" s="4">
        <f t="shared" si="0"/>
        <v>17002.589</v>
      </c>
      <c r="I26" s="4">
        <f>2757203/1000</f>
        <v>2757.203</v>
      </c>
      <c r="J26" s="91"/>
    </row>
    <row r="27" spans="1:15" x14ac:dyDescent="0.2">
      <c r="A27" s="93">
        <v>6</v>
      </c>
      <c r="B27" s="80" t="s">
        <v>107</v>
      </c>
      <c r="C27" s="80" t="s">
        <v>106</v>
      </c>
      <c r="D27" s="4">
        <f>3886142/1000</f>
        <v>3886.1419999999998</v>
      </c>
      <c r="E27" s="4">
        <f>18064/1000</f>
        <v>18.064</v>
      </c>
      <c r="F27" s="4">
        <f>1825763/1000</f>
        <v>1825.7629999999999</v>
      </c>
      <c r="G27" s="4"/>
      <c r="H27" s="4">
        <f t="shared" si="0"/>
        <v>5729.9689999999991</v>
      </c>
      <c r="I27" s="4">
        <f>671294/1000</f>
        <v>671.29399999999998</v>
      </c>
      <c r="J27" s="91"/>
    </row>
    <row r="28" spans="1:15" x14ac:dyDescent="0.2">
      <c r="A28" s="93">
        <v>7</v>
      </c>
      <c r="B28" s="80" t="s">
        <v>105</v>
      </c>
      <c r="C28" s="80" t="s">
        <v>104</v>
      </c>
      <c r="D28" s="4">
        <f>3047547
/1000</f>
        <v>3047.547</v>
      </c>
      <c r="E28" s="4">
        <f>16385/1000</f>
        <v>16.385000000000002</v>
      </c>
      <c r="F28" s="4">
        <f>368300/1000</f>
        <v>368.3</v>
      </c>
      <c r="G28" s="4"/>
      <c r="H28" s="4">
        <f t="shared" si="0"/>
        <v>3432.2320000000004</v>
      </c>
      <c r="I28" s="4">
        <f>417154/1000</f>
        <v>417.154</v>
      </c>
      <c r="J28" s="91"/>
    </row>
    <row r="29" spans="1:15" x14ac:dyDescent="0.2">
      <c r="A29" s="93">
        <v>8</v>
      </c>
      <c r="B29" s="80" t="s">
        <v>103</v>
      </c>
      <c r="C29" s="80" t="s">
        <v>102</v>
      </c>
      <c r="D29" s="4">
        <f>14451859
/1000</f>
        <v>14451.859</v>
      </c>
      <c r="E29" s="4">
        <f>3884032
/1000</f>
        <v>3884.0320000000002</v>
      </c>
      <c r="F29" s="4">
        <f>681695
/1000</f>
        <v>681.69500000000005</v>
      </c>
      <c r="G29" s="4"/>
      <c r="H29" s="4">
        <f t="shared" si="0"/>
        <v>19017.585999999999</v>
      </c>
      <c r="I29" s="4">
        <f>3782894/1000</f>
        <v>3782.8939999999998</v>
      </c>
      <c r="J29" s="91"/>
    </row>
    <row r="30" spans="1:15" x14ac:dyDescent="0.2">
      <c r="A30" s="93">
        <v>9</v>
      </c>
      <c r="B30" s="80" t="s">
        <v>101</v>
      </c>
      <c r="C30" s="80" t="s">
        <v>100</v>
      </c>
      <c r="D30" s="4">
        <f>27241398
/1000</f>
        <v>27241.398000000001</v>
      </c>
      <c r="E30" s="4">
        <f>373908/1000</f>
        <v>373.90800000000002</v>
      </c>
      <c r="F30" s="4">
        <f>14267285
/1000</f>
        <v>14267.285</v>
      </c>
      <c r="G30" s="4"/>
      <c r="H30" s="4">
        <f t="shared" si="0"/>
        <v>41882.591</v>
      </c>
      <c r="I30" s="4">
        <f>5652474/1000</f>
        <v>5652.4740000000002</v>
      </c>
      <c r="J30" s="91"/>
    </row>
    <row r="31" spans="1:15" x14ac:dyDescent="0.2">
      <c r="A31" s="93">
        <v>10</v>
      </c>
      <c r="B31" s="80" t="s">
        <v>99</v>
      </c>
      <c r="C31" s="80" t="s">
        <v>98</v>
      </c>
      <c r="D31" s="4">
        <f>2074380/1000</f>
        <v>2074.38</v>
      </c>
      <c r="E31" s="4">
        <f>41269/1000</f>
        <v>41.268999999999998</v>
      </c>
      <c r="F31" s="4">
        <f>856259/1000</f>
        <v>856.25900000000001</v>
      </c>
      <c r="G31" s="4"/>
      <c r="H31" s="4">
        <f t="shared" si="0"/>
        <v>2971.9079999999999</v>
      </c>
      <c r="I31" s="4">
        <f>249116/1000</f>
        <v>249.11600000000001</v>
      </c>
      <c r="J31" s="91"/>
    </row>
    <row r="32" spans="1:15" x14ac:dyDescent="0.2">
      <c r="A32" s="93">
        <v>11</v>
      </c>
      <c r="B32" s="80" t="s">
        <v>97</v>
      </c>
      <c r="C32" s="80" t="s">
        <v>96</v>
      </c>
      <c r="D32" s="4">
        <f>1601332/1000</f>
        <v>1601.3320000000001</v>
      </c>
      <c r="E32" s="4">
        <f>1894798/1000</f>
        <v>1894.798</v>
      </c>
      <c r="F32" s="4">
        <f>953820/1000</f>
        <v>953.82</v>
      </c>
      <c r="G32" s="4"/>
      <c r="H32" s="4">
        <f t="shared" si="0"/>
        <v>4449.95</v>
      </c>
      <c r="I32" s="4">
        <f>704476/1000</f>
        <v>704.476</v>
      </c>
      <c r="J32" s="91"/>
    </row>
    <row r="33" spans="1:13" ht="26.25" customHeight="1" x14ac:dyDescent="0.2">
      <c r="A33" s="93">
        <v>12</v>
      </c>
      <c r="B33" s="80" t="s">
        <v>95</v>
      </c>
      <c r="C33" s="80" t="s">
        <v>94</v>
      </c>
      <c r="D33" s="4">
        <f>1154763/1000</f>
        <v>1154.7629999999999</v>
      </c>
      <c r="E33" s="4">
        <f>2803285/1000</f>
        <v>2803.2849999999999</v>
      </c>
      <c r="F33" s="4">
        <f>619988/1000</f>
        <v>619.98800000000006</v>
      </c>
      <c r="G33" s="4"/>
      <c r="H33" s="4">
        <f t="shared" si="0"/>
        <v>4578.0360000000001</v>
      </c>
      <c r="I33" s="4">
        <f>1020948/1000</f>
        <v>1020.948</v>
      </c>
      <c r="J33" s="91"/>
      <c r="M33" s="84">
        <v>46753267</v>
      </c>
    </row>
    <row r="34" spans="1:13" ht="25.5" x14ac:dyDescent="0.2">
      <c r="A34" s="93">
        <v>13</v>
      </c>
      <c r="B34" s="80" t="s">
        <v>93</v>
      </c>
      <c r="C34" s="80" t="s">
        <v>92</v>
      </c>
      <c r="D34" s="4">
        <f>234428/1000</f>
        <v>234.428</v>
      </c>
      <c r="E34" s="4">
        <f>1237021/1000</f>
        <v>1237.021</v>
      </c>
      <c r="F34" s="4">
        <f>1818310/1000</f>
        <v>1818.31</v>
      </c>
      <c r="G34" s="4"/>
      <c r="H34" s="4">
        <f t="shared" si="0"/>
        <v>3289.759</v>
      </c>
      <c r="I34" s="4">
        <f>468811/1000</f>
        <v>468.81099999999998</v>
      </c>
      <c r="J34" s="91"/>
    </row>
    <row r="35" spans="1:13" x14ac:dyDescent="0.2">
      <c r="A35" s="93">
        <v>14</v>
      </c>
      <c r="B35" s="80" t="s">
        <v>91</v>
      </c>
      <c r="C35" s="80" t="s">
        <v>90</v>
      </c>
      <c r="D35" s="4"/>
      <c r="E35" s="4">
        <f>1497063/1000</f>
        <v>1497.0630000000001</v>
      </c>
      <c r="F35" s="4">
        <f>3602021/1000</f>
        <v>3602.0210000000002</v>
      </c>
      <c r="G35" s="4"/>
      <c r="H35" s="4">
        <f t="shared" si="0"/>
        <v>5099.0840000000007</v>
      </c>
      <c r="I35" s="4">
        <f>616755/1000</f>
        <v>616.755</v>
      </c>
      <c r="J35" s="91"/>
    </row>
    <row r="36" spans="1:13" x14ac:dyDescent="0.2">
      <c r="A36" s="93">
        <v>15</v>
      </c>
      <c r="B36" s="80" t="s">
        <v>89</v>
      </c>
      <c r="C36" s="80" t="s">
        <v>88</v>
      </c>
      <c r="D36" s="4">
        <f>1687/1000</f>
        <v>1.6870000000000001</v>
      </c>
      <c r="E36" s="4">
        <f>63071/1000</f>
        <v>63.070999999999998</v>
      </c>
      <c r="F36" s="4">
        <f>46679/1000</f>
        <v>46.679000000000002</v>
      </c>
      <c r="G36" s="4"/>
      <c r="H36" s="4">
        <f t="shared" si="0"/>
        <v>111.437</v>
      </c>
      <c r="I36" s="4">
        <f>25180/1000</f>
        <v>25.18</v>
      </c>
      <c r="J36" s="91"/>
      <c r="K36" s="94"/>
    </row>
    <row r="37" spans="1:13" ht="25.5" x14ac:dyDescent="0.2">
      <c r="A37" s="93">
        <v>16</v>
      </c>
      <c r="B37" s="80" t="s">
        <v>87</v>
      </c>
      <c r="C37" s="80" t="s">
        <v>86</v>
      </c>
      <c r="D37" s="4">
        <f>72759/1000</f>
        <v>72.759</v>
      </c>
      <c r="E37" s="4">
        <f>1032767/1000</f>
        <v>1032.7670000000001</v>
      </c>
      <c r="F37" s="4">
        <f>417487/1000</f>
        <v>417.48700000000002</v>
      </c>
      <c r="G37" s="4"/>
      <c r="H37" s="4">
        <f t="shared" si="0"/>
        <v>1523.0130000000001</v>
      </c>
      <c r="I37" s="4">
        <f>433892/1000</f>
        <v>433.892</v>
      </c>
      <c r="J37" s="91"/>
    </row>
    <row r="38" spans="1:13" ht="25.5" x14ac:dyDescent="0.2">
      <c r="A38" s="93">
        <v>17</v>
      </c>
      <c r="B38" s="80" t="s">
        <v>85</v>
      </c>
      <c r="C38" s="80" t="s">
        <v>84</v>
      </c>
      <c r="D38" s="4">
        <f>196144/1000</f>
        <v>196.14400000000001</v>
      </c>
      <c r="E38" s="4">
        <f>783472/1000</f>
        <v>783.47199999999998</v>
      </c>
      <c r="F38" s="4">
        <f>520568/1000</f>
        <v>520.56799999999998</v>
      </c>
      <c r="G38" s="4"/>
      <c r="H38" s="4">
        <f t="shared" si="0"/>
        <v>1500.184</v>
      </c>
      <c r="I38" s="4">
        <f>303186/1000</f>
        <v>303.18599999999998</v>
      </c>
      <c r="J38" s="91"/>
      <c r="K38" s="94" t="e">
        <f>#REF!</f>
        <v>#REF!</v>
      </c>
    </row>
    <row r="39" spans="1:13" x14ac:dyDescent="0.2">
      <c r="A39" s="92"/>
      <c r="B39" s="196" t="s">
        <v>83</v>
      </c>
      <c r="C39" s="197"/>
      <c r="D39" s="4">
        <f>ROUND(SUM(D22:D38),2)</f>
        <v>356606.44</v>
      </c>
      <c r="E39" s="4">
        <f>ROUND(SUM(E22:E38),2)</f>
        <v>39867.4</v>
      </c>
      <c r="F39" s="4">
        <f>ROUND(SUM(F22:F38),2)</f>
        <v>26560.09</v>
      </c>
      <c r="G39" s="4">
        <f>SUM(G22:G38)</f>
        <v>0</v>
      </c>
      <c r="H39" s="4">
        <f>SUM(H22:H38)</f>
        <v>423033.92699999997</v>
      </c>
      <c r="I39" s="4">
        <f>SUM(I22:I38)</f>
        <v>76487.176999999996</v>
      </c>
      <c r="J39" s="91"/>
    </row>
    <row r="40" spans="1:13" s="62" customFormat="1" ht="15" x14ac:dyDescent="0.25">
      <c r="I40" s="90"/>
    </row>
    <row r="41" spans="1:13" s="62" customFormat="1" ht="15" x14ac:dyDescent="0.25">
      <c r="C41" s="89" t="s">
        <v>142</v>
      </c>
      <c r="D41" s="36"/>
      <c r="E41" s="88"/>
      <c r="F41" s="88"/>
      <c r="G41" s="87"/>
      <c r="I41" s="90"/>
    </row>
    <row r="42" spans="1:13" s="62" customFormat="1" ht="15" x14ac:dyDescent="0.25">
      <c r="D42" s="160"/>
      <c r="E42" s="160"/>
      <c r="F42" s="160"/>
      <c r="G42" s="37"/>
      <c r="I42" s="90"/>
    </row>
    <row r="43" spans="1:13" s="62" customFormat="1" ht="15" x14ac:dyDescent="0.25">
      <c r="C43" s="89"/>
      <c r="D43" s="38"/>
      <c r="E43" s="87"/>
      <c r="F43" s="87"/>
      <c r="G43" s="87"/>
      <c r="I43" s="90"/>
    </row>
    <row r="44" spans="1:13" s="62" customFormat="1" ht="15" x14ac:dyDescent="0.25">
      <c r="D44" s="158"/>
      <c r="E44" s="158"/>
      <c r="F44" s="158"/>
      <c r="G44" s="37"/>
    </row>
    <row r="45" spans="1:13" s="62" customFormat="1" ht="15" x14ac:dyDescent="0.25">
      <c r="C45" s="89"/>
      <c r="D45" s="38"/>
      <c r="E45" s="87"/>
      <c r="F45" s="87"/>
      <c r="G45" s="87"/>
    </row>
    <row r="46" spans="1:13" s="62" customFormat="1" ht="15" x14ac:dyDescent="0.25">
      <c r="D46" s="158"/>
      <c r="E46" s="158"/>
      <c r="F46" s="158"/>
      <c r="G46" s="37"/>
    </row>
    <row r="47" spans="1:13" s="62" customFormat="1" ht="15" x14ac:dyDescent="0.25">
      <c r="C47" s="89"/>
      <c r="D47" s="38"/>
      <c r="E47" s="87"/>
      <c r="F47" s="87"/>
      <c r="G47" s="87"/>
    </row>
  </sheetData>
  <protectedRanges>
    <protectedRange sqref="A1:E1 A2:D2 A3:E21 F1:XFD8 A48:XFD1048576 D24 E25 D26 D29:D30 A39:XFD39 H22:XFD38 A22:A38 F16:XFD21 F9:N15 P9:XFD15" name="Диапазон1"/>
    <protectedRange sqref="A40:XFD47" name="Диапазон1_3"/>
    <protectedRange sqref="B22:B38" name="Диапазон1_1"/>
    <protectedRange sqref="O9:O15" name="Диапазон1_2"/>
  </protectedRanges>
  <mergeCells count="13">
    <mergeCell ref="D44:F44"/>
    <mergeCell ref="D46:F46"/>
    <mergeCell ref="A2:J2"/>
    <mergeCell ref="D16:H16"/>
    <mergeCell ref="I16:I19"/>
    <mergeCell ref="J16:J19"/>
    <mergeCell ref="D17:D19"/>
    <mergeCell ref="E17:E19"/>
    <mergeCell ref="F17:F19"/>
    <mergeCell ref="G17:G19"/>
    <mergeCell ref="H17:H19"/>
    <mergeCell ref="B39:C39"/>
    <mergeCell ref="D42:F42"/>
  </mergeCells>
  <pageMargins left="0.7" right="0.7" top="0.75" bottom="0.75" header="0.3" footer="0.3"/>
  <pageSetup paperSize="9" scale="7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T47"/>
  <sheetViews>
    <sheetView view="pageBreakPreview" topLeftCell="A22" zoomScale="110" zoomScaleNormal="100" zoomScaleSheetLayoutView="110" workbookViewId="0">
      <selection activeCell="D46" sqref="D46:F46"/>
    </sheetView>
  </sheetViews>
  <sheetFormatPr defaultColWidth="9.140625" defaultRowHeight="12.75" x14ac:dyDescent="0.2"/>
  <cols>
    <col min="1" max="1" width="5" style="84" customWidth="1"/>
    <col min="2" max="2" width="17.42578125" style="86" customWidth="1"/>
    <col min="3" max="3" width="37.28515625" style="86" customWidth="1"/>
    <col min="4" max="4" width="14.28515625" style="85" customWidth="1"/>
    <col min="5" max="5" width="12.5703125" style="85" customWidth="1"/>
    <col min="6" max="6" width="11.7109375" style="85" customWidth="1"/>
    <col min="7" max="7" width="11.140625" style="85" customWidth="1"/>
    <col min="8" max="8" width="15" style="85" customWidth="1"/>
    <col min="9" max="9" width="13.42578125" style="85" customWidth="1"/>
    <col min="10" max="10" width="11.28515625" style="85" customWidth="1"/>
    <col min="11" max="11" width="12.85546875" style="84" hidden="1" customWidth="1"/>
    <col min="12" max="18" width="0" style="84" hidden="1" customWidth="1"/>
    <col min="19" max="19" width="19.5703125" style="84" hidden="1" customWidth="1"/>
    <col min="20" max="20" width="19.28515625" style="84" hidden="1" customWidth="1"/>
    <col min="21" max="16384" width="9.140625" style="84"/>
  </cols>
  <sheetData>
    <row r="1" spans="1:10" x14ac:dyDescent="0.2">
      <c r="D1" s="108"/>
      <c r="E1" s="108"/>
      <c r="F1" s="108"/>
      <c r="G1" s="108"/>
      <c r="H1" s="108"/>
      <c r="I1" s="108"/>
      <c r="J1" s="118" t="s">
        <v>138</v>
      </c>
    </row>
    <row r="2" spans="1:10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0" x14ac:dyDescent="0.2">
      <c r="D3" s="108"/>
      <c r="E3" s="112" t="s">
        <v>53</v>
      </c>
      <c r="F3" s="108"/>
      <c r="G3" s="108"/>
      <c r="H3" s="108"/>
      <c r="I3" s="108"/>
    </row>
    <row r="4" spans="1:10" x14ac:dyDescent="0.2">
      <c r="D4" s="108"/>
      <c r="E4" s="108"/>
      <c r="F4" s="108"/>
      <c r="G4" s="108"/>
      <c r="H4" s="108"/>
      <c r="I4" s="108"/>
    </row>
    <row r="5" spans="1:10" x14ac:dyDescent="0.2">
      <c r="D5" s="108"/>
      <c r="E5" s="117" t="s">
        <v>137</v>
      </c>
      <c r="F5" s="108"/>
      <c r="G5" s="116" t="s">
        <v>33</v>
      </c>
      <c r="H5" s="108"/>
      <c r="I5" s="108"/>
    </row>
    <row r="6" spans="1:10" x14ac:dyDescent="0.2">
      <c r="D6" s="108"/>
      <c r="E6" s="108" t="s">
        <v>136</v>
      </c>
      <c r="F6" s="108"/>
      <c r="G6" s="108"/>
      <c r="H6" s="108"/>
      <c r="I6" s="108"/>
    </row>
    <row r="7" spans="1:10" x14ac:dyDescent="0.2">
      <c r="D7" s="108"/>
      <c r="E7" s="108"/>
      <c r="F7" s="108"/>
      <c r="G7" s="108"/>
      <c r="H7" s="108"/>
      <c r="I7" s="108"/>
    </row>
    <row r="8" spans="1:10" x14ac:dyDescent="0.2">
      <c r="C8" s="115" t="s">
        <v>135</v>
      </c>
      <c r="D8" s="114" t="s">
        <v>134</v>
      </c>
      <c r="E8" s="113"/>
      <c r="F8" s="113"/>
      <c r="G8" s="108"/>
      <c r="H8" s="108"/>
      <c r="I8" s="108"/>
    </row>
    <row r="9" spans="1:10" x14ac:dyDescent="0.2">
      <c r="D9" s="108"/>
      <c r="E9" s="112" t="s">
        <v>133</v>
      </c>
      <c r="F9" s="108"/>
      <c r="G9" s="108"/>
      <c r="H9" s="108"/>
      <c r="I9" s="108"/>
    </row>
    <row r="10" spans="1:10" x14ac:dyDescent="0.2">
      <c r="D10" s="108"/>
      <c r="E10" s="108"/>
      <c r="F10" s="108"/>
      <c r="G10" s="108"/>
      <c r="H10" s="108"/>
      <c r="I10" s="108"/>
    </row>
    <row r="11" spans="1:10" x14ac:dyDescent="0.2">
      <c r="C11" s="110" t="s">
        <v>131</v>
      </c>
      <c r="D11" s="111">
        <f>H39</f>
        <v>72574.038000000015</v>
      </c>
      <c r="E11" s="108" t="s">
        <v>140</v>
      </c>
      <c r="F11" s="108"/>
      <c r="G11" s="108"/>
      <c r="H11" s="108"/>
      <c r="I11" s="108"/>
    </row>
    <row r="12" spans="1:10" x14ac:dyDescent="0.2">
      <c r="C12" s="110" t="s">
        <v>141</v>
      </c>
      <c r="D12" s="121">
        <f>I39</f>
        <v>3399.4219999999996</v>
      </c>
      <c r="E12" s="108" t="s">
        <v>140</v>
      </c>
      <c r="F12" s="108"/>
      <c r="G12" s="108"/>
      <c r="H12" s="108"/>
      <c r="I12" s="108"/>
    </row>
    <row r="13" spans="1:10" x14ac:dyDescent="0.2">
      <c r="C13" s="110" t="s">
        <v>128</v>
      </c>
      <c r="D13" s="109"/>
      <c r="E13" s="108"/>
      <c r="F13" s="108"/>
      <c r="G13" s="108"/>
      <c r="H13" s="108"/>
      <c r="I13" s="108"/>
    </row>
    <row r="14" spans="1:10" x14ac:dyDescent="0.2">
      <c r="C14" s="110" t="s">
        <v>139</v>
      </c>
      <c r="D14" s="109"/>
      <c r="E14" s="108"/>
      <c r="F14" s="108"/>
      <c r="G14" s="108"/>
      <c r="H14" s="108"/>
      <c r="I14" s="108"/>
    </row>
    <row r="15" spans="1:10" x14ac:dyDescent="0.2">
      <c r="D15" s="108"/>
      <c r="E15" s="108"/>
      <c r="F15" s="108"/>
      <c r="G15" s="108"/>
      <c r="H15" s="108"/>
      <c r="I15" s="108"/>
    </row>
    <row r="16" spans="1:10" ht="25.5" x14ac:dyDescent="0.2">
      <c r="A16" s="106" t="s">
        <v>52</v>
      </c>
      <c r="B16" s="105" t="s">
        <v>125</v>
      </c>
      <c r="C16" s="105" t="s">
        <v>0</v>
      </c>
      <c r="D16" s="190" t="s">
        <v>124</v>
      </c>
      <c r="E16" s="191"/>
      <c r="F16" s="191"/>
      <c r="G16" s="191"/>
      <c r="H16" s="192"/>
      <c r="I16" s="193" t="s">
        <v>123</v>
      </c>
      <c r="J16" s="193" t="s">
        <v>122</v>
      </c>
    </row>
    <row r="17" spans="1:20" x14ac:dyDescent="0.2">
      <c r="A17" s="104"/>
      <c r="B17" s="103"/>
      <c r="C17" s="103"/>
      <c r="D17" s="193" t="s">
        <v>48</v>
      </c>
      <c r="E17" s="193" t="s">
        <v>47</v>
      </c>
      <c r="F17" s="193" t="s">
        <v>121</v>
      </c>
      <c r="G17" s="193" t="s">
        <v>45</v>
      </c>
      <c r="H17" s="193" t="s">
        <v>120</v>
      </c>
      <c r="I17" s="194"/>
      <c r="J17" s="194"/>
    </row>
    <row r="18" spans="1:20" x14ac:dyDescent="0.2">
      <c r="A18" s="104"/>
      <c r="B18" s="103"/>
      <c r="C18" s="103"/>
      <c r="D18" s="194"/>
      <c r="E18" s="194"/>
      <c r="F18" s="194"/>
      <c r="G18" s="194"/>
      <c r="H18" s="194"/>
      <c r="I18" s="194"/>
      <c r="J18" s="194"/>
    </row>
    <row r="19" spans="1:20" x14ac:dyDescent="0.2">
      <c r="A19" s="102"/>
      <c r="B19" s="101"/>
      <c r="C19" s="101"/>
      <c r="D19" s="195"/>
      <c r="E19" s="195"/>
      <c r="F19" s="195"/>
      <c r="G19" s="195"/>
      <c r="H19" s="195"/>
      <c r="I19" s="195"/>
      <c r="J19" s="195"/>
      <c r="T19" s="94" t="e">
        <f>ОСтек!O16</f>
        <v>#REF!</v>
      </c>
    </row>
    <row r="20" spans="1:20" x14ac:dyDescent="0.2">
      <c r="A20" s="100">
        <v>1</v>
      </c>
      <c r="B20" s="99">
        <v>2</v>
      </c>
      <c r="C20" s="99">
        <v>3</v>
      </c>
      <c r="D20" s="98">
        <v>4</v>
      </c>
      <c r="E20" s="98">
        <v>5</v>
      </c>
      <c r="F20" s="98">
        <v>6</v>
      </c>
      <c r="G20" s="98">
        <v>7</v>
      </c>
      <c r="H20" s="98">
        <v>8</v>
      </c>
      <c r="I20" s="98">
        <v>9</v>
      </c>
      <c r="J20" s="98">
        <v>10</v>
      </c>
      <c r="T20" s="84" t="s">
        <v>119</v>
      </c>
    </row>
    <row r="21" spans="1:20" x14ac:dyDescent="0.2">
      <c r="A21" s="97" t="s">
        <v>118</v>
      </c>
      <c r="B21" s="96"/>
      <c r="C21" s="96"/>
      <c r="D21" s="96"/>
      <c r="E21" s="96"/>
      <c r="F21" s="96"/>
      <c r="G21" s="96"/>
      <c r="H21" s="96"/>
      <c r="I21" s="96"/>
      <c r="J21" s="95"/>
    </row>
    <row r="22" spans="1:20" x14ac:dyDescent="0.2">
      <c r="A22" s="93">
        <v>1</v>
      </c>
      <c r="B22" s="80" t="s">
        <v>117</v>
      </c>
      <c r="C22" s="80" t="s">
        <v>116</v>
      </c>
      <c r="D22" s="4">
        <f>13919350/1000</f>
        <v>13919.35</v>
      </c>
      <c r="E22" s="4"/>
      <c r="F22" s="4"/>
      <c r="G22" s="4"/>
      <c r="H22" s="4">
        <f t="shared" ref="H22:H38" si="0">SUM(D22:G22)</f>
        <v>13919.35</v>
      </c>
      <c r="I22" s="119">
        <f>539410/1000</f>
        <v>539.41</v>
      </c>
      <c r="J22" s="91"/>
      <c r="T22" s="84">
        <v>13933.36</v>
      </c>
    </row>
    <row r="23" spans="1:20" x14ac:dyDescent="0.2">
      <c r="A23" s="93">
        <v>2</v>
      </c>
      <c r="B23" s="80" t="s">
        <v>115</v>
      </c>
      <c r="C23" s="80" t="s">
        <v>114</v>
      </c>
      <c r="D23" s="4">
        <f>13346290/1000</f>
        <v>13346.29</v>
      </c>
      <c r="E23" s="4"/>
      <c r="F23" s="4"/>
      <c r="G23" s="4"/>
      <c r="H23" s="4">
        <f t="shared" si="0"/>
        <v>13346.29</v>
      </c>
      <c r="I23" s="119">
        <f>527503/1000</f>
        <v>527.50300000000004</v>
      </c>
      <c r="J23" s="91"/>
      <c r="T23" s="84">
        <v>13279.441999999999</v>
      </c>
    </row>
    <row r="24" spans="1:20" x14ac:dyDescent="0.2">
      <c r="A24" s="93">
        <v>3</v>
      </c>
      <c r="B24" s="80" t="s">
        <v>113</v>
      </c>
      <c r="C24" s="80" t="s">
        <v>112</v>
      </c>
      <c r="D24" s="4">
        <f>25295476/1000</f>
        <v>25295.475999999999</v>
      </c>
      <c r="E24" s="4"/>
      <c r="F24" s="4"/>
      <c r="G24" s="4"/>
      <c r="H24" s="4">
        <f t="shared" si="0"/>
        <v>25295.475999999999</v>
      </c>
      <c r="I24" s="119">
        <f>1477153/1000</f>
        <v>1477.153</v>
      </c>
      <c r="J24" s="91"/>
    </row>
    <row r="25" spans="1:20" x14ac:dyDescent="0.2">
      <c r="A25" s="93">
        <v>4</v>
      </c>
      <c r="B25" s="80" t="s">
        <v>111</v>
      </c>
      <c r="C25" s="80" t="s">
        <v>110</v>
      </c>
      <c r="D25" s="4"/>
      <c r="E25" s="4">
        <f>958511/1000</f>
        <v>958.51099999999997</v>
      </c>
      <c r="F25" s="4">
        <f>167815/1000</f>
        <v>167.815</v>
      </c>
      <c r="G25" s="4"/>
      <c r="H25" s="4">
        <f t="shared" si="0"/>
        <v>1126.326</v>
      </c>
      <c r="I25" s="119">
        <f>95205/1000</f>
        <v>95.204999999999998</v>
      </c>
      <c r="J25" s="91"/>
    </row>
    <row r="26" spans="1:20" x14ac:dyDescent="0.2">
      <c r="A26" s="93">
        <v>5</v>
      </c>
      <c r="B26" s="80" t="s">
        <v>109</v>
      </c>
      <c r="C26" s="80" t="s">
        <v>108</v>
      </c>
      <c r="D26" s="4">
        <f>220/1000</f>
        <v>0.22</v>
      </c>
      <c r="E26" s="4">
        <f>2103763/1000</f>
        <v>2103.7629999999999</v>
      </c>
      <c r="F26" s="4"/>
      <c r="G26" s="4"/>
      <c r="H26" s="4">
        <f t="shared" si="0"/>
        <v>2103.9829999999997</v>
      </c>
      <c r="I26" s="119">
        <f>122542/1000</f>
        <v>122.542</v>
      </c>
      <c r="J26" s="91"/>
    </row>
    <row r="27" spans="1:20" x14ac:dyDescent="0.2">
      <c r="A27" s="93">
        <v>6</v>
      </c>
      <c r="B27" s="80" t="s">
        <v>107</v>
      </c>
      <c r="C27" s="80" t="s">
        <v>106</v>
      </c>
      <c r="D27" s="4">
        <f>740445/1000</f>
        <v>740.44500000000005</v>
      </c>
      <c r="E27" s="4">
        <f>1147/1000</f>
        <v>1.147</v>
      </c>
      <c r="F27" s="4">
        <f>535414/1000</f>
        <v>535.41399999999999</v>
      </c>
      <c r="G27" s="4"/>
      <c r="H27" s="4">
        <f t="shared" si="0"/>
        <v>1277.0060000000001</v>
      </c>
      <c r="I27" s="119">
        <f>29833/1000</f>
        <v>29.832999999999998</v>
      </c>
      <c r="J27" s="91"/>
    </row>
    <row r="28" spans="1:20" x14ac:dyDescent="0.2">
      <c r="A28" s="93">
        <v>7</v>
      </c>
      <c r="B28" s="80" t="s">
        <v>105</v>
      </c>
      <c r="C28" s="80" t="s">
        <v>104</v>
      </c>
      <c r="D28" s="4">
        <f>391831/1000</f>
        <v>391.83100000000002</v>
      </c>
      <c r="E28" s="4">
        <f>1555/1000</f>
        <v>1.5549999999999999</v>
      </c>
      <c r="F28" s="4">
        <f>108006/1000</f>
        <v>108.006</v>
      </c>
      <c r="G28" s="4"/>
      <c r="H28" s="4">
        <f t="shared" si="0"/>
        <v>501.39200000000005</v>
      </c>
      <c r="I28" s="119">
        <f>18536/1000</f>
        <v>18.536000000000001</v>
      </c>
      <c r="J28" s="91"/>
      <c r="S28" s="120" t="e">
        <f>'ССР полн баз'!R65</f>
        <v>#REF!</v>
      </c>
    </row>
    <row r="29" spans="1:20" x14ac:dyDescent="0.2">
      <c r="A29" s="93">
        <v>8</v>
      </c>
      <c r="B29" s="80" t="s">
        <v>103</v>
      </c>
      <c r="C29" s="80" t="s">
        <v>102</v>
      </c>
      <c r="D29" s="4">
        <f>1866201/1000</f>
        <v>1866.201</v>
      </c>
      <c r="E29" s="4">
        <f>598886/1000</f>
        <v>598.88599999999997</v>
      </c>
      <c r="F29" s="4">
        <f>136067/1000</f>
        <v>136.06700000000001</v>
      </c>
      <c r="G29" s="4"/>
      <c r="H29" s="4">
        <f t="shared" si="0"/>
        <v>2601.154</v>
      </c>
      <c r="I29" s="119">
        <f>168130/1000</f>
        <v>168.13</v>
      </c>
      <c r="J29" s="91"/>
    </row>
    <row r="30" spans="1:20" x14ac:dyDescent="0.2">
      <c r="A30" s="93">
        <v>9</v>
      </c>
      <c r="B30" s="80" t="s">
        <v>101</v>
      </c>
      <c r="C30" s="80" t="s">
        <v>100</v>
      </c>
      <c r="D30" s="4">
        <f>3188279/1000</f>
        <v>3188.279</v>
      </c>
      <c r="E30" s="4">
        <f>25958/1000</f>
        <v>25.957999999999998</v>
      </c>
      <c r="F30" s="4">
        <f>5153464/1000</f>
        <v>5153.4639999999999</v>
      </c>
      <c r="G30" s="4"/>
      <c r="H30" s="4">
        <f t="shared" si="0"/>
        <v>8367.7010000000009</v>
      </c>
      <c r="I30" s="119">
        <f>251215/1000</f>
        <v>251.215</v>
      </c>
      <c r="J30" s="91"/>
    </row>
    <row r="31" spans="1:20" x14ac:dyDescent="0.2">
      <c r="A31" s="93">
        <v>10</v>
      </c>
      <c r="B31" s="80" t="s">
        <v>99</v>
      </c>
      <c r="C31" s="80" t="s">
        <v>98</v>
      </c>
      <c r="D31" s="4">
        <f>335040/1000</f>
        <v>335.04</v>
      </c>
      <c r="E31" s="4">
        <f>2510/1000</f>
        <v>2.5099999999999998</v>
      </c>
      <c r="F31" s="4">
        <f>250239/1000</f>
        <v>250.239</v>
      </c>
      <c r="G31" s="4"/>
      <c r="H31" s="4">
        <f t="shared" si="0"/>
        <v>587.78899999999999</v>
      </c>
      <c r="I31" s="119">
        <f>11080/1000</f>
        <v>11.08</v>
      </c>
      <c r="J31" s="91"/>
    </row>
    <row r="32" spans="1:20" x14ac:dyDescent="0.2">
      <c r="A32" s="93">
        <v>11</v>
      </c>
      <c r="B32" s="80" t="s">
        <v>97</v>
      </c>
      <c r="C32" s="80" t="s">
        <v>96</v>
      </c>
      <c r="D32" s="4">
        <f>254193/1000</f>
        <v>254.19300000000001</v>
      </c>
      <c r="E32" s="4">
        <f>181430/1000</f>
        <v>181.43</v>
      </c>
      <c r="F32" s="4">
        <f>279714/1000</f>
        <v>279.714</v>
      </c>
      <c r="G32" s="4"/>
      <c r="H32" s="4">
        <f t="shared" si="0"/>
        <v>715.33699999999999</v>
      </c>
      <c r="I32" s="119">
        <f>31314/1000</f>
        <v>31.314</v>
      </c>
      <c r="J32" s="91"/>
    </row>
    <row r="33" spans="1:11" ht="26.25" customHeight="1" x14ac:dyDescent="0.2">
      <c r="A33" s="93">
        <v>12</v>
      </c>
      <c r="B33" s="80" t="s">
        <v>95</v>
      </c>
      <c r="C33" s="80" t="s">
        <v>94</v>
      </c>
      <c r="D33" s="4">
        <f>183786/1000</f>
        <v>183.786</v>
      </c>
      <c r="E33" s="4">
        <f>274538/1000</f>
        <v>274.53800000000001</v>
      </c>
      <c r="F33" s="4">
        <f>194060/1000</f>
        <v>194.06</v>
      </c>
      <c r="G33" s="4"/>
      <c r="H33" s="4">
        <f t="shared" si="0"/>
        <v>652.38400000000001</v>
      </c>
      <c r="I33" s="119">
        <f>45374/1000</f>
        <v>45.374000000000002</v>
      </c>
      <c r="J33" s="91"/>
    </row>
    <row r="34" spans="1:11" ht="25.5" x14ac:dyDescent="0.2">
      <c r="A34" s="93">
        <v>13</v>
      </c>
      <c r="B34" s="80" t="s">
        <v>93</v>
      </c>
      <c r="C34" s="80" t="s">
        <v>92</v>
      </c>
      <c r="D34" s="4">
        <f>37398/1000</f>
        <v>37.398000000000003</v>
      </c>
      <c r="E34" s="4">
        <f>112216/1000</f>
        <v>112.21599999999999</v>
      </c>
      <c r="F34" s="4">
        <f>533227/1000</f>
        <v>533.22699999999998</v>
      </c>
      <c r="G34" s="4"/>
      <c r="H34" s="4">
        <f t="shared" si="0"/>
        <v>682.84100000000001</v>
      </c>
      <c r="I34" s="119">
        <f>20838/1000</f>
        <v>20.838000000000001</v>
      </c>
      <c r="J34" s="91"/>
    </row>
    <row r="35" spans="1:11" x14ac:dyDescent="0.2">
      <c r="A35" s="93">
        <v>14</v>
      </c>
      <c r="B35" s="80" t="s">
        <v>91</v>
      </c>
      <c r="C35" s="80" t="s">
        <v>90</v>
      </c>
      <c r="D35" s="4"/>
      <c r="E35" s="4">
        <f>94377/1000</f>
        <v>94.376999999999995</v>
      </c>
      <c r="F35" s="4">
        <f>749597/1000</f>
        <v>749.59699999999998</v>
      </c>
      <c r="G35" s="4"/>
      <c r="H35" s="4">
        <f t="shared" si="0"/>
        <v>843.97399999999993</v>
      </c>
      <c r="I35" s="119">
        <f>27410/1000</f>
        <v>27.41</v>
      </c>
      <c r="J35" s="91"/>
    </row>
    <row r="36" spans="1:11" x14ac:dyDescent="0.2">
      <c r="A36" s="93">
        <v>15</v>
      </c>
      <c r="B36" s="80" t="s">
        <v>89</v>
      </c>
      <c r="C36" s="80" t="s">
        <v>88</v>
      </c>
      <c r="D36" s="4">
        <f>607/1000</f>
        <v>0.60699999999999998</v>
      </c>
      <c r="E36" s="4">
        <f>3850/1000</f>
        <v>3.85</v>
      </c>
      <c r="F36" s="4">
        <f>13689/1000</f>
        <v>13.689</v>
      </c>
      <c r="G36" s="4"/>
      <c r="H36" s="4">
        <f t="shared" si="0"/>
        <v>18.146000000000001</v>
      </c>
      <c r="I36" s="119">
        <f>1119/1000</f>
        <v>1.119</v>
      </c>
      <c r="J36" s="91"/>
      <c r="K36" s="94"/>
    </row>
    <row r="37" spans="1:11" ht="25.5" x14ac:dyDescent="0.2">
      <c r="A37" s="93">
        <v>16</v>
      </c>
      <c r="B37" s="80" t="s">
        <v>87</v>
      </c>
      <c r="C37" s="80" t="s">
        <v>86</v>
      </c>
      <c r="D37" s="4">
        <f>12321/1000</f>
        <v>12.321</v>
      </c>
      <c r="E37" s="4">
        <f>63917/1000</f>
        <v>63.917000000000002</v>
      </c>
      <c r="F37" s="4">
        <f>220195/1000</f>
        <v>220.19499999999999</v>
      </c>
      <c r="G37" s="4"/>
      <c r="H37" s="4">
        <f t="shared" si="0"/>
        <v>296.43299999999999</v>
      </c>
      <c r="I37" s="119">
        <f>19283/1000</f>
        <v>19.283000000000001</v>
      </c>
      <c r="J37" s="91"/>
    </row>
    <row r="38" spans="1:11" ht="25.5" x14ac:dyDescent="0.2">
      <c r="A38" s="93">
        <v>17</v>
      </c>
      <c r="B38" s="80" t="s">
        <v>85</v>
      </c>
      <c r="C38" s="80" t="s">
        <v>84</v>
      </c>
      <c r="D38" s="4">
        <f>31583/1000</f>
        <v>31.582999999999998</v>
      </c>
      <c r="E38" s="4">
        <f>54212/1000</f>
        <v>54.212000000000003</v>
      </c>
      <c r="F38" s="4">
        <f>152661/1000</f>
        <v>152.661</v>
      </c>
      <c r="G38" s="4"/>
      <c r="H38" s="4">
        <f t="shared" si="0"/>
        <v>238.45600000000002</v>
      </c>
      <c r="I38" s="119">
        <f>13477/1000</f>
        <v>13.477</v>
      </c>
      <c r="J38" s="91"/>
      <c r="K38" s="94" t="e">
        <f>#REF!</f>
        <v>#REF!</v>
      </c>
    </row>
    <row r="39" spans="1:11" x14ac:dyDescent="0.2">
      <c r="A39" s="92"/>
      <c r="B39" s="196" t="s">
        <v>83</v>
      </c>
      <c r="C39" s="197"/>
      <c r="D39" s="4">
        <f>ROUND(SUM(D22:D38),2)</f>
        <v>59603.02</v>
      </c>
      <c r="E39" s="4">
        <f>ROUND(SUM(E22:E38),2)</f>
        <v>4476.87</v>
      </c>
      <c r="F39" s="4">
        <f>ROUND(SUM(F22:F38),2)</f>
        <v>8494.15</v>
      </c>
      <c r="G39" s="4">
        <f>ROUND(SUM(G22:G38),2)</f>
        <v>0</v>
      </c>
      <c r="H39" s="4">
        <f>SUM(H22:H38)</f>
        <v>72574.038000000015</v>
      </c>
      <c r="I39" s="119">
        <f>SUM(I22:I38)</f>
        <v>3399.4219999999996</v>
      </c>
      <c r="J39" s="91"/>
    </row>
    <row r="40" spans="1:11" s="62" customFormat="1" ht="15" x14ac:dyDescent="0.25">
      <c r="I40" s="90"/>
    </row>
    <row r="41" spans="1:11" s="62" customFormat="1" ht="15" x14ac:dyDescent="0.25">
      <c r="C41" s="89" t="s">
        <v>142</v>
      </c>
      <c r="D41" s="36"/>
      <c r="E41" s="88"/>
      <c r="F41" s="88"/>
      <c r="G41" s="87"/>
      <c r="I41" s="90"/>
    </row>
    <row r="42" spans="1:11" s="62" customFormat="1" ht="15" x14ac:dyDescent="0.25">
      <c r="D42" s="160"/>
      <c r="E42" s="160"/>
      <c r="F42" s="160"/>
      <c r="G42" s="37"/>
      <c r="I42" s="90"/>
    </row>
    <row r="43" spans="1:11" s="62" customFormat="1" ht="15" x14ac:dyDescent="0.25">
      <c r="C43" s="89"/>
      <c r="D43" s="38"/>
      <c r="E43" s="87"/>
      <c r="F43" s="87"/>
      <c r="G43" s="87"/>
      <c r="I43" s="90"/>
    </row>
    <row r="44" spans="1:11" s="62" customFormat="1" ht="15" x14ac:dyDescent="0.25">
      <c r="D44" s="158"/>
      <c r="E44" s="158"/>
      <c r="F44" s="158"/>
      <c r="G44" s="37"/>
    </row>
    <row r="45" spans="1:11" s="62" customFormat="1" ht="15" x14ac:dyDescent="0.25">
      <c r="C45" s="89"/>
      <c r="D45" s="38"/>
      <c r="E45" s="87"/>
      <c r="F45" s="87"/>
      <c r="G45" s="87"/>
    </row>
    <row r="46" spans="1:11" s="62" customFormat="1" ht="15" x14ac:dyDescent="0.25">
      <c r="D46" s="158"/>
      <c r="E46" s="158"/>
      <c r="F46" s="158"/>
      <c r="G46" s="37"/>
    </row>
    <row r="47" spans="1:11" s="62" customFormat="1" ht="15" x14ac:dyDescent="0.25">
      <c r="C47" s="89"/>
      <c r="D47" s="38"/>
      <c r="E47" s="87"/>
      <c r="F47" s="87"/>
      <c r="G47" s="87"/>
    </row>
  </sheetData>
  <protectedRanges>
    <protectedRange sqref="A1:E1 A2:D2 A3:E21 F1:XFD21 A48:XFD1048576 D24 E25 D26 D29:D30 A39:XFD39 A22:A38 H22:XFD38" name="Диапазон1"/>
    <protectedRange sqref="A40:XFD47" name="Диапазон1_3"/>
    <protectedRange sqref="B22:B38" name="Диапазон1_1"/>
  </protectedRanges>
  <mergeCells count="13">
    <mergeCell ref="D44:F44"/>
    <mergeCell ref="D46:F46"/>
    <mergeCell ref="A2:J2"/>
    <mergeCell ref="D16:H16"/>
    <mergeCell ref="I16:I19"/>
    <mergeCell ref="J16:J19"/>
    <mergeCell ref="D17:D19"/>
    <mergeCell ref="E17:E19"/>
    <mergeCell ref="F17:F19"/>
    <mergeCell ref="G17:G19"/>
    <mergeCell ref="H17:H19"/>
    <mergeCell ref="B39:C39"/>
    <mergeCell ref="D42:F42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ССР полн</vt:lpstr>
      <vt:lpstr>ССР полн баз</vt:lpstr>
      <vt:lpstr>ОСтек</vt:lpstr>
      <vt:lpstr>ОСбаз</vt:lpstr>
      <vt:lpstr>ОСбаз!Область_печати</vt:lpstr>
      <vt:lpstr>ОСтек!Область_печати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Развитие</dc:creator>
  <cp:lastModifiedBy>Развитие</cp:lastModifiedBy>
  <cp:lastPrinted>2016-10-27T11:49:46Z</cp:lastPrinted>
  <dcterms:created xsi:type="dcterms:W3CDTF">2016-07-06T11:30:51Z</dcterms:created>
  <dcterms:modified xsi:type="dcterms:W3CDTF">2016-12-22T09:15:06Z</dcterms:modified>
</cp:coreProperties>
</file>